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15" windowWidth="18960" windowHeight="7980" firstSheet="1" activeTab="1"/>
  </bookViews>
  <sheets>
    <sheet name="Revised Table B7" sheetId="2" r:id="rId1"/>
    <sheet name="Pop density" sheetId="5" r:id="rId2"/>
    <sheet name="Table B2" sheetId="13" r:id="rId3"/>
    <sheet name="Loy Yang A" sheetId="9" r:id="rId4"/>
    <sheet name="Loy Yang B" sheetId="7" r:id="rId5"/>
    <sheet name="Yallourn" sheetId="10" r:id="rId6"/>
    <sheet name="All stations" sheetId="11" r:id="rId7"/>
    <sheet name="Summary" sheetId="14" r:id="rId8"/>
    <sheet name="PV generation vs export" sheetId="16" r:id="rId9"/>
  </sheets>
  <definedNames>
    <definedName name="solver_adj" localSheetId="0" hidden="1">'Revised Table B7'!$O$1</definedName>
    <definedName name="solver_adj" localSheetId="2" hidden="1">'Table B2'!$H$13</definedName>
    <definedName name="solver_cvg" localSheetId="0" hidden="1">0.0001</definedName>
    <definedName name="solver_cvg" localSheetId="2" hidden="1">0.0001</definedName>
    <definedName name="solver_drv" localSheetId="0" hidden="1">1</definedName>
    <definedName name="solver_drv" localSheetId="2" hidden="1">1</definedName>
    <definedName name="solver_eng" localSheetId="0" hidden="1">1</definedName>
    <definedName name="solver_eng" localSheetId="2" hidden="1">1</definedName>
    <definedName name="solver_est" localSheetId="0" hidden="1">1</definedName>
    <definedName name="solver_est" localSheetId="2" hidden="1">1</definedName>
    <definedName name="solver_itr" localSheetId="0" hidden="1">2147483647</definedName>
    <definedName name="solver_itr" localSheetId="2" hidden="1">2147483647</definedName>
    <definedName name="solver_mip" localSheetId="0" hidden="1">2147483647</definedName>
    <definedName name="solver_mip" localSheetId="2" hidden="1">2147483647</definedName>
    <definedName name="solver_mni" localSheetId="0" hidden="1">30</definedName>
    <definedName name="solver_mni" localSheetId="2" hidden="1">30</definedName>
    <definedName name="solver_mrt" localSheetId="0" hidden="1">0.075</definedName>
    <definedName name="solver_mrt" localSheetId="2" hidden="1">0.075</definedName>
    <definedName name="solver_msl" localSheetId="0" hidden="1">2</definedName>
    <definedName name="solver_msl" localSheetId="2" hidden="1">2</definedName>
    <definedName name="solver_neg" localSheetId="0" hidden="1">1</definedName>
    <definedName name="solver_neg" localSheetId="2" hidden="1">1</definedName>
    <definedName name="solver_nod" localSheetId="0" hidden="1">2147483647</definedName>
    <definedName name="solver_nod" localSheetId="2" hidden="1">2147483647</definedName>
    <definedName name="solver_num" localSheetId="0" hidden="1">0</definedName>
    <definedName name="solver_num" localSheetId="2" hidden="1">0</definedName>
    <definedName name="solver_nwt" localSheetId="0" hidden="1">1</definedName>
    <definedName name="solver_nwt" localSheetId="2" hidden="1">1</definedName>
    <definedName name="solver_opt" localSheetId="0" hidden="1">'Revised Table B7'!$V$33</definedName>
    <definedName name="solver_opt" localSheetId="2" hidden="1">'Table B2'!$I$13</definedName>
    <definedName name="solver_pre" localSheetId="0" hidden="1">0.000001</definedName>
    <definedName name="solver_pre" localSheetId="2" hidden="1">0.000001</definedName>
    <definedName name="solver_rbv" localSheetId="0" hidden="1">1</definedName>
    <definedName name="solver_rbv" localSheetId="2" hidden="1">1</definedName>
    <definedName name="solver_rlx" localSheetId="0" hidden="1">2</definedName>
    <definedName name="solver_rlx" localSheetId="2" hidden="1">2</definedName>
    <definedName name="solver_rsd" localSheetId="0" hidden="1">0</definedName>
    <definedName name="solver_rsd" localSheetId="2" hidden="1">0</definedName>
    <definedName name="solver_scl" localSheetId="0" hidden="1">1</definedName>
    <definedName name="solver_scl" localSheetId="2" hidden="1">1</definedName>
    <definedName name="solver_sho" localSheetId="0" hidden="1">2</definedName>
    <definedName name="solver_sho" localSheetId="2" hidden="1">2</definedName>
    <definedName name="solver_ssz" localSheetId="0" hidden="1">100</definedName>
    <definedName name="solver_ssz" localSheetId="2" hidden="1">100</definedName>
    <definedName name="solver_tim" localSheetId="0" hidden="1">2147483647</definedName>
    <definedName name="solver_tim" localSheetId="2" hidden="1">2147483647</definedName>
    <definedName name="solver_tol" localSheetId="0" hidden="1">0.01</definedName>
    <definedName name="solver_tol" localSheetId="2" hidden="1">0.01</definedName>
    <definedName name="solver_typ" localSheetId="0" hidden="1">3</definedName>
    <definedName name="solver_typ" localSheetId="2" hidden="1">3</definedName>
    <definedName name="solver_val" localSheetId="0" hidden="1">6707</definedName>
    <definedName name="solver_val" localSheetId="2" hidden="1">0.17</definedName>
    <definedName name="solver_ver" localSheetId="0" hidden="1">3</definedName>
    <definedName name="solver_ver" localSheetId="2" hidden="1">3</definedName>
  </definedNames>
  <calcPr calcId="145621"/>
</workbook>
</file>

<file path=xl/calcChain.xml><?xml version="1.0" encoding="utf-8"?>
<calcChain xmlns="http://schemas.openxmlformats.org/spreadsheetml/2006/main">
  <c r="P4" i="11" l="1"/>
  <c r="E28" i="14" s="1"/>
  <c r="L29" i="14" l="1"/>
  <c r="E15" i="14" l="1"/>
  <c r="E16" i="14"/>
  <c r="E17" i="14"/>
  <c r="E18" i="14"/>
  <c r="E19" i="14"/>
  <c r="A27" i="16" l="1"/>
  <c r="C27" i="16" s="1"/>
  <c r="C31" i="16" s="1"/>
  <c r="E27" i="14" s="1"/>
  <c r="D15" i="16"/>
  <c r="D14" i="16"/>
  <c r="D13" i="16"/>
  <c r="L20" i="10" l="1"/>
  <c r="M20" i="10" s="1"/>
  <c r="K20" i="10"/>
  <c r="L19" i="10"/>
  <c r="K19" i="10"/>
  <c r="M19" i="10" s="1"/>
  <c r="L18" i="10"/>
  <c r="K18" i="10"/>
  <c r="M18" i="10" s="1"/>
  <c r="M17" i="10"/>
  <c r="L17" i="10"/>
  <c r="K17" i="10"/>
  <c r="K17" i="7" l="1"/>
  <c r="L17" i="7"/>
  <c r="M17" i="7"/>
  <c r="M21" i="7" s="1"/>
  <c r="K18" i="7"/>
  <c r="M18" i="7" s="1"/>
  <c r="L18" i="7"/>
  <c r="K19" i="7"/>
  <c r="M19" i="7" s="1"/>
  <c r="L19" i="7"/>
  <c r="K20" i="7"/>
  <c r="L20" i="7"/>
  <c r="M20" i="7"/>
  <c r="M18" i="9"/>
  <c r="M19" i="9"/>
  <c r="M20" i="9"/>
  <c r="M17" i="9"/>
  <c r="K18" i="9"/>
  <c r="L18" i="9"/>
  <c r="K19" i="9"/>
  <c r="L19" i="9"/>
  <c r="K20" i="9"/>
  <c r="L20" i="9"/>
  <c r="L17" i="9"/>
  <c r="K17" i="9"/>
  <c r="H11" i="10" l="1"/>
  <c r="I11" i="10"/>
  <c r="H12" i="10"/>
  <c r="I12" i="10"/>
  <c r="H13" i="10"/>
  <c r="I13" i="10"/>
  <c r="H14" i="10"/>
  <c r="I14" i="10"/>
  <c r="G12" i="10"/>
  <c r="G13" i="10"/>
  <c r="G14" i="10"/>
  <c r="G11" i="10"/>
  <c r="H11" i="7"/>
  <c r="I11" i="7"/>
  <c r="H12" i="7"/>
  <c r="I12" i="7"/>
  <c r="H13" i="7"/>
  <c r="I13" i="7"/>
  <c r="H14" i="7"/>
  <c r="I14" i="7"/>
  <c r="G12" i="7"/>
  <c r="G13" i="7"/>
  <c r="G14" i="7"/>
  <c r="G11" i="7"/>
  <c r="H11" i="9"/>
  <c r="I11" i="9"/>
  <c r="H12" i="9"/>
  <c r="I12" i="9"/>
  <c r="H13" i="9"/>
  <c r="I13" i="9"/>
  <c r="H14" i="9"/>
  <c r="I14" i="9"/>
  <c r="G12" i="9"/>
  <c r="G13" i="9"/>
  <c r="G14" i="9"/>
  <c r="G11" i="9"/>
  <c r="L2" i="9" l="1"/>
  <c r="D16" i="14" l="1"/>
  <c r="D17" i="14"/>
  <c r="D18" i="14"/>
  <c r="D15" i="14"/>
  <c r="C16" i="14"/>
  <c r="C17" i="14"/>
  <c r="C18" i="14"/>
  <c r="C15" i="14"/>
  <c r="F55" i="5"/>
  <c r="C19" i="14" l="1"/>
  <c r="D19" i="14"/>
  <c r="E4" i="10"/>
  <c r="E5" i="10"/>
  <c r="E6" i="10"/>
  <c r="E7" i="10"/>
  <c r="D4" i="10"/>
  <c r="D5" i="10"/>
  <c r="D6" i="10"/>
  <c r="D7" i="10"/>
  <c r="E4" i="7"/>
  <c r="E5" i="7"/>
  <c r="E6" i="7"/>
  <c r="E7" i="7"/>
  <c r="D4" i="7"/>
  <c r="D5" i="7"/>
  <c r="D6" i="7"/>
  <c r="D7" i="7"/>
  <c r="D4" i="9"/>
  <c r="D5" i="9"/>
  <c r="D6" i="9"/>
  <c r="D7" i="9"/>
  <c r="E4" i="9"/>
  <c r="E5" i="9"/>
  <c r="E6" i="9"/>
  <c r="E7" i="9"/>
  <c r="M16" i="11"/>
  <c r="E18" i="10" l="1"/>
  <c r="E19" i="10"/>
  <c r="E20" i="10"/>
  <c r="E17" i="10"/>
  <c r="E18" i="7"/>
  <c r="E19" i="7"/>
  <c r="E20" i="7"/>
  <c r="E17" i="7"/>
  <c r="E18" i="9"/>
  <c r="E19" i="9"/>
  <c r="E20" i="9"/>
  <c r="E17" i="9"/>
  <c r="I13" i="13" l="1"/>
  <c r="I12" i="13"/>
  <c r="I11" i="13"/>
  <c r="I10" i="13"/>
  <c r="P15" i="11" l="1"/>
  <c r="P14" i="11"/>
  <c r="P13" i="11"/>
  <c r="I20" i="10"/>
  <c r="H20" i="10"/>
  <c r="G20" i="10"/>
  <c r="I19" i="10"/>
  <c r="H19" i="10"/>
  <c r="G19" i="10"/>
  <c r="I18" i="10"/>
  <c r="H18" i="10"/>
  <c r="G18" i="10"/>
  <c r="I17" i="10"/>
  <c r="H17" i="10"/>
  <c r="G17" i="10"/>
  <c r="I20" i="9"/>
  <c r="H20" i="9"/>
  <c r="G20" i="9"/>
  <c r="I19" i="9"/>
  <c r="H19" i="9"/>
  <c r="G19" i="9"/>
  <c r="I18" i="9"/>
  <c r="H18" i="9"/>
  <c r="G18" i="9"/>
  <c r="I17" i="9"/>
  <c r="H17" i="9"/>
  <c r="G17" i="9"/>
  <c r="I20" i="7"/>
  <c r="H20" i="7"/>
  <c r="I18" i="7"/>
  <c r="H18" i="7"/>
  <c r="G18" i="7"/>
  <c r="I17" i="7"/>
  <c r="H17" i="7"/>
  <c r="H19" i="7"/>
  <c r="Q15" i="11" l="1"/>
  <c r="E21" i="14"/>
  <c r="E24" i="14" s="1"/>
  <c r="Q13" i="11"/>
  <c r="C21" i="14"/>
  <c r="Q14" i="11"/>
  <c r="D21" i="14"/>
  <c r="D24" i="14" s="1"/>
  <c r="B8" i="9"/>
  <c r="B5" i="9" s="1"/>
  <c r="B8" i="7"/>
  <c r="P16" i="11"/>
  <c r="Q17" i="11" s="1"/>
  <c r="Q18" i="11" s="1"/>
  <c r="Q20" i="11" s="1"/>
  <c r="B8" i="10"/>
  <c r="M21" i="9"/>
  <c r="S13" i="11" s="1"/>
  <c r="U13" i="11" s="1"/>
  <c r="H21" i="10"/>
  <c r="I21" i="10"/>
  <c r="G21" i="10"/>
  <c r="I21" i="9"/>
  <c r="G21" i="9"/>
  <c r="H21" i="9"/>
  <c r="S14" i="11"/>
  <c r="U14" i="11" s="1"/>
  <c r="H21" i="7"/>
  <c r="I19" i="7"/>
  <c r="G17" i="7"/>
  <c r="G19" i="7"/>
  <c r="G20" i="7"/>
  <c r="B7" i="9" l="1"/>
  <c r="F21" i="14"/>
  <c r="C24" i="14"/>
  <c r="F24" i="14" s="1"/>
  <c r="M21" i="10"/>
  <c r="S15" i="11" s="1"/>
  <c r="U15" i="11" s="1"/>
  <c r="U16" i="11" s="1"/>
  <c r="U17" i="11" s="1"/>
  <c r="U18" i="11" s="1"/>
  <c r="U21" i="11" s="1"/>
  <c r="F26" i="14" s="1"/>
  <c r="F27" i="14" s="1"/>
  <c r="F28" i="14" s="1"/>
  <c r="F29" i="14" s="1"/>
  <c r="L32" i="14" s="1"/>
  <c r="L33" i="14" s="1"/>
  <c r="B7" i="10"/>
  <c r="B6" i="10"/>
  <c r="B5" i="10"/>
  <c r="B4" i="10"/>
  <c r="B4" i="9"/>
  <c r="B6" i="9"/>
  <c r="B4" i="7"/>
  <c r="B7" i="7"/>
  <c r="B6" i="7"/>
  <c r="B5" i="7"/>
  <c r="I21" i="7"/>
  <c r="G21" i="7"/>
  <c r="V29" i="2" l="1"/>
  <c r="V30" i="2"/>
  <c r="V31" i="2"/>
  <c r="V32" i="2"/>
  <c r="V28" i="2"/>
  <c r="V21" i="2"/>
  <c r="V22" i="2"/>
  <c r="V23" i="2"/>
  <c r="V24" i="2"/>
  <c r="V25" i="2"/>
  <c r="V26" i="2"/>
  <c r="V27" i="2"/>
  <c r="V20" i="2"/>
  <c r="V10" i="2"/>
  <c r="V11" i="2"/>
  <c r="V9" i="2"/>
  <c r="V7" i="2"/>
  <c r="V8" i="2"/>
  <c r="V6" i="2"/>
  <c r="V12" i="2"/>
  <c r="V13" i="2"/>
  <c r="V14" i="2"/>
  <c r="V15" i="2"/>
  <c r="V16" i="2"/>
  <c r="V17" i="2"/>
  <c r="V18" i="2"/>
  <c r="V19" i="2"/>
  <c r="V33" i="2" l="1"/>
</calcChain>
</file>

<file path=xl/comments1.xml><?xml version="1.0" encoding="utf-8"?>
<comments xmlns="http://schemas.openxmlformats.org/spreadsheetml/2006/main">
  <authors>
    <author>Peter SELIGMAN</author>
  </authors>
  <commentList>
    <comment ref="I3" authorId="0">
      <text>
        <r>
          <rPr>
            <b/>
            <sz val="9"/>
            <color indexed="81"/>
            <rFont val="Tahoma"/>
            <family val="2"/>
          </rPr>
          <t>1. Data from table B2 goes in here to create graph</t>
        </r>
        <r>
          <rPr>
            <sz val="9"/>
            <color indexed="81"/>
            <rFont val="Tahoma"/>
            <family val="2"/>
          </rPr>
          <t xml:space="preserve">
</t>
        </r>
      </text>
    </comment>
    <comment ref="I10" authorId="0">
      <text>
        <r>
          <rPr>
            <b/>
            <sz val="9"/>
            <color indexed="81"/>
            <rFont val="Tahoma"/>
            <family val="2"/>
          </rPr>
          <t>2. Equations from graph put in these cells</t>
        </r>
      </text>
    </comment>
    <comment ref="E11" authorId="0">
      <text>
        <r>
          <rPr>
            <b/>
            <sz val="9"/>
            <color indexed="81"/>
            <rFont val="Tahoma"/>
            <family val="2"/>
          </rPr>
          <t>3. Emissions data from tab Revised Table B7 
goes in here</t>
        </r>
        <r>
          <rPr>
            <sz val="9"/>
            <color indexed="81"/>
            <rFont val="Tahoma"/>
            <family val="2"/>
          </rPr>
          <t xml:space="preserve">
</t>
        </r>
      </text>
    </comment>
    <comment ref="H14" authorId="0">
      <text>
        <r>
          <rPr>
            <b/>
            <sz val="9"/>
            <color indexed="81"/>
            <rFont val="Tahoma"/>
            <family val="2"/>
          </rPr>
          <t xml:space="preserve">4. Solver adjusts these cells  to get I10 to I13 to match E10 to G13 data
</t>
        </r>
        <r>
          <rPr>
            <sz val="9"/>
            <color indexed="81"/>
            <rFont val="Tahoma"/>
            <family val="2"/>
          </rPr>
          <t xml:space="preserve">
</t>
        </r>
      </text>
    </comment>
    <comment ref="E15" authorId="0">
      <text>
        <r>
          <rPr>
            <b/>
            <sz val="9"/>
            <color indexed="81"/>
            <rFont val="Tahoma"/>
            <family val="2"/>
          </rPr>
          <t>5. Results from Solver put in these columns</t>
        </r>
        <r>
          <rPr>
            <sz val="9"/>
            <color indexed="81"/>
            <rFont val="Tahoma"/>
            <family val="2"/>
          </rPr>
          <t xml:space="preserve">
</t>
        </r>
      </text>
    </comment>
  </commentList>
</comments>
</file>

<file path=xl/comments2.xml><?xml version="1.0" encoding="utf-8"?>
<comments xmlns="http://schemas.openxmlformats.org/spreadsheetml/2006/main">
  <authors>
    <author>Peter SELIGMAN</author>
  </authors>
  <commentList>
    <comment ref="D7" authorId="0">
      <text>
        <r>
          <rPr>
            <b/>
            <sz val="9"/>
            <color indexed="81"/>
            <rFont val="Tahoma"/>
            <family val="2"/>
          </rPr>
          <t xml:space="preserve">Intensities from tab Table B2 </t>
        </r>
        <r>
          <rPr>
            <sz val="9"/>
            <color indexed="81"/>
            <rFont val="Tahoma"/>
            <family val="2"/>
          </rPr>
          <t xml:space="preserve">
</t>
        </r>
      </text>
    </comment>
    <comment ref="E7" authorId="0">
      <text>
        <r>
          <rPr>
            <b/>
            <sz val="9"/>
            <color indexed="81"/>
            <rFont val="Tahoma"/>
            <family val="2"/>
          </rPr>
          <t>Percentiles from tab Table B2</t>
        </r>
        <r>
          <rPr>
            <sz val="9"/>
            <color indexed="81"/>
            <rFont val="Tahoma"/>
            <family val="2"/>
          </rPr>
          <t xml:space="preserve">
</t>
        </r>
      </text>
    </comment>
    <comment ref="I20" authorId="0">
      <text>
        <r>
          <rPr>
            <b/>
            <sz val="9"/>
            <color indexed="81"/>
            <rFont val="Tahoma"/>
            <family val="2"/>
          </rPr>
          <t>Data for graph</t>
        </r>
        <r>
          <rPr>
            <sz val="9"/>
            <color indexed="81"/>
            <rFont val="Tahoma"/>
            <family val="2"/>
          </rPr>
          <t xml:space="preserve">
</t>
        </r>
      </text>
    </comment>
    <comment ref="M20" authorId="0">
      <text>
        <r>
          <rPr>
            <b/>
            <sz val="9"/>
            <color indexed="81"/>
            <rFont val="Tahoma"/>
            <family val="2"/>
          </rPr>
          <t>Interpolated health costs from graph using percentile</t>
        </r>
        <r>
          <rPr>
            <sz val="9"/>
            <color indexed="81"/>
            <rFont val="Tahoma"/>
            <family val="2"/>
          </rPr>
          <t xml:space="preserve">
</t>
        </r>
      </text>
    </comment>
    <comment ref="M21" authorId="0">
      <text>
        <r>
          <rPr>
            <b/>
            <sz val="9"/>
            <color indexed="81"/>
            <rFont val="Tahoma"/>
            <family val="2"/>
          </rPr>
          <t>Total health cost - copied to All stations tab</t>
        </r>
        <r>
          <rPr>
            <sz val="9"/>
            <color indexed="81"/>
            <rFont val="Tahoma"/>
            <family val="2"/>
          </rPr>
          <t xml:space="preserve">
</t>
        </r>
      </text>
    </comment>
  </commentList>
</comments>
</file>

<file path=xl/comments3.xml><?xml version="1.0" encoding="utf-8"?>
<comments xmlns="http://schemas.openxmlformats.org/spreadsheetml/2006/main">
  <authors>
    <author>Peter SELIGMAN</author>
  </authors>
  <commentList>
    <comment ref="M20" authorId="0">
      <text>
        <r>
          <rPr>
            <b/>
            <sz val="9"/>
            <color indexed="81"/>
            <rFont val="Tahoma"/>
            <family val="2"/>
          </rPr>
          <t>Interpolated health costs from graph using percentile</t>
        </r>
        <r>
          <rPr>
            <sz val="9"/>
            <color indexed="81"/>
            <rFont val="Tahoma"/>
            <family val="2"/>
          </rPr>
          <t xml:space="preserve">
</t>
        </r>
      </text>
    </comment>
  </commentList>
</comments>
</file>

<file path=xl/comments4.xml><?xml version="1.0" encoding="utf-8"?>
<comments xmlns="http://schemas.openxmlformats.org/spreadsheetml/2006/main">
  <authors>
    <author>Peter SELIGMAN</author>
  </authors>
  <commentList>
    <comment ref="M20" authorId="0">
      <text>
        <r>
          <rPr>
            <b/>
            <sz val="9"/>
            <color indexed="81"/>
            <rFont val="Tahoma"/>
            <family val="2"/>
          </rPr>
          <t>Interpolated health costs from graph using percentile</t>
        </r>
        <r>
          <rPr>
            <sz val="9"/>
            <color indexed="81"/>
            <rFont val="Tahoma"/>
            <family val="2"/>
          </rPr>
          <t xml:space="preserve">
</t>
        </r>
      </text>
    </comment>
  </commentList>
</comments>
</file>

<file path=xl/comments5.xml><?xml version="1.0" encoding="utf-8"?>
<comments xmlns="http://schemas.openxmlformats.org/spreadsheetml/2006/main">
  <authors>
    <author>Peter SELIGMAN</author>
  </authors>
  <commentList>
    <comment ref="P5" authorId="0">
      <text>
        <r>
          <rPr>
            <b/>
            <sz val="9"/>
            <color indexed="81"/>
            <rFont val="Tahoma"/>
            <family val="2"/>
          </rPr>
          <t>This capacity factor differs slightly from Table B7 because of the removal of Hazelwood</t>
        </r>
        <r>
          <rPr>
            <sz val="9"/>
            <color indexed="81"/>
            <rFont val="Tahoma"/>
            <family val="2"/>
          </rPr>
          <t xml:space="preserve">
</t>
        </r>
      </text>
    </comment>
    <comment ref="M13" authorId="0">
      <text>
        <r>
          <rPr>
            <b/>
            <sz val="9"/>
            <color indexed="81"/>
            <rFont val="Tahoma"/>
            <family val="2"/>
          </rPr>
          <t>From Environment Victoria table at left</t>
        </r>
        <r>
          <rPr>
            <sz val="9"/>
            <color indexed="81"/>
            <rFont val="Tahoma"/>
            <family val="2"/>
          </rPr>
          <t xml:space="preserve">
</t>
        </r>
      </text>
    </comment>
    <comment ref="N15" authorId="0">
      <text>
        <r>
          <rPr>
            <sz val="9"/>
            <color indexed="81"/>
            <rFont val="Tahoma"/>
            <family val="2"/>
          </rPr>
          <t>These figures from tab Revised Table B7</t>
        </r>
      </text>
    </comment>
    <comment ref="O15" authorId="0">
      <text>
        <r>
          <rPr>
            <sz val="9"/>
            <color indexed="81"/>
            <rFont val="Tahoma"/>
            <family val="2"/>
          </rPr>
          <t xml:space="preserve">These figures from tab Revised Table B7
</t>
        </r>
      </text>
    </comment>
    <comment ref="Q18" authorId="0">
      <text>
        <r>
          <rPr>
            <b/>
            <sz val="9"/>
            <color indexed="81"/>
            <rFont val="Tahoma"/>
            <family val="2"/>
          </rPr>
          <t>Calculated from Environment Victoria data</t>
        </r>
        <r>
          <rPr>
            <sz val="9"/>
            <color indexed="81"/>
            <rFont val="Tahoma"/>
            <family val="2"/>
          </rPr>
          <t xml:space="preserve">
</t>
        </r>
      </text>
    </comment>
  </commentList>
</comments>
</file>

<file path=xl/comments6.xml><?xml version="1.0" encoding="utf-8"?>
<comments xmlns="http://schemas.openxmlformats.org/spreadsheetml/2006/main">
  <authors>
    <author>Peter SELIGMAN</author>
  </authors>
  <commentList>
    <comment ref="D20" authorId="0">
      <text>
        <r>
          <rPr>
            <b/>
            <sz val="9"/>
            <color indexed="81"/>
            <rFont val="Tahoma"/>
            <family val="2"/>
          </rPr>
          <t xml:space="preserve">These coeffcients are for the trendline. Data from Figure 10 Sunwiz </t>
        </r>
        <r>
          <rPr>
            <sz val="9"/>
            <color indexed="81"/>
            <rFont val="Tahoma"/>
            <family val="2"/>
          </rPr>
          <t xml:space="preserve">
</t>
        </r>
      </text>
    </comment>
    <comment ref="A27" authorId="0">
      <text>
        <r>
          <rPr>
            <b/>
            <sz val="9"/>
            <color indexed="81"/>
            <rFont val="Tahoma"/>
            <family val="2"/>
          </rPr>
          <t>Ave size from cell D15</t>
        </r>
        <r>
          <rPr>
            <sz val="9"/>
            <color indexed="81"/>
            <rFont val="Tahoma"/>
            <family val="2"/>
          </rPr>
          <t xml:space="preserve">
</t>
        </r>
      </text>
    </comment>
    <comment ref="C27" authorId="0">
      <text>
        <r>
          <rPr>
            <b/>
            <sz val="9"/>
            <color indexed="81"/>
            <rFont val="Tahoma"/>
            <family val="2"/>
          </rPr>
          <t>Percent calculated from trendline</t>
        </r>
        <r>
          <rPr>
            <sz val="9"/>
            <color indexed="81"/>
            <rFont val="Tahoma"/>
            <family val="2"/>
          </rPr>
          <t xml:space="preserve">
</t>
        </r>
      </text>
    </comment>
  </commentList>
</comments>
</file>

<file path=xl/sharedStrings.xml><?xml version="1.0" encoding="utf-8"?>
<sst xmlns="http://schemas.openxmlformats.org/spreadsheetml/2006/main" count="442" uniqueCount="217">
  <si>
    <r>
      <rPr>
        <i/>
        <sz val="11"/>
        <rFont val="Arial"/>
        <family val="2"/>
      </rPr>
      <t>Table B7: Costs of existing Victorian electricity generators</t>
    </r>
  </si>
  <si>
    <r>
      <rPr>
        <b/>
        <sz val="8"/>
        <rFont val="Calibri"/>
        <family val="2"/>
      </rPr>
      <t>Station</t>
    </r>
  </si>
  <si>
    <r>
      <rPr>
        <b/>
        <sz val="8"/>
        <rFont val="Calibri"/>
        <family val="2"/>
      </rPr>
      <t>Power source</t>
    </r>
  </si>
  <si>
    <r>
      <rPr>
        <b/>
        <sz val="8"/>
        <rFont val="Calibri"/>
        <family val="2"/>
      </rPr>
      <t>VOM</t>
    </r>
  </si>
  <si>
    <r>
      <rPr>
        <b/>
        <sz val="8"/>
        <rFont val="Calibri"/>
        <family val="2"/>
      </rPr>
      <t>FOM</t>
    </r>
  </si>
  <si>
    <r>
      <rPr>
        <b/>
        <sz val="8"/>
        <rFont val="Calibri"/>
        <family val="2"/>
      </rPr>
      <t>Fuel</t>
    </r>
  </si>
  <si>
    <r>
      <rPr>
        <b/>
        <sz val="8"/>
        <rFont val="Calibri"/>
        <family val="2"/>
      </rPr>
      <t>CO2</t>
    </r>
  </si>
  <si>
    <r>
      <rPr>
        <b/>
        <sz val="8"/>
        <rFont val="Calibri"/>
        <family val="2"/>
      </rPr>
      <t>Air pollutants****</t>
    </r>
  </si>
  <si>
    <r>
      <rPr>
        <b/>
        <sz val="8"/>
        <rFont val="Calibri"/>
        <family val="2"/>
      </rPr>
      <t>Full unit cost: status quo</t>
    </r>
  </si>
  <si>
    <r>
      <rPr>
        <b/>
        <sz val="8"/>
        <rFont val="Calibri"/>
        <family val="2"/>
      </rPr>
      <t>Full unit cost: inc. externalities</t>
    </r>
  </si>
  <si>
    <r>
      <rPr>
        <b/>
        <sz val="8"/>
        <rFont val="Calibri"/>
        <family val="2"/>
      </rPr>
      <t>Plant cost</t>
    </r>
  </si>
  <si>
    <r>
      <rPr>
        <b/>
        <sz val="8"/>
        <rFont val="Calibri"/>
        <family val="2"/>
      </rPr>
      <t>Installed Capacity Av. Unit capacity factor      cost</t>
    </r>
  </si>
  <si>
    <r>
      <rPr>
        <b/>
        <sz val="8"/>
        <rFont val="Calibri"/>
        <family val="2"/>
      </rPr>
      <t>Intensity</t>
    </r>
  </si>
  <si>
    <r>
      <rPr>
        <b/>
        <sz val="8"/>
        <rFont val="Calibri"/>
        <family val="2"/>
      </rPr>
      <t xml:space="preserve">Cost –
</t>
    </r>
    <r>
      <rPr>
        <b/>
        <sz val="8"/>
        <rFont val="Calibri"/>
        <family val="2"/>
      </rPr>
      <t>Current price*</t>
    </r>
  </si>
  <si>
    <r>
      <rPr>
        <b/>
        <sz val="8"/>
        <rFont val="Calibri"/>
        <family val="2"/>
      </rPr>
      <t xml:space="preserve">Cost -
</t>
    </r>
    <r>
      <rPr>
        <b/>
        <sz val="8"/>
        <rFont val="Calibri"/>
        <family val="2"/>
      </rPr>
      <t>central case**</t>
    </r>
  </si>
  <si>
    <r>
      <rPr>
        <b/>
        <sz val="8"/>
        <rFont val="Calibri"/>
        <family val="2"/>
      </rPr>
      <t>SO2           NOx          PM10        PM2.5</t>
    </r>
  </si>
  <si>
    <r>
      <rPr>
        <b/>
        <sz val="8"/>
        <rFont val="Calibri"/>
        <family val="2"/>
      </rPr>
      <t xml:space="preserve">Cost -
</t>
    </r>
    <r>
      <rPr>
        <b/>
        <sz val="8"/>
        <rFont val="Calibri"/>
        <family val="2"/>
      </rPr>
      <t>central case***</t>
    </r>
  </si>
  <si>
    <r>
      <rPr>
        <b/>
        <sz val="8"/>
        <rFont val="Calibri"/>
        <family val="2"/>
      </rPr>
      <t>SMRC        AC</t>
    </r>
  </si>
  <si>
    <r>
      <rPr>
        <b/>
        <sz val="8"/>
        <rFont val="Calibri"/>
        <family val="2"/>
      </rPr>
      <t>SMRC                   AC</t>
    </r>
  </si>
  <si>
    <r>
      <rPr>
        <i/>
        <sz val="8"/>
        <rFont val="Calibri"/>
        <family val="2"/>
      </rPr>
      <t>Unit</t>
    </r>
  </si>
  <si>
    <r>
      <rPr>
        <sz val="8"/>
        <rFont val="Calibri"/>
        <family val="2"/>
      </rPr>
      <t>$/MWh</t>
    </r>
  </si>
  <si>
    <r>
      <rPr>
        <sz val="8"/>
        <rFont val="Calibri"/>
        <family val="2"/>
      </rPr>
      <t>$mn</t>
    </r>
  </si>
  <si>
    <r>
      <rPr>
        <sz val="8"/>
        <rFont val="Calibri"/>
        <family val="2"/>
      </rPr>
      <t>MW</t>
    </r>
  </si>
  <si>
    <r>
      <rPr>
        <sz val="8"/>
        <rFont val="Calibri"/>
        <family val="2"/>
      </rPr>
      <t>$/GJ</t>
    </r>
  </si>
  <si>
    <r>
      <rPr>
        <sz val="8"/>
        <rFont val="Calibri"/>
        <family val="2"/>
      </rPr>
      <t>t/MWh</t>
    </r>
  </si>
  <si>
    <r>
      <rPr>
        <sz val="8"/>
        <rFont val="Calibri"/>
        <family val="2"/>
      </rPr>
      <t>kg/MWh  kg/MWh  kg/MWh  kg/MWh</t>
    </r>
  </si>
  <si>
    <r>
      <rPr>
        <sz val="8"/>
        <rFont val="Calibri"/>
        <family val="2"/>
      </rPr>
      <t>$/MWh   $/MWh</t>
    </r>
  </si>
  <si>
    <r>
      <rPr>
        <sz val="8"/>
        <rFont val="Calibri"/>
        <family val="2"/>
      </rPr>
      <t>$/MWh        $/MWh</t>
    </r>
  </si>
  <si>
    <r>
      <rPr>
        <i/>
        <sz val="8"/>
        <rFont val="Calibri"/>
        <family val="2"/>
      </rPr>
      <t>Source</t>
    </r>
  </si>
  <si>
    <r>
      <rPr>
        <sz val="8"/>
        <rFont val="Calibri"/>
        <family val="2"/>
      </rPr>
      <t>[1]</t>
    </r>
  </si>
  <si>
    <r>
      <rPr>
        <sz val="8"/>
        <rFont val="Calibri"/>
        <family val="2"/>
      </rPr>
      <t>[1] [2]</t>
    </r>
  </si>
  <si>
    <r>
      <rPr>
        <sz val="8"/>
        <rFont val="Calibri"/>
        <family val="2"/>
      </rPr>
      <t>[3]</t>
    </r>
  </si>
  <si>
    <r>
      <rPr>
        <sz val="8"/>
        <rFont val="Calibri"/>
        <family val="2"/>
      </rPr>
      <t>[4] [5]</t>
    </r>
  </si>
  <si>
    <r>
      <rPr>
        <sz val="8"/>
        <rFont val="Calibri"/>
        <family val="2"/>
      </rPr>
      <t>Anglesea</t>
    </r>
  </si>
  <si>
    <r>
      <rPr>
        <sz val="8"/>
        <rFont val="Calibri"/>
        <family val="2"/>
      </rPr>
      <t>Brown coal</t>
    </r>
  </si>
  <si>
    <r>
      <rPr>
        <sz val="8"/>
        <rFont val="Calibri"/>
        <family val="2"/>
      </rPr>
      <t>Hazelwood</t>
    </r>
  </si>
  <si>
    <r>
      <rPr>
        <sz val="8"/>
        <rFont val="Calibri"/>
        <family val="2"/>
      </rPr>
      <t>Loy Yang A</t>
    </r>
  </si>
  <si>
    <r>
      <rPr>
        <sz val="8"/>
        <rFont val="Calibri"/>
        <family val="2"/>
      </rPr>
      <t>Loy Yang B</t>
    </r>
  </si>
  <si>
    <r>
      <rPr>
        <sz val="8"/>
        <rFont val="Calibri"/>
        <family val="2"/>
      </rPr>
      <t>Yallourn</t>
    </r>
  </si>
  <si>
    <r>
      <rPr>
        <sz val="8"/>
        <rFont val="Calibri"/>
        <family val="2"/>
      </rPr>
      <t>Bairnsdale</t>
    </r>
  </si>
  <si>
    <r>
      <rPr>
        <sz val="8"/>
        <rFont val="Calibri"/>
        <family val="2"/>
      </rPr>
      <t>Gas (OCGT)</t>
    </r>
  </si>
  <si>
    <r>
      <rPr>
        <sz val="8"/>
        <rFont val="Calibri"/>
        <family val="2"/>
      </rPr>
      <t>Jeeralang A</t>
    </r>
  </si>
  <si>
    <r>
      <rPr>
        <sz val="8"/>
        <rFont val="Calibri"/>
        <family val="2"/>
      </rPr>
      <t>Jeeralang B</t>
    </r>
  </si>
  <si>
    <r>
      <rPr>
        <sz val="8"/>
        <rFont val="Calibri"/>
        <family val="2"/>
      </rPr>
      <t>Laverton Nth</t>
    </r>
  </si>
  <si>
    <r>
      <rPr>
        <sz val="8"/>
        <rFont val="Calibri"/>
        <family val="2"/>
      </rPr>
      <t>Mortlake</t>
    </r>
  </si>
  <si>
    <r>
      <rPr>
        <sz val="8"/>
        <rFont val="Calibri"/>
        <family val="2"/>
      </rPr>
      <t>Newport</t>
    </r>
  </si>
  <si>
    <r>
      <rPr>
        <sz val="8"/>
        <rFont val="Calibri"/>
        <family val="2"/>
      </rPr>
      <t>Somerton</t>
    </r>
  </si>
  <si>
    <r>
      <rPr>
        <sz val="8"/>
        <rFont val="Calibri"/>
        <family val="2"/>
      </rPr>
      <t>Valley Power</t>
    </r>
  </si>
  <si>
    <r>
      <rPr>
        <sz val="8"/>
        <rFont val="Calibri"/>
        <family val="2"/>
      </rPr>
      <t>Dartmouth</t>
    </r>
  </si>
  <si>
    <r>
      <rPr>
        <sz val="8"/>
        <rFont val="Calibri"/>
        <family val="2"/>
      </rPr>
      <t>Hydro</t>
    </r>
  </si>
  <si>
    <r>
      <rPr>
        <sz val="8"/>
        <rFont val="Calibri"/>
        <family val="2"/>
      </rPr>
      <t>Eildon</t>
    </r>
  </si>
  <si>
    <r>
      <rPr>
        <sz val="8"/>
        <rFont val="Calibri"/>
        <family val="2"/>
      </rPr>
      <t>Hume (VIC)</t>
    </r>
  </si>
  <si>
    <r>
      <rPr>
        <sz val="8"/>
        <rFont val="Calibri"/>
        <family val="2"/>
      </rPr>
      <t>Macarthur</t>
    </r>
  </si>
  <si>
    <r>
      <rPr>
        <sz val="8"/>
        <rFont val="Calibri"/>
        <family val="2"/>
      </rPr>
      <t>McKay Creek</t>
    </r>
  </si>
  <si>
    <r>
      <rPr>
        <sz val="8"/>
        <rFont val="Calibri"/>
        <family val="2"/>
      </rPr>
      <t>Murray 1</t>
    </r>
  </si>
  <si>
    <r>
      <rPr>
        <sz val="8"/>
        <rFont val="Calibri"/>
        <family val="2"/>
      </rPr>
      <t>Murray 2</t>
    </r>
  </si>
  <si>
    <r>
      <rPr>
        <sz val="8"/>
        <rFont val="Calibri"/>
        <family val="2"/>
      </rPr>
      <t>West Kiewa</t>
    </r>
  </si>
  <si>
    <r>
      <rPr>
        <sz val="8"/>
        <rFont val="Calibri"/>
        <family val="2"/>
      </rPr>
      <t>Challicum Hills</t>
    </r>
  </si>
  <si>
    <r>
      <rPr>
        <sz val="8"/>
        <rFont val="Calibri"/>
        <family val="2"/>
      </rPr>
      <t>Wind</t>
    </r>
  </si>
  <si>
    <r>
      <rPr>
        <sz val="8"/>
        <rFont val="Calibri"/>
        <family val="2"/>
      </rPr>
      <t>Oaklands Hill</t>
    </r>
  </si>
  <si>
    <r>
      <rPr>
        <sz val="8"/>
        <rFont val="Calibri"/>
        <family val="2"/>
      </rPr>
      <t>Portland</t>
    </r>
  </si>
  <si>
    <r>
      <rPr>
        <sz val="8"/>
        <rFont val="Calibri"/>
        <family val="2"/>
      </rPr>
      <t>Waubra</t>
    </r>
  </si>
  <si>
    <r>
      <rPr>
        <sz val="8"/>
        <rFont val="Calibri"/>
        <family val="2"/>
      </rPr>
      <t>Yambuk</t>
    </r>
  </si>
  <si>
    <r>
      <rPr>
        <sz val="8"/>
        <rFont val="Arial"/>
        <family val="2"/>
      </rPr>
      <t>* 2013-14 carbon price of $24.15/tonne-CO2</t>
    </r>
  </si>
  <si>
    <r>
      <rPr>
        <sz val="8"/>
        <rFont val="Arial"/>
        <family val="2"/>
      </rPr>
      <t>** Using central case cost estimates of $40.42/t-CO</t>
    </r>
    <r>
      <rPr>
        <vertAlign val="subscript"/>
        <sz val="5"/>
        <rFont val="Arial"/>
        <family val="2"/>
      </rPr>
      <t>2</t>
    </r>
  </si>
  <si>
    <r>
      <rPr>
        <sz val="8"/>
        <rFont val="Arial"/>
        <family val="2"/>
      </rPr>
      <t>*** Using central case cost estimates of $4.80/kg-SO</t>
    </r>
    <r>
      <rPr>
        <vertAlign val="subscript"/>
        <sz val="5"/>
        <rFont val="Arial"/>
        <family val="2"/>
      </rPr>
      <t>2</t>
    </r>
    <r>
      <rPr>
        <sz val="8"/>
        <rFont val="Arial"/>
        <family val="2"/>
      </rPr>
      <t>, $1.27/kg-NOx, $0.31/kg-PM10, $6.10/kg-PM2.5. We use the same value for air pollutant impacts ($/kg-pollutant) as used for Hazelwood. Note that all other major coal fired power plants and some gas peaking plants are located very close to Hazelwood in the Latrobe Valley. Other peaking plants, though, are spread across the state and may have significantly different local impacts.</t>
    </r>
  </si>
  <si>
    <r>
      <rPr>
        <sz val="8"/>
        <rFont val="Arial"/>
        <family val="2"/>
      </rPr>
      <t>**** Emission intensity is average for 2010/11 and 2011/12</t>
    </r>
  </si>
  <si>
    <r>
      <rPr>
        <sz val="8"/>
        <rFont val="Arial"/>
        <family val="2"/>
      </rPr>
      <t>Sources: [1] AEMO, ‘2013 Planning Studies - Existing Generator Technical Data Summary’ (Jan 2013); [2] AEMO, ‘2013 Planning Studies - New Generation Technical Data and Assumptions Summary’</t>
    </r>
  </si>
  <si>
    <r>
      <rPr>
        <sz val="8"/>
        <rFont val="Arial"/>
        <family val="2"/>
      </rPr>
      <t xml:space="preserve">(Jan 2013); [3] Clean Air Energy Regulator; [4] National Pollutant Inventory online database: </t>
    </r>
    <r>
      <rPr>
        <u/>
        <sz val="8"/>
        <color rgb="FF1A3AFF"/>
        <rFont val="Arial"/>
        <family val="2"/>
      </rPr>
      <t>http://www.npi.gov.au/npi-data</t>
    </r>
    <r>
      <rPr>
        <sz val="8"/>
        <rFont val="Arial"/>
        <family val="2"/>
      </rPr>
      <t xml:space="preserve">; [5] AEMO, </t>
    </r>
    <r>
      <rPr>
        <i/>
        <sz val="8"/>
        <rFont val="Arial"/>
        <family val="2"/>
      </rPr>
      <t xml:space="preserve">NEM Historical Market Information Report </t>
    </r>
    <r>
      <rPr>
        <sz val="8"/>
        <rFont val="Arial"/>
        <family val="2"/>
      </rPr>
      <t>(2013)</t>
    </r>
  </si>
  <si>
    <t>Output MW</t>
  </si>
  <si>
    <t>Capacity factor adjustments</t>
  </si>
  <si>
    <t>Gas</t>
  </si>
  <si>
    <t>Brown</t>
  </si>
  <si>
    <t xml:space="preserve">Hydro </t>
  </si>
  <si>
    <t xml:space="preserve">Wind </t>
  </si>
  <si>
    <t>Table B7 with Hazel wood and Anglesea closed</t>
  </si>
  <si>
    <t>Morwell</t>
  </si>
  <si>
    <t>MW=</t>
  </si>
  <si>
    <t>SO2</t>
  </si>
  <si>
    <t xml:space="preserve">Calculation of  damage </t>
  </si>
  <si>
    <t>kg</t>
  </si>
  <si>
    <t>PM10</t>
  </si>
  <si>
    <t>PM2.5</t>
  </si>
  <si>
    <t>NOx</t>
  </si>
  <si>
    <t>Output</t>
  </si>
  <si>
    <t>MWh</t>
  </si>
  <si>
    <t>Intensity</t>
  </si>
  <si>
    <t>output</t>
  </si>
  <si>
    <t>kg/MWh</t>
  </si>
  <si>
    <r>
      <rPr>
        <b/>
        <sz val="8"/>
        <rFont val="Calibri"/>
        <family val="2"/>
      </rPr>
      <t>Low case</t>
    </r>
  </si>
  <si>
    <r>
      <rPr>
        <b/>
        <sz val="8"/>
        <rFont val="Calibri"/>
        <family val="2"/>
      </rPr>
      <t>Central case</t>
    </r>
  </si>
  <si>
    <r>
      <rPr>
        <b/>
        <sz val="8"/>
        <rFont val="Calibri"/>
        <family val="2"/>
      </rPr>
      <t>High case</t>
    </r>
  </si>
  <si>
    <r>
      <rPr>
        <sz val="8"/>
        <rFont val="Calibri"/>
        <family val="2"/>
      </rPr>
      <t>5th %</t>
    </r>
  </si>
  <si>
    <r>
      <rPr>
        <sz val="8"/>
        <rFont val="Calibri"/>
        <family val="2"/>
      </rPr>
      <t>25th %</t>
    </r>
  </si>
  <si>
    <r>
      <rPr>
        <sz val="8"/>
        <rFont val="Calibri"/>
        <family val="2"/>
      </rPr>
      <t>75th %</t>
    </r>
  </si>
  <si>
    <t>US$/ton</t>
  </si>
  <si>
    <t>Total</t>
  </si>
  <si>
    <t>US percentile</t>
  </si>
  <si>
    <t>Moe</t>
  </si>
  <si>
    <t>http://www.epa.nsw.gov.au/resources/air/healthpartemiss.pdf</t>
  </si>
  <si>
    <t>MW</t>
  </si>
  <si>
    <t>capacity factor</t>
  </si>
  <si>
    <t>Health cost</t>
  </si>
  <si>
    <t>cost per MWh</t>
  </si>
  <si>
    <t>Yallourn</t>
  </si>
  <si>
    <t>Loy Yang B</t>
  </si>
  <si>
    <t>Loy Yang A</t>
  </si>
  <si>
    <t>My calc cost</t>
  </si>
  <si>
    <t>Total $/MWh</t>
  </si>
  <si>
    <t>From Hazelwood social cost of carbon</t>
  </si>
  <si>
    <t>http://pv-map.apvi.org.au/historical#4/-26.67/134.12</t>
  </si>
  <si>
    <r>
      <rPr>
        <i/>
        <sz val="11"/>
        <rFont val="Arial"/>
        <family val="2"/>
      </rPr>
      <t>Table B2: Comparison of emission intensity of air pollutants from Hazelwood with US plants</t>
    </r>
  </si>
  <si>
    <r>
      <rPr>
        <b/>
        <sz val="8"/>
        <rFont val="Calibri"/>
        <family val="2"/>
      </rPr>
      <t>Units</t>
    </r>
  </si>
  <si>
    <r>
      <rPr>
        <b/>
        <sz val="8"/>
        <rFont val="Calibri"/>
        <family val="2"/>
      </rPr>
      <t>Source</t>
    </r>
  </si>
  <si>
    <r>
      <rPr>
        <b/>
        <sz val="8"/>
        <rFont val="Calibri"/>
        <family val="2"/>
      </rPr>
      <t>All cases</t>
    </r>
  </si>
  <si>
    <r>
      <rPr>
        <b/>
        <sz val="8"/>
        <rFont val="Calibri"/>
        <family val="2"/>
      </rPr>
      <t>SO2</t>
    </r>
  </si>
  <si>
    <r>
      <rPr>
        <b/>
        <sz val="8"/>
        <rFont val="Calibri"/>
        <family val="2"/>
      </rPr>
      <t>NOx</t>
    </r>
  </si>
  <si>
    <r>
      <rPr>
        <sz val="8"/>
        <rFont val="Calibri"/>
        <family val="2"/>
      </rPr>
      <t>50th %</t>
    </r>
  </si>
  <si>
    <r>
      <rPr>
        <sz val="8"/>
        <rFont val="Calibri"/>
        <family val="2"/>
      </rPr>
      <t>95th %</t>
    </r>
  </si>
  <si>
    <r>
      <rPr>
        <sz val="8"/>
        <rFont val="Calibri"/>
        <family val="2"/>
      </rPr>
      <t>kg/MWh</t>
    </r>
  </si>
  <si>
    <t>PM10 right axis</t>
  </si>
  <si>
    <t>PM2.5 right axis</t>
  </si>
  <si>
    <t>Percentile</t>
  </si>
  <si>
    <t>population density</t>
  </si>
  <si>
    <t>test percentile</t>
  </si>
  <si>
    <t>Percentiles</t>
  </si>
  <si>
    <t>From http://environmentvictoria.org.au/wp-content/uploads/2016/06/Hazelwood-Report-Social-cost-of-carbon.pdf</t>
  </si>
  <si>
    <t>percentiles</t>
  </si>
  <si>
    <t>NAS</t>
  </si>
  <si>
    <t>Emission intensity US plants</t>
  </si>
  <si>
    <r>
      <t>y = 4.04E-07x</t>
    </r>
    <r>
      <rPr>
        <vertAlign val="superscript"/>
        <sz val="10"/>
        <color rgb="FF000000"/>
        <rFont val="Times New Roman"/>
        <family val="1"/>
      </rPr>
      <t>4</t>
    </r>
    <r>
      <rPr>
        <sz val="10"/>
        <color rgb="FF000000"/>
        <rFont val="Times New Roman"/>
        <family val="1"/>
      </rPr>
      <t xml:space="preserve"> - 3.60E-05x</t>
    </r>
    <r>
      <rPr>
        <vertAlign val="superscript"/>
        <sz val="10"/>
        <color rgb="FF000000"/>
        <rFont val="Times New Roman"/>
        <family val="1"/>
      </rPr>
      <t>3</t>
    </r>
    <r>
      <rPr>
        <sz val="10"/>
        <color rgb="FF000000"/>
        <rFont val="Times New Roman"/>
        <family val="1"/>
      </rPr>
      <t xml:space="preserve"> + 4.02E-04x</t>
    </r>
    <r>
      <rPr>
        <vertAlign val="superscript"/>
        <sz val="10"/>
        <color rgb="FF000000"/>
        <rFont val="Times New Roman"/>
        <family val="1"/>
      </rPr>
      <t>2</t>
    </r>
    <r>
      <rPr>
        <sz val="10"/>
        <color rgb="FF000000"/>
        <rFont val="Times New Roman"/>
        <family val="1"/>
      </rPr>
      <t xml:space="preserve"> + 9.65E-02x + 1.92E-01</t>
    </r>
  </si>
  <si>
    <r>
      <t>y = 2.08E-07x</t>
    </r>
    <r>
      <rPr>
        <vertAlign val="superscript"/>
        <sz val="10"/>
        <color rgb="FF000000"/>
        <rFont val="Times New Roman"/>
        <family val="1"/>
      </rPr>
      <t>4</t>
    </r>
    <r>
      <rPr>
        <sz val="10"/>
        <color rgb="FF000000"/>
        <rFont val="Times New Roman"/>
        <family val="1"/>
      </rPr>
      <t xml:space="preserve"> - 2.88E-05x</t>
    </r>
    <r>
      <rPr>
        <vertAlign val="superscript"/>
        <sz val="10"/>
        <color rgb="FF000000"/>
        <rFont val="Times New Roman"/>
        <family val="1"/>
      </rPr>
      <t>3</t>
    </r>
    <r>
      <rPr>
        <sz val="10"/>
        <color rgb="FF000000"/>
        <rFont val="Times New Roman"/>
        <family val="1"/>
      </rPr>
      <t xml:space="preserve"> + 1.10E-03x</t>
    </r>
    <r>
      <rPr>
        <vertAlign val="superscript"/>
        <sz val="10"/>
        <color rgb="FF000000"/>
        <rFont val="Times New Roman"/>
        <family val="1"/>
      </rPr>
      <t>2</t>
    </r>
    <r>
      <rPr>
        <sz val="10"/>
        <color rgb="FF000000"/>
        <rFont val="Times New Roman"/>
        <family val="1"/>
      </rPr>
      <t xml:space="preserve"> + 1.48E-02x + 4.92E-01</t>
    </r>
  </si>
  <si>
    <r>
      <t>y = 3.02E-08x</t>
    </r>
    <r>
      <rPr>
        <vertAlign val="superscript"/>
        <sz val="10"/>
        <color rgb="FF000000"/>
        <rFont val="Times New Roman"/>
        <family val="1"/>
      </rPr>
      <t>4</t>
    </r>
    <r>
      <rPr>
        <sz val="10"/>
        <color rgb="FF000000"/>
        <rFont val="Times New Roman"/>
        <family val="1"/>
      </rPr>
      <t xml:space="preserve"> - 3.18E-06x</t>
    </r>
    <r>
      <rPr>
        <vertAlign val="superscript"/>
        <sz val="10"/>
        <color rgb="FF000000"/>
        <rFont val="Times New Roman"/>
        <family val="1"/>
      </rPr>
      <t>3</t>
    </r>
    <r>
      <rPr>
        <sz val="10"/>
        <color rgb="FF000000"/>
        <rFont val="Times New Roman"/>
        <family val="1"/>
      </rPr>
      <t xml:space="preserve"> + 1.01E-04x</t>
    </r>
    <r>
      <rPr>
        <vertAlign val="superscript"/>
        <sz val="10"/>
        <color rgb="FF000000"/>
        <rFont val="Times New Roman"/>
        <family val="1"/>
      </rPr>
      <t>2</t>
    </r>
    <r>
      <rPr>
        <sz val="10"/>
        <color rgb="FF000000"/>
        <rFont val="Times New Roman"/>
        <family val="1"/>
      </rPr>
      <t xml:space="preserve"> + 2.83E-03x + 3.37E-02</t>
    </r>
  </si>
  <si>
    <r>
      <t>y = 1.52E-08x</t>
    </r>
    <r>
      <rPr>
        <vertAlign val="superscript"/>
        <sz val="10"/>
        <color rgb="FF000000"/>
        <rFont val="Times New Roman"/>
        <family val="1"/>
      </rPr>
      <t>4</t>
    </r>
    <r>
      <rPr>
        <sz val="10"/>
        <color rgb="FF000000"/>
        <rFont val="Times New Roman"/>
        <family val="1"/>
      </rPr>
      <t xml:space="preserve"> - 8.57E-07x</t>
    </r>
    <r>
      <rPr>
        <vertAlign val="superscript"/>
        <sz val="10"/>
        <color rgb="FF000000"/>
        <rFont val="Times New Roman"/>
        <family val="1"/>
      </rPr>
      <t>3</t>
    </r>
    <r>
      <rPr>
        <sz val="10"/>
        <color rgb="FF000000"/>
        <rFont val="Times New Roman"/>
        <family val="1"/>
      </rPr>
      <t xml:space="preserve"> + 2.48E-06x</t>
    </r>
    <r>
      <rPr>
        <vertAlign val="superscript"/>
        <sz val="10"/>
        <color rgb="FF000000"/>
        <rFont val="Times New Roman"/>
        <family val="1"/>
      </rPr>
      <t>2</t>
    </r>
    <r>
      <rPr>
        <sz val="10"/>
        <color rgb="FF000000"/>
        <rFont val="Times New Roman"/>
        <family val="1"/>
      </rPr>
      <t xml:space="preserve"> + 2.79E-03x + 2.61E-02</t>
    </r>
  </si>
  <si>
    <t>https://www.econ.umd.edu/sites/www.econ.umd.edu/files/pubs/Hidden%20Costs%20of%20Energy%20-%20Unpriced%20Consequences%20of%20Energy.pdf</t>
  </si>
  <si>
    <t>The Hidden Costs of Energy: Unpriced Consequences of Energy Production and Use, published by the US National Academy of Sciences, 2009</t>
  </si>
  <si>
    <t>Adjustment for inflation and US $</t>
  </si>
  <si>
    <t>Intensity kg/MWh</t>
  </si>
  <si>
    <t>Calculation of  damage from TABLE 2-8 below</t>
  </si>
  <si>
    <t>My calc cost per MWh</t>
  </si>
  <si>
    <t>MWh /year</t>
  </si>
  <si>
    <t>Traralgon</t>
  </si>
  <si>
    <t>mean</t>
  </si>
  <si>
    <t>Percentiles cf 405 US power stations</t>
  </si>
  <si>
    <t>Emissions kg/MWh</t>
  </si>
  <si>
    <t>Health cost A$/MWh at percentile</t>
  </si>
  <si>
    <t>Column1</t>
  </si>
  <si>
    <t>Column2</t>
  </si>
  <si>
    <t>Column3</t>
  </si>
  <si>
    <t>Column4</t>
  </si>
  <si>
    <t>Column5</t>
  </si>
  <si>
    <t>Health cost cents per kWh</t>
  </si>
  <si>
    <t>Output GWh/year</t>
  </si>
  <si>
    <t>Ward</t>
  </si>
  <si>
    <t>Environment Vic</t>
  </si>
  <si>
    <t>Totals</t>
  </si>
  <si>
    <t>Data source</t>
  </si>
  <si>
    <t>Adjustment of self consumption vs export</t>
  </si>
  <si>
    <t>Adjust for prop brown coal generation</t>
  </si>
  <si>
    <t>US$/kg</t>
  </si>
  <si>
    <t>Calculation for intensity to get US$/MWh</t>
  </si>
  <si>
    <t>US$/MWh at percentile</t>
  </si>
  <si>
    <t>US$/MWh</t>
  </si>
  <si>
    <t>slope</t>
  </si>
  <si>
    <t>intercept</t>
  </si>
  <si>
    <t>USD - AUD</t>
  </si>
  <si>
    <t>Aust cents/kWh</t>
  </si>
  <si>
    <t>Total US cents/kWh</t>
  </si>
  <si>
    <t>kg/ton</t>
  </si>
  <si>
    <t>state</t>
  </si>
  <si>
    <t>installations</t>
  </si>
  <si>
    <t>percentage_dwellings</t>
  </si>
  <si>
    <t>kw_capacity</t>
  </si>
  <si>
    <t>MW_capacity_under_10_kW</t>
  </si>
  <si>
    <t>MW_capacity_10_to_100_kW</t>
  </si>
  <si>
    <t>MW_capacity_over_100_kW</t>
  </si>
  <si>
    <t>count_under_10_kW</t>
  </si>
  <si>
    <t>count_10_100_kW</t>
  </si>
  <si>
    <t>count_over_100_kW</t>
  </si>
  <si>
    <t>QLD</t>
  </si>
  <si>
    <t>SA</t>
  </si>
  <si>
    <t>WA</t>
  </si>
  <si>
    <t>NSW</t>
  </si>
  <si>
    <t>VIC</t>
  </si>
  <si>
    <t>ACT</t>
  </si>
  <si>
    <t>NT</t>
  </si>
  <si>
    <t>TAS</t>
  </si>
  <si>
    <t>https://d284f79vx7w9nf.cloudfront.net/attachments/analysis/7/states_e395.csv</t>
  </si>
  <si>
    <t>Number of installations under 100 kW</t>
  </si>
  <si>
    <t>System size</t>
  </si>
  <si>
    <t>Export %</t>
  </si>
  <si>
    <t>trendline</t>
  </si>
  <si>
    <t>coeffs</t>
  </si>
  <si>
    <t>https://www.energycouncil.com.au/media/14635/aec-solar-report_-q3-2018_final.pdf</t>
  </si>
  <si>
    <t>generation/export ratio</t>
  </si>
  <si>
    <t>Average size kW</t>
  </si>
  <si>
    <t>Total Vic kW under 100 kW</t>
  </si>
  <si>
    <t>Health cost US$M</t>
  </si>
  <si>
    <t>Final health cost Aust cents per kWh</t>
  </si>
  <si>
    <t>Yallorn</t>
  </si>
  <si>
    <t>TotalUS $/MWh</t>
  </si>
  <si>
    <t>Envionment Victoria calculations health cost</t>
  </si>
  <si>
    <t>My calculations - health cost</t>
  </si>
  <si>
    <t>Total  cents//kWh</t>
  </si>
  <si>
    <t>Inflation 1996 - 2018</t>
  </si>
  <si>
    <t>Inflation 2007 - 2018</t>
  </si>
  <si>
    <t>From ATSE THE HIDDEN COSTS OF ELECTRICITY: Externalities of Power Generation in Australia</t>
  </si>
  <si>
    <t>Brown coal fired electricity</t>
  </si>
  <si>
    <t>From table-o https://www.energy.gov.au/publications/australian-energy-update-2018</t>
  </si>
  <si>
    <t>GWh</t>
  </si>
  <si>
    <t>Total Vic generation</t>
  </si>
  <si>
    <t>Proportion brown coal</t>
  </si>
  <si>
    <t>cell D49</t>
  </si>
  <si>
    <t>cell D38</t>
  </si>
  <si>
    <t>Capacity factor</t>
  </si>
  <si>
    <t>Web site</t>
  </si>
  <si>
    <t>table downloaded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</si>
</sst>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quot;$&quot;* #,##0_-;\-&quot;$&quot;* #,##0_-;_-&quot;$&quot;* &quot;-&quot;_-;_-@_-"/>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0.0"/>
    <numFmt numFmtId="167" formatCode="_-&quot;$&quot;* #,##0.0000_-;\-&quot;$&quot;* #,##0.0000_-;_-&quot;$&quot;* &quot;-&quot;??_-;_-@_-"/>
    <numFmt numFmtId="168" formatCode="_(* #,##0.00_);_(* \(#,##0.00\);_(* &quot;-&quot;??_);_(@_)"/>
    <numFmt numFmtId="169" formatCode="_-&quot;£&quot;* #,##0.00_-;\-&quot;£&quot;* #,##0.00_-;_-&quot;£&quot;* &quot;-&quot;??_-;_-@_-"/>
    <numFmt numFmtId="170" formatCode="_(* #,##0_);_(* \(#,##0\);_(* &quot;-&quot;_);_(@_)"/>
    <numFmt numFmtId="171" formatCode="_-&quot;£&quot;* #,##0_-;\-&quot;£&quot;* #,##0_-;_-&quot;£&quot;* &quot;-&quot;_-;_-@_-"/>
  </numFmts>
  <fonts count="54">
    <font>
      <sz val="10"/>
      <color rgb="FF000000"/>
      <name val="Times New Roman"/>
      <charset val="204"/>
    </font>
    <font>
      <sz val="11"/>
      <color theme="1"/>
      <name val="Calibri"/>
      <family val="2"/>
      <scheme val="minor"/>
    </font>
    <font>
      <i/>
      <sz val="11"/>
      <name val="Arial"/>
      <family val="2"/>
    </font>
    <font>
      <b/>
      <sz val="8"/>
      <name val="Calibri"/>
      <family val="2"/>
    </font>
    <font>
      <i/>
      <sz val="8"/>
      <name val="Calibri"/>
      <family val="2"/>
    </font>
    <font>
      <sz val="8"/>
      <name val="Calibri"/>
      <family val="2"/>
    </font>
    <font>
      <sz val="8"/>
      <color rgb="FF000000"/>
      <name val="Calibri"/>
      <family val="2"/>
    </font>
    <font>
      <sz val="8"/>
      <name val="Arial"/>
      <family val="2"/>
    </font>
    <font>
      <sz val="11"/>
      <color rgb="FF000000"/>
      <name val="Arial"/>
      <family val="2"/>
    </font>
    <font>
      <vertAlign val="subscript"/>
      <sz val="5"/>
      <name val="Arial"/>
      <family val="2"/>
    </font>
    <font>
      <u/>
      <sz val="8"/>
      <color rgb="FF1A3AFF"/>
      <name val="Arial"/>
      <family val="2"/>
    </font>
    <font>
      <i/>
      <sz val="8"/>
      <name val="Arial"/>
      <family val="2"/>
    </font>
    <font>
      <sz val="10"/>
      <color rgb="FF000000"/>
      <name val="Times New Roman"/>
      <family val="1"/>
    </font>
    <font>
      <sz val="10"/>
      <color rgb="FF000000"/>
      <name val="Calibri"/>
      <family val="2"/>
    </font>
    <font>
      <sz val="10"/>
      <color rgb="FF000000"/>
      <name val="Times New Roman"/>
      <family val="1"/>
    </font>
    <font>
      <b/>
      <sz val="8"/>
      <name val="Calibri"/>
      <family val="2"/>
    </font>
    <font>
      <sz val="8"/>
      <name val="Calibri"/>
      <family val="2"/>
    </font>
    <font>
      <b/>
      <sz val="10"/>
      <color rgb="FF000000"/>
      <name val="Times New Roman"/>
      <family val="1"/>
    </font>
    <font>
      <sz val="9"/>
      <color indexed="81"/>
      <name val="Tahoma"/>
      <family val="2"/>
    </font>
    <font>
      <b/>
      <sz val="9"/>
      <color indexed="81"/>
      <name val="Tahoma"/>
      <family val="2"/>
    </font>
    <font>
      <vertAlign val="superscript"/>
      <sz val="10"/>
      <color rgb="FF000000"/>
      <name val="Times New Roman"/>
      <family val="1"/>
    </font>
    <font>
      <sz val="10"/>
      <color rgb="FF000000"/>
      <name val="Times New Roman"/>
      <family val="1"/>
    </font>
    <font>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sz val="19"/>
      <name val="Arial"/>
      <family val="2"/>
    </font>
    <font>
      <sz val="10"/>
      <color indexed="10"/>
      <name val="Arial"/>
      <family val="2"/>
    </font>
    <font>
      <sz val="11"/>
      <color rgb="FF000000"/>
      <name val="Calibri"/>
      <family val="2"/>
    </font>
    <font>
      <sz val="10"/>
      <name val="Geneva"/>
      <family val="2"/>
    </font>
    <font>
      <b/>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name val="Humanst521 Lt BT"/>
    </font>
    <font>
      <sz val="11"/>
      <color indexed="60"/>
      <name val="Calibri"/>
      <family val="2"/>
    </font>
    <font>
      <sz val="10"/>
      <color indexed="0"/>
      <name val="Helv"/>
    </font>
    <font>
      <b/>
      <sz val="11"/>
      <color indexed="63"/>
      <name val="Calibri"/>
      <family val="2"/>
    </font>
    <font>
      <b/>
      <sz val="18"/>
      <color indexed="56"/>
      <name val="Cambria"/>
      <family val="2"/>
    </font>
    <font>
      <sz val="11"/>
      <color indexed="10"/>
      <name val="Calibri"/>
      <family val="2"/>
    </font>
    <font>
      <b/>
      <sz val="12"/>
      <color indexed="10"/>
      <name val="Arial"/>
      <family val="2"/>
    </font>
    <font>
      <sz val="11"/>
      <name val="Arial"/>
      <family val="2"/>
    </font>
    <font>
      <u/>
      <sz val="10"/>
      <color theme="10"/>
      <name val="Arial"/>
      <family val="2"/>
    </font>
    <font>
      <sz val="11"/>
      <color rgb="FF000000"/>
      <name val="Times New Roman"/>
      <family val="1"/>
    </font>
  </fonts>
  <fills count="51">
    <fill>
      <patternFill patternType="none"/>
    </fill>
    <fill>
      <patternFill patternType="gray125"/>
    </fill>
    <fill>
      <patternFill patternType="solid">
        <fgColor rgb="FFD9D9D9"/>
      </patternFill>
    </fill>
    <fill>
      <patternFill patternType="solid">
        <fgColor rgb="FFFFFF00"/>
        <bgColor indexed="64"/>
      </patternFill>
    </fill>
    <fill>
      <patternFill patternType="solid">
        <fgColor rgb="FF66FF33"/>
        <bgColor indexed="64"/>
      </patternFill>
    </fill>
    <fill>
      <patternFill patternType="solid">
        <fgColor rgb="FF33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C000"/>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40"/>
        <bgColor indexed="1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43"/>
      </patternFill>
    </fill>
    <fill>
      <patternFill patternType="solid">
        <fgColor indexed="26"/>
      </patternFill>
    </fill>
  </fills>
  <borders count="30">
    <border>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s>
  <cellStyleXfs count="455">
    <xf numFmtId="0" fontId="0" fillId="0" borderId="0"/>
    <xf numFmtId="44" fontId="12" fillId="0" borderId="0" applyFont="0" applyFill="0" applyBorder="0" applyAlignment="0" applyProtection="0"/>
    <xf numFmtId="43" fontId="14" fillId="0" borderId="0" applyFont="0" applyFill="0" applyBorder="0" applyAlignment="0" applyProtection="0"/>
    <xf numFmtId="9" fontId="21" fillId="0" borderId="0" applyFont="0" applyFill="0" applyBorder="0" applyAlignment="0" applyProtection="0"/>
    <xf numFmtId="0" fontId="1" fillId="0" borderId="0"/>
    <xf numFmtId="43" fontId="1" fillId="0" borderId="0" applyFont="0" applyFill="0" applyBorder="0" applyAlignment="0" applyProtection="0"/>
    <xf numFmtId="43"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9" fontId="22" fillId="0" borderId="0" applyFont="0" applyFill="0" applyBorder="0" applyAlignment="0" applyProtection="0"/>
    <xf numFmtId="4" fontId="23" fillId="9" borderId="17" applyNumberFormat="0" applyProtection="0">
      <alignment vertical="center"/>
    </xf>
    <xf numFmtId="4" fontId="24" fillId="9" borderId="17" applyNumberFormat="0" applyProtection="0">
      <alignment vertical="center"/>
    </xf>
    <xf numFmtId="4" fontId="23" fillId="9" borderId="17" applyNumberFormat="0" applyProtection="0">
      <alignment horizontal="left" vertical="center" indent="1"/>
    </xf>
    <xf numFmtId="4" fontId="23" fillId="9" borderId="17" applyNumberFormat="0" applyProtection="0">
      <alignment horizontal="left" vertical="center" indent="1"/>
    </xf>
    <xf numFmtId="0" fontId="22" fillId="10" borderId="17" applyNumberFormat="0" applyProtection="0">
      <alignment horizontal="left" vertical="center" indent="1"/>
    </xf>
    <xf numFmtId="0" fontId="22" fillId="10" borderId="17" applyNumberFormat="0" applyProtection="0">
      <alignment horizontal="left" vertical="center" indent="1"/>
    </xf>
    <xf numFmtId="4" fontId="23" fillId="11" borderId="17" applyNumberFormat="0" applyProtection="0">
      <alignment horizontal="right" vertical="center"/>
    </xf>
    <xf numFmtId="4" fontId="23" fillId="12" borderId="17" applyNumberFormat="0" applyProtection="0">
      <alignment horizontal="right" vertical="center"/>
    </xf>
    <xf numFmtId="4" fontId="23" fillId="13" borderId="17" applyNumberFormat="0" applyProtection="0">
      <alignment horizontal="right" vertical="center"/>
    </xf>
    <xf numFmtId="4" fontId="23" fillId="14" borderId="17" applyNumberFormat="0" applyProtection="0">
      <alignment horizontal="right" vertical="center"/>
    </xf>
    <xf numFmtId="4" fontId="23" fillId="15" borderId="17" applyNumberFormat="0" applyProtection="0">
      <alignment horizontal="right" vertical="center"/>
    </xf>
    <xf numFmtId="4" fontId="23" fillId="16" borderId="17" applyNumberFormat="0" applyProtection="0">
      <alignment horizontal="right" vertical="center"/>
    </xf>
    <xf numFmtId="4" fontId="23" fillId="17" borderId="17" applyNumberFormat="0" applyProtection="0">
      <alignment horizontal="right" vertical="center"/>
    </xf>
    <xf numFmtId="4" fontId="23" fillId="18" borderId="17" applyNumberFormat="0" applyProtection="0">
      <alignment horizontal="right" vertical="center"/>
    </xf>
    <xf numFmtId="4" fontId="23" fillId="19" borderId="17" applyNumberFormat="0" applyProtection="0">
      <alignment horizontal="right" vertical="center"/>
    </xf>
    <xf numFmtId="4" fontId="25" fillId="20" borderId="17" applyNumberFormat="0" applyProtection="0">
      <alignment horizontal="left" vertical="center" indent="1"/>
    </xf>
    <xf numFmtId="4" fontId="23" fillId="21" borderId="18" applyNumberFormat="0" applyProtection="0">
      <alignment horizontal="left" vertical="center" indent="1"/>
    </xf>
    <xf numFmtId="4" fontId="26" fillId="22" borderId="0" applyNumberFormat="0" applyProtection="0">
      <alignment horizontal="left" vertical="center" indent="1"/>
    </xf>
    <xf numFmtId="0" fontId="22" fillId="10" borderId="17" applyNumberFormat="0" applyProtection="0">
      <alignment horizontal="left" vertical="center" indent="1"/>
    </xf>
    <xf numFmtId="4" fontId="23" fillId="21" borderId="17" applyNumberFormat="0" applyProtection="0">
      <alignment horizontal="left" vertical="center" indent="1"/>
    </xf>
    <xf numFmtId="4" fontId="23" fillId="21" borderId="17" applyNumberFormat="0" applyProtection="0">
      <alignment horizontal="left" vertical="center" indent="1"/>
    </xf>
    <xf numFmtId="4" fontId="23" fillId="23" borderId="17" applyNumberFormat="0" applyProtection="0">
      <alignment horizontal="left" vertical="center" indent="1"/>
    </xf>
    <xf numFmtId="4" fontId="23" fillId="23" borderId="17" applyNumberFormat="0" applyProtection="0">
      <alignment horizontal="left" vertical="center" indent="1"/>
    </xf>
    <xf numFmtId="0" fontId="22" fillId="23" borderId="17" applyNumberFormat="0" applyProtection="0">
      <alignment horizontal="left" vertical="center" indent="1"/>
    </xf>
    <xf numFmtId="0" fontId="22" fillId="23" borderId="17" applyNumberFormat="0" applyProtection="0">
      <alignment horizontal="left" vertical="center" indent="1"/>
    </xf>
    <xf numFmtId="0" fontId="22" fillId="24" borderId="17" applyNumberFormat="0" applyProtection="0">
      <alignment horizontal="left" vertical="center" indent="1"/>
    </xf>
    <xf numFmtId="0" fontId="22" fillId="24" borderId="17" applyNumberFormat="0" applyProtection="0">
      <alignment horizontal="left" vertical="center" indent="1"/>
    </xf>
    <xf numFmtId="0" fontId="22" fillId="25" borderId="17" applyNumberFormat="0" applyProtection="0">
      <alignment horizontal="left" vertical="center" indent="1"/>
    </xf>
    <xf numFmtId="0" fontId="22" fillId="25" borderId="17" applyNumberFormat="0" applyProtection="0">
      <alignment horizontal="left" vertical="center" indent="1"/>
    </xf>
    <xf numFmtId="0" fontId="22" fillId="10" borderId="17" applyNumberFormat="0" applyProtection="0">
      <alignment horizontal="left" vertical="center" indent="1"/>
    </xf>
    <xf numFmtId="0" fontId="22" fillId="10" borderId="17" applyNumberFormat="0" applyProtection="0">
      <alignment horizontal="left" vertical="center" indent="1"/>
    </xf>
    <xf numFmtId="4" fontId="23" fillId="26" borderId="17" applyNumberFormat="0" applyProtection="0">
      <alignment vertical="center"/>
    </xf>
    <xf numFmtId="4" fontId="24" fillId="26" borderId="17" applyNumberFormat="0" applyProtection="0">
      <alignment vertical="center"/>
    </xf>
    <xf numFmtId="4" fontId="23" fillId="26" borderId="17" applyNumberFormat="0" applyProtection="0">
      <alignment horizontal="left" vertical="center" indent="1"/>
    </xf>
    <xf numFmtId="4" fontId="23" fillId="26" borderId="17" applyNumberFormat="0" applyProtection="0">
      <alignment horizontal="left" vertical="center" indent="1"/>
    </xf>
    <xf numFmtId="4" fontId="23" fillId="21" borderId="17" applyNumberFormat="0" applyProtection="0">
      <alignment horizontal="right" vertical="center"/>
    </xf>
    <xf numFmtId="4" fontId="24" fillId="21" borderId="17" applyNumberFormat="0" applyProtection="0">
      <alignment horizontal="right" vertical="center"/>
    </xf>
    <xf numFmtId="0" fontId="22" fillId="10" borderId="17" applyNumberFormat="0" applyProtection="0">
      <alignment horizontal="left" vertical="center" indent="1"/>
    </xf>
    <xf numFmtId="0" fontId="22" fillId="10" borderId="17" applyNumberFormat="0" applyProtection="0">
      <alignment horizontal="left" vertical="center" indent="1"/>
    </xf>
    <xf numFmtId="0" fontId="22" fillId="10" borderId="17" applyNumberFormat="0" applyProtection="0">
      <alignment horizontal="left" vertical="center" indent="1"/>
    </xf>
    <xf numFmtId="0" fontId="22" fillId="10" borderId="17" applyNumberFormat="0" applyProtection="0">
      <alignment horizontal="left" vertical="center" indent="1"/>
    </xf>
    <xf numFmtId="4" fontId="27" fillId="27" borderId="19" applyNumberFormat="0" applyProtection="0">
      <alignment horizontal="left" vertical="center" indent="1"/>
    </xf>
    <xf numFmtId="4" fontId="28" fillId="21" borderId="17" applyNumberFormat="0" applyProtection="0">
      <alignment horizontal="right" vertical="center"/>
    </xf>
    <xf numFmtId="0" fontId="30" fillId="0" borderId="0"/>
    <xf numFmtId="0" fontId="23" fillId="0" borderId="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1" borderId="0" applyNumberFormat="0" applyBorder="0" applyAlignment="0" applyProtection="0"/>
    <xf numFmtId="0" fontId="32" fillId="34" borderId="0" applyNumberFormat="0" applyBorder="0" applyAlignment="0" applyProtection="0"/>
    <xf numFmtId="0" fontId="32" fillId="37" borderId="0" applyNumberFormat="0" applyBorder="0" applyAlignment="0" applyProtection="0"/>
    <xf numFmtId="0" fontId="33" fillId="38" borderId="0" applyNumberFormat="0" applyBorder="0" applyAlignment="0" applyProtection="0"/>
    <xf numFmtId="0" fontId="33" fillId="35"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5" borderId="0" applyNumberFormat="0" applyBorder="0" applyAlignment="0" applyProtection="0"/>
    <xf numFmtId="0" fontId="22" fillId="0" borderId="0" applyNumberFormat="0" applyFill="0" applyBorder="0" applyAlignment="0" applyProtection="0"/>
    <xf numFmtId="0" fontId="34" fillId="29" borderId="0" applyNumberFormat="0" applyBorder="0" applyAlignment="0" applyProtection="0"/>
    <xf numFmtId="0" fontId="35" fillId="46" borderId="20" applyNumberFormat="0" applyAlignment="0" applyProtection="0"/>
    <xf numFmtId="0" fontId="36" fillId="47" borderId="21" applyNumberFormat="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22" fillId="9" borderId="0" applyNumberFormat="0" applyBorder="0" applyAlignment="0">
      <protection hidden="1"/>
    </xf>
    <xf numFmtId="0" fontId="37" fillId="0" borderId="0" applyNumberFormat="0" applyFill="0" applyBorder="0" applyAlignment="0" applyProtection="0"/>
    <xf numFmtId="0" fontId="38" fillId="30" borderId="0" applyNumberFormat="0" applyBorder="0" applyAlignment="0" applyProtection="0"/>
    <xf numFmtId="0" fontId="39" fillId="0" borderId="22" applyNumberFormat="0" applyFill="0" applyAlignment="0" applyProtection="0"/>
    <xf numFmtId="0" fontId="40" fillId="0" borderId="23" applyNumberFormat="0" applyFill="0" applyAlignment="0" applyProtection="0"/>
    <xf numFmtId="0" fontId="41" fillId="0" borderId="24" applyNumberFormat="0" applyFill="0" applyAlignment="0" applyProtection="0"/>
    <xf numFmtId="0" fontId="41" fillId="0" borderId="0" applyNumberFormat="0" applyFill="0" applyBorder="0" applyAlignment="0" applyProtection="0"/>
    <xf numFmtId="0" fontId="42" fillId="33" borderId="20" applyNumberFormat="0" applyAlignment="0" applyProtection="0"/>
    <xf numFmtId="0" fontId="43" fillId="0" borderId="25" applyNumberFormat="0" applyFill="0" applyAlignment="0" applyProtection="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0" fontId="22" fillId="48" borderId="0" applyNumberFormat="0" applyFont="0" applyBorder="0" applyAlignment="0"/>
    <xf numFmtId="170" fontId="44" fillId="0" borderId="0" applyFont="0" applyFill="0" applyBorder="0" applyAlignment="0" applyProtection="0"/>
    <xf numFmtId="168" fontId="44" fillId="0" borderId="0" applyFont="0" applyFill="0" applyBorder="0" applyAlignment="0" applyProtection="0"/>
    <xf numFmtId="171" fontId="44" fillId="0" borderId="0" applyFont="0" applyFill="0" applyBorder="0" applyAlignment="0" applyProtection="0"/>
    <xf numFmtId="169" fontId="44" fillId="0" borderId="0" applyFont="0" applyFill="0" applyBorder="0" applyAlignment="0" applyProtection="0"/>
    <xf numFmtId="0" fontId="45" fillId="49" borderId="0" applyNumberFormat="0" applyBorder="0" applyAlignment="0" applyProtection="0"/>
    <xf numFmtId="0" fontId="23"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applyProtection="0"/>
    <xf numFmtId="0" fontId="1" fillId="0" borderId="0"/>
    <xf numFmtId="0" fontId="22"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46" fillId="0" borderId="0"/>
    <xf numFmtId="0" fontId="30"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22" fillId="0" borderId="0"/>
    <xf numFmtId="0" fontId="1" fillId="0" borderId="0"/>
    <xf numFmtId="0" fontId="22" fillId="0" borderId="0"/>
    <xf numFmtId="0" fontId="1" fillId="0" borderId="0"/>
    <xf numFmtId="0" fontId="22" fillId="0" borderId="0"/>
    <xf numFmtId="0" fontId="1" fillId="0" borderId="0"/>
    <xf numFmtId="0" fontId="22" fillId="0" borderId="0"/>
    <xf numFmtId="0" fontId="1" fillId="0" borderId="0"/>
    <xf numFmtId="0" fontId="22"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applyProtection="0"/>
    <xf numFmtId="0" fontId="1" fillId="0" borderId="0"/>
    <xf numFmtId="0" fontId="22"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applyProtection="0"/>
    <xf numFmtId="0" fontId="1" fillId="0" borderId="0"/>
    <xf numFmtId="0" fontId="22"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1" fillId="0" borderId="0"/>
    <xf numFmtId="0" fontId="2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22" fillId="50" borderId="26" applyNumberFormat="0" applyFont="0" applyAlignment="0" applyProtection="0"/>
    <xf numFmtId="0" fontId="47" fillId="46" borderId="17"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48" fillId="0" borderId="0" applyNumberFormat="0" applyFill="0" applyBorder="0" applyAlignment="0" applyProtection="0"/>
    <xf numFmtId="0" fontId="31" fillId="0" borderId="27" applyNumberFormat="0" applyFill="0" applyAlignment="0" applyProtection="0"/>
    <xf numFmtId="0" fontId="49" fillId="0" borderId="0" applyNumberFormat="0" applyFill="0" applyBorder="0" applyAlignment="0" applyProtection="0"/>
    <xf numFmtId="0" fontId="50" fillId="0" borderId="28">
      <alignment horizontal="left"/>
    </xf>
    <xf numFmtId="0" fontId="50" fillId="0" borderId="29">
      <alignment horizontal="center"/>
      <protection hidden="1"/>
    </xf>
    <xf numFmtId="0" fontId="50" fillId="0" borderId="28">
      <alignment horizontal="left"/>
    </xf>
    <xf numFmtId="0" fontId="50" fillId="0" borderId="29">
      <alignment horizontal="center"/>
      <protection hidden="1"/>
    </xf>
    <xf numFmtId="0" fontId="50" fillId="0" borderId="28">
      <alignment horizontal="left"/>
    </xf>
    <xf numFmtId="9" fontId="1" fillId="0" borderId="0" applyFont="0" applyFill="0" applyBorder="0" applyAlignment="0" applyProtection="0"/>
    <xf numFmtId="168" fontId="1" fillId="0" borderId="0" applyFont="0" applyFill="0" applyBorder="0" applyAlignment="0" applyProtection="0"/>
    <xf numFmtId="0" fontId="52" fillId="0" borderId="0" applyNumberFormat="0" applyFill="0" applyBorder="0" applyAlignment="0" applyProtection="0"/>
  </cellStyleXfs>
  <cellXfs count="193">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7" xfId="0" applyFont="1" applyFill="1" applyBorder="1" applyAlignment="1">
      <alignment horizontal="left" vertical="top" wrapText="1"/>
    </xf>
    <xf numFmtId="0" fontId="3" fillId="0" borderId="7" xfId="0" applyFont="1" applyFill="1" applyBorder="1" applyAlignment="1">
      <alignment horizontal="right" vertical="top" wrapText="1"/>
    </xf>
    <xf numFmtId="0" fontId="0" fillId="0" borderId="8" xfId="0" applyFill="1" applyBorder="1" applyAlignment="1">
      <alignment horizontal="left" vertical="top" wrapText="1"/>
    </xf>
    <xf numFmtId="0" fontId="0" fillId="0" borderId="1" xfId="0" applyFill="1" applyBorder="1" applyAlignment="1">
      <alignment horizontal="left" vertical="top" wrapText="1"/>
    </xf>
    <xf numFmtId="0" fontId="4" fillId="0" borderId="1" xfId="0" applyFont="1" applyFill="1" applyBorder="1" applyAlignment="1">
      <alignment horizontal="left" vertical="top" wrapText="1"/>
    </xf>
    <xf numFmtId="0" fontId="0" fillId="0" borderId="4" xfId="0" applyFill="1" applyBorder="1" applyAlignment="1">
      <alignment horizontal="left" vertical="center" wrapText="1"/>
    </xf>
    <xf numFmtId="0" fontId="5" fillId="0" borderId="4"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0" fillId="0" borderId="8" xfId="0" applyFill="1" applyBorder="1" applyAlignment="1">
      <alignment horizontal="left" vertical="center" wrapText="1"/>
    </xf>
    <xf numFmtId="0" fontId="5" fillId="0" borderId="1" xfId="0" applyFont="1" applyFill="1" applyBorder="1" applyAlignment="1">
      <alignment horizontal="center" vertical="top" wrapText="1"/>
    </xf>
    <xf numFmtId="0" fontId="5" fillId="0" borderId="7" xfId="0" applyFont="1" applyFill="1" applyBorder="1" applyAlignment="1">
      <alignment horizontal="right" vertical="top" wrapText="1"/>
    </xf>
    <xf numFmtId="0" fontId="0" fillId="0" borderId="1" xfId="0" applyFill="1" applyBorder="1" applyAlignment="1">
      <alignment horizontal="left" vertical="center" wrapText="1"/>
    </xf>
    <xf numFmtId="0" fontId="5" fillId="0" borderId="8" xfId="0" applyFont="1" applyFill="1" applyBorder="1" applyAlignment="1">
      <alignment horizontal="left" vertical="top" wrapText="1" indent="1"/>
    </xf>
    <xf numFmtId="0" fontId="5" fillId="2" borderId="2" xfId="0" applyFont="1" applyFill="1" applyBorder="1" applyAlignment="1">
      <alignment horizontal="left" vertical="top" wrapText="1"/>
    </xf>
    <xf numFmtId="0" fontId="5" fillId="2" borderId="5" xfId="0" applyFont="1" applyFill="1" applyBorder="1" applyAlignment="1">
      <alignment horizontal="left" vertical="top" wrapText="1"/>
    </xf>
    <xf numFmtId="2" fontId="6" fillId="2" borderId="5" xfId="0" applyNumberFormat="1" applyFont="1" applyFill="1" applyBorder="1" applyAlignment="1">
      <alignment horizontal="center" vertical="top" shrinkToFit="1"/>
    </xf>
    <xf numFmtId="2" fontId="6" fillId="2" borderId="9" xfId="0" applyNumberFormat="1" applyFont="1" applyFill="1" applyBorder="1" applyAlignment="1">
      <alignment horizontal="center" vertical="top" shrinkToFit="1"/>
    </xf>
    <xf numFmtId="1" fontId="6" fillId="2" borderId="11" xfId="0" applyNumberFormat="1" applyFont="1" applyFill="1" applyBorder="1" applyAlignment="1">
      <alignment horizontal="center" vertical="top" shrinkToFit="1"/>
    </xf>
    <xf numFmtId="2" fontId="6" fillId="2" borderId="11" xfId="0" applyNumberFormat="1" applyFont="1" applyFill="1" applyBorder="1" applyAlignment="1">
      <alignment horizontal="right" vertical="top" shrinkToFit="1"/>
    </xf>
    <xf numFmtId="2" fontId="6" fillId="2" borderId="2" xfId="0" applyNumberFormat="1" applyFont="1" applyFill="1" applyBorder="1" applyAlignment="1">
      <alignment horizontal="center" vertical="top" shrinkToFit="1"/>
    </xf>
    <xf numFmtId="2" fontId="6" fillId="2" borderId="9" xfId="0" applyNumberFormat="1" applyFont="1" applyFill="1" applyBorder="1" applyAlignment="1">
      <alignment horizontal="left" vertical="top" indent="1" shrinkToFit="1"/>
    </xf>
    <xf numFmtId="2" fontId="6" fillId="2" borderId="11" xfId="0" applyNumberFormat="1" applyFont="1" applyFill="1" applyBorder="1" applyAlignment="1">
      <alignment horizontal="center" vertical="top" shrinkToFit="1"/>
    </xf>
    <xf numFmtId="2" fontId="6" fillId="2" borderId="11" xfId="0" applyNumberFormat="1" applyFont="1" applyFill="1" applyBorder="1" applyAlignment="1">
      <alignment horizontal="left" vertical="top" indent="1" shrinkToFit="1"/>
    </xf>
    <xf numFmtId="2" fontId="6" fillId="2" borderId="9" xfId="0" applyNumberFormat="1" applyFont="1" applyFill="1" applyBorder="1" applyAlignment="1">
      <alignment horizontal="right" vertical="top" shrinkToFi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2" fontId="6" fillId="0" borderId="13" xfId="0" applyNumberFormat="1" applyFont="1" applyFill="1" applyBorder="1" applyAlignment="1">
      <alignment horizontal="center" vertical="top" shrinkToFit="1"/>
    </xf>
    <xf numFmtId="2" fontId="6" fillId="0" borderId="14" xfId="0" applyNumberFormat="1" applyFont="1" applyFill="1" applyBorder="1" applyAlignment="1">
      <alignment horizontal="center" vertical="top" shrinkToFit="1"/>
    </xf>
    <xf numFmtId="1" fontId="6" fillId="0" borderId="0" xfId="0" applyNumberFormat="1" applyFont="1" applyFill="1" applyBorder="1" applyAlignment="1">
      <alignment horizontal="center" vertical="top" shrinkToFit="1"/>
    </xf>
    <xf numFmtId="2" fontId="6" fillId="0" borderId="0" xfId="0" applyNumberFormat="1" applyFont="1" applyFill="1" applyBorder="1" applyAlignment="1">
      <alignment horizontal="right" vertical="top" shrinkToFit="1"/>
    </xf>
    <xf numFmtId="2" fontId="6" fillId="0" borderId="12" xfId="0" applyNumberFormat="1" applyFont="1" applyFill="1" applyBorder="1" applyAlignment="1">
      <alignment horizontal="center" vertical="top" shrinkToFit="1"/>
    </xf>
    <xf numFmtId="2" fontId="6" fillId="0" borderId="14" xfId="0" applyNumberFormat="1" applyFont="1" applyFill="1" applyBorder="1" applyAlignment="1">
      <alignment horizontal="left" vertical="top" indent="1" shrinkToFit="1"/>
    </xf>
    <xf numFmtId="2" fontId="6" fillId="0" borderId="0" xfId="0" applyNumberFormat="1" applyFont="1" applyFill="1" applyBorder="1" applyAlignment="1">
      <alignment horizontal="center" vertical="top" shrinkToFit="1"/>
    </xf>
    <xf numFmtId="2" fontId="6" fillId="0" borderId="0" xfId="0" applyNumberFormat="1" applyFont="1" applyFill="1" applyBorder="1" applyAlignment="1">
      <alignment horizontal="left" vertical="top" indent="1" shrinkToFit="1"/>
    </xf>
    <xf numFmtId="2" fontId="6" fillId="0" borderId="14" xfId="0" applyNumberFormat="1" applyFont="1" applyFill="1" applyBorder="1" applyAlignment="1">
      <alignment horizontal="right" vertical="top" shrinkToFi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2" fontId="6" fillId="2" borderId="13" xfId="0" applyNumberFormat="1" applyFont="1" applyFill="1" applyBorder="1" applyAlignment="1">
      <alignment horizontal="center" vertical="top" shrinkToFit="1"/>
    </xf>
    <xf numFmtId="2" fontId="6" fillId="2" borderId="14" xfId="0" applyNumberFormat="1" applyFont="1" applyFill="1" applyBorder="1" applyAlignment="1">
      <alignment horizontal="center" vertical="top" shrinkToFit="1"/>
    </xf>
    <xf numFmtId="1" fontId="6" fillId="2" borderId="0" xfId="0" applyNumberFormat="1" applyFont="1" applyFill="1" applyBorder="1" applyAlignment="1">
      <alignment horizontal="center" vertical="top" shrinkToFit="1"/>
    </xf>
    <xf numFmtId="2" fontId="6" fillId="2" borderId="0" xfId="0" applyNumberFormat="1" applyFont="1" applyFill="1" applyBorder="1" applyAlignment="1">
      <alignment horizontal="right" vertical="top" shrinkToFit="1"/>
    </xf>
    <xf numFmtId="2" fontId="6" fillId="2" borderId="12" xfId="0" applyNumberFormat="1" applyFont="1" applyFill="1" applyBorder="1" applyAlignment="1">
      <alignment horizontal="center" vertical="top" shrinkToFit="1"/>
    </xf>
    <xf numFmtId="2" fontId="6" fillId="2" borderId="14" xfId="0" applyNumberFormat="1" applyFont="1" applyFill="1" applyBorder="1" applyAlignment="1">
      <alignment horizontal="left" vertical="top" indent="1" shrinkToFit="1"/>
    </xf>
    <xf numFmtId="2" fontId="6" fillId="2" borderId="0" xfId="0" applyNumberFormat="1" applyFont="1" applyFill="1" applyBorder="1" applyAlignment="1">
      <alignment horizontal="center" vertical="top" shrinkToFit="1"/>
    </xf>
    <xf numFmtId="2" fontId="6" fillId="2" borderId="0" xfId="0" applyNumberFormat="1" applyFont="1" applyFill="1" applyBorder="1" applyAlignment="1">
      <alignment horizontal="left" vertical="top" indent="1" shrinkToFit="1"/>
    </xf>
    <xf numFmtId="2" fontId="6" fillId="2" borderId="14" xfId="0" applyNumberFormat="1" applyFont="1" applyFill="1" applyBorder="1" applyAlignment="1">
      <alignment horizontal="right" vertical="top" shrinkToFit="1"/>
    </xf>
    <xf numFmtId="2" fontId="6" fillId="2" borderId="14" xfId="0" applyNumberFormat="1" applyFont="1" applyFill="1" applyBorder="1" applyAlignment="1">
      <alignment horizontal="right" vertical="top" indent="1" shrinkToFit="1"/>
    </xf>
    <xf numFmtId="2" fontId="6" fillId="0" borderId="14" xfId="0" applyNumberFormat="1" applyFont="1" applyFill="1" applyBorder="1" applyAlignment="1">
      <alignment horizontal="right" vertical="top" indent="1" shrinkToFit="1"/>
    </xf>
    <xf numFmtId="0" fontId="5" fillId="2" borderId="3" xfId="0" applyFont="1" applyFill="1" applyBorder="1" applyAlignment="1">
      <alignment horizontal="left" vertical="top" wrapText="1"/>
    </xf>
    <xf numFmtId="0" fontId="5" fillId="2" borderId="6" xfId="0" applyFont="1" applyFill="1" applyBorder="1" applyAlignment="1">
      <alignment horizontal="left" vertical="top" wrapText="1"/>
    </xf>
    <xf numFmtId="2" fontId="6" fillId="2" borderId="6" xfId="0" applyNumberFormat="1" applyFont="1" applyFill="1" applyBorder="1" applyAlignment="1">
      <alignment horizontal="center" vertical="top" shrinkToFit="1"/>
    </xf>
    <xf numFmtId="2" fontId="6" fillId="2" borderId="10" xfId="0" applyNumberFormat="1" applyFont="1" applyFill="1" applyBorder="1" applyAlignment="1">
      <alignment horizontal="center" vertical="top" shrinkToFit="1"/>
    </xf>
    <xf numFmtId="1" fontId="6" fillId="2" borderId="15" xfId="0" applyNumberFormat="1" applyFont="1" applyFill="1" applyBorder="1" applyAlignment="1">
      <alignment horizontal="center" vertical="top" shrinkToFit="1"/>
    </xf>
    <xf numFmtId="2" fontId="6" fillId="2" borderId="15" xfId="0" applyNumberFormat="1" applyFont="1" applyFill="1" applyBorder="1" applyAlignment="1">
      <alignment horizontal="right" vertical="top" shrinkToFit="1"/>
    </xf>
    <xf numFmtId="2" fontId="6" fillId="2" borderId="3" xfId="0" applyNumberFormat="1" applyFont="1" applyFill="1" applyBorder="1" applyAlignment="1">
      <alignment horizontal="center" vertical="top" shrinkToFit="1"/>
    </xf>
    <xf numFmtId="2" fontId="6" fillId="2" borderId="10" xfId="0" applyNumberFormat="1" applyFont="1" applyFill="1" applyBorder="1" applyAlignment="1">
      <alignment horizontal="left" vertical="top" indent="1" shrinkToFit="1"/>
    </xf>
    <xf numFmtId="2" fontId="6" fillId="2" borderId="15" xfId="0" applyNumberFormat="1" applyFont="1" applyFill="1" applyBorder="1" applyAlignment="1">
      <alignment horizontal="center" vertical="top" shrinkToFit="1"/>
    </xf>
    <xf numFmtId="2" fontId="6" fillId="2" borderId="15" xfId="0" applyNumberFormat="1" applyFont="1" applyFill="1" applyBorder="1" applyAlignment="1">
      <alignment horizontal="left" vertical="top" indent="1" shrinkToFit="1"/>
    </xf>
    <xf numFmtId="2" fontId="6" fillId="2" borderId="10" xfId="0" applyNumberFormat="1" applyFont="1" applyFill="1" applyBorder="1" applyAlignment="1">
      <alignment horizontal="right" vertical="top" indent="1" shrinkToFit="1"/>
    </xf>
    <xf numFmtId="0" fontId="7" fillId="0" borderId="0" xfId="0" applyFont="1" applyFill="1" applyBorder="1" applyAlignment="1">
      <alignment horizontal="left" vertical="top"/>
    </xf>
    <xf numFmtId="1" fontId="8" fillId="0" borderId="0" xfId="0" applyNumberFormat="1" applyFont="1" applyFill="1" applyBorder="1" applyAlignment="1">
      <alignment horizontal="center" vertical="top" shrinkToFit="1"/>
    </xf>
    <xf numFmtId="0" fontId="12" fillId="0" borderId="0" xfId="0" applyFont="1" applyFill="1" applyBorder="1" applyAlignment="1">
      <alignment horizontal="left" vertical="top"/>
    </xf>
    <xf numFmtId="0" fontId="12" fillId="0" borderId="0" xfId="0" applyFont="1" applyFill="1" applyBorder="1" applyAlignment="1">
      <alignment horizontal="left" vertical="top" wrapText="1"/>
    </xf>
    <xf numFmtId="2" fontId="0" fillId="0" borderId="0" xfId="0" applyNumberFormat="1" applyFill="1" applyBorder="1" applyAlignment="1">
      <alignment horizontal="left" vertical="top"/>
    </xf>
    <xf numFmtId="0" fontId="5" fillId="2" borderId="0" xfId="0" applyFont="1" applyFill="1" applyBorder="1" applyAlignment="1">
      <alignment horizontal="left" vertical="top" wrapText="1"/>
    </xf>
    <xf numFmtId="2" fontId="6" fillId="2" borderId="0" xfId="0" applyNumberFormat="1" applyFont="1" applyFill="1" applyBorder="1" applyAlignment="1">
      <alignment horizontal="right" vertical="top" indent="1" shrinkToFit="1"/>
    </xf>
    <xf numFmtId="2" fontId="6" fillId="3" borderId="14" xfId="0" applyNumberFormat="1" applyFont="1" applyFill="1" applyBorder="1" applyAlignment="1">
      <alignment horizontal="center" vertical="top" shrinkToFit="1"/>
    </xf>
    <xf numFmtId="2" fontId="6" fillId="3" borderId="0" xfId="0" applyNumberFormat="1" applyFont="1" applyFill="1" applyBorder="1" applyAlignment="1">
      <alignment horizontal="center" vertical="top" shrinkToFit="1"/>
    </xf>
    <xf numFmtId="2" fontId="6" fillId="3" borderId="0" xfId="0" applyNumberFormat="1" applyFont="1" applyFill="1" applyBorder="1" applyAlignment="1">
      <alignment horizontal="left" vertical="top" indent="1" shrinkToFit="1"/>
    </xf>
    <xf numFmtId="0" fontId="0" fillId="3" borderId="0" xfId="0" applyFill="1" applyBorder="1" applyAlignment="1">
      <alignment horizontal="left" vertical="top"/>
    </xf>
    <xf numFmtId="0" fontId="12" fillId="3" borderId="0" xfId="0" applyFont="1" applyFill="1" applyBorder="1" applyAlignment="1">
      <alignment horizontal="left" vertical="top"/>
    </xf>
    <xf numFmtId="0" fontId="12" fillId="3" borderId="0" xfId="0" applyFont="1" applyFill="1" applyBorder="1" applyAlignment="1">
      <alignment horizontal="left" vertical="top" wrapText="1"/>
    </xf>
    <xf numFmtId="1" fontId="0" fillId="3" borderId="0" xfId="0" applyNumberFormat="1" applyFill="1" applyBorder="1" applyAlignment="1">
      <alignment horizontal="left" vertical="top"/>
    </xf>
    <xf numFmtId="0" fontId="0" fillId="0" borderId="15" xfId="0" applyFill="1" applyBorder="1" applyAlignment="1">
      <alignment horizontal="left" vertical="top" wrapText="1"/>
    </xf>
    <xf numFmtId="0" fontId="0" fillId="0" borderId="0" xfId="0" applyFill="1" applyBorder="1" applyAlignment="1">
      <alignment horizontal="left" vertical="center" wrapText="1"/>
    </xf>
    <xf numFmtId="0" fontId="5" fillId="0" borderId="8" xfId="0" applyFont="1" applyFill="1" applyBorder="1" applyAlignment="1">
      <alignment horizontal="left" vertical="top" wrapText="1"/>
    </xf>
    <xf numFmtId="0" fontId="0" fillId="0" borderId="8" xfId="0" applyFill="1" applyBorder="1" applyAlignment="1">
      <alignment horizontal="left" vertical="center" wrapText="1"/>
    </xf>
    <xf numFmtId="11" fontId="0" fillId="0" borderId="0" xfId="0" applyNumberFormat="1" applyFill="1" applyBorder="1" applyAlignment="1">
      <alignment horizontal="left" vertical="top"/>
    </xf>
    <xf numFmtId="3" fontId="6" fillId="0" borderId="0" xfId="0" applyNumberFormat="1" applyFont="1" applyFill="1" applyBorder="1" applyAlignment="1">
      <alignment horizontal="left" vertical="top" indent="2" shrinkToFit="1"/>
    </xf>
    <xf numFmtId="3" fontId="6" fillId="0" borderId="0" xfId="0" applyNumberFormat="1" applyFont="1" applyFill="1" applyBorder="1" applyAlignment="1">
      <alignment horizontal="center" vertical="top" shrinkToFit="1"/>
    </xf>
    <xf numFmtId="3" fontId="6" fillId="0" borderId="15" xfId="0" applyNumberFormat="1" applyFont="1" applyFill="1" applyBorder="1" applyAlignment="1">
      <alignment horizontal="left" vertical="top" indent="2" shrinkToFit="1"/>
    </xf>
    <xf numFmtId="3" fontId="6" fillId="0" borderId="15" xfId="0" applyNumberFormat="1" applyFont="1" applyFill="1" applyBorder="1" applyAlignment="1">
      <alignment horizontal="center" vertical="top" shrinkToFit="1"/>
    </xf>
    <xf numFmtId="0" fontId="15" fillId="0" borderId="8" xfId="0" applyFont="1" applyFill="1" applyBorder="1" applyAlignment="1">
      <alignment horizontal="right" vertical="top" wrapText="1" indent="1"/>
    </xf>
    <xf numFmtId="0" fontId="15" fillId="0" borderId="8" xfId="0" applyFont="1" applyFill="1" applyBorder="1" applyAlignment="1">
      <alignment horizontal="center" vertical="top" wrapText="1"/>
    </xf>
    <xf numFmtId="0" fontId="16" fillId="0" borderId="15" xfId="0" applyFont="1" applyFill="1" applyBorder="1" applyAlignment="1">
      <alignment horizontal="left" vertical="top" wrapText="1" indent="2"/>
    </xf>
    <xf numFmtId="0" fontId="16" fillId="0" borderId="15" xfId="0" applyFont="1" applyFill="1" applyBorder="1" applyAlignment="1">
      <alignment horizontal="center" vertical="top" wrapText="1"/>
    </xf>
    <xf numFmtId="165" fontId="0" fillId="0" borderId="0" xfId="2" applyNumberFormat="1" applyFont="1" applyFill="1" applyBorder="1" applyAlignment="1">
      <alignment horizontal="left" vertical="top"/>
    </xf>
    <xf numFmtId="44" fontId="0" fillId="0" borderId="0" xfId="1" applyFont="1" applyFill="1" applyBorder="1" applyAlignment="1">
      <alignment horizontal="left" vertical="top"/>
    </xf>
    <xf numFmtId="44" fontId="0" fillId="3" borderId="0" xfId="0" applyNumberFormat="1" applyFill="1" applyBorder="1" applyAlignment="1">
      <alignment horizontal="left" vertical="top"/>
    </xf>
    <xf numFmtId="0" fontId="12" fillId="0" borderId="0" xfId="0" applyFont="1" applyFill="1" applyBorder="1" applyAlignment="1">
      <alignment horizontal="left" vertical="center" readingOrder="1"/>
    </xf>
    <xf numFmtId="44" fontId="12" fillId="0" borderId="0" xfId="1" applyFont="1" applyFill="1" applyBorder="1" applyAlignment="1">
      <alignment horizontal="left" vertical="center" readingOrder="1"/>
    </xf>
    <xf numFmtId="0" fontId="17" fillId="0" borderId="0" xfId="0" applyFont="1" applyFill="1" applyBorder="1" applyAlignment="1">
      <alignment horizontal="left" vertical="top"/>
    </xf>
    <xf numFmtId="0" fontId="3" fillId="0" borderId="8" xfId="0" applyFont="1" applyFill="1" applyBorder="1" applyAlignment="1">
      <alignment horizontal="center" vertical="top" wrapText="1"/>
    </xf>
    <xf numFmtId="0" fontId="5" fillId="0" borderId="0" xfId="0" applyFont="1" applyFill="1" applyBorder="1" applyAlignment="1">
      <alignment horizontal="left" vertical="top" wrapText="1" indent="1"/>
    </xf>
    <xf numFmtId="0" fontId="5" fillId="0" borderId="0" xfId="0" applyFont="1" applyFill="1" applyBorder="1" applyAlignment="1">
      <alignment horizontal="center" vertical="top" wrapText="1"/>
    </xf>
    <xf numFmtId="0" fontId="5" fillId="0" borderId="15" xfId="0" applyFont="1" applyFill="1" applyBorder="1" applyAlignment="1">
      <alignment horizontal="left" vertical="top" wrapText="1" indent="1"/>
    </xf>
    <xf numFmtId="0" fontId="3" fillId="0" borderId="8" xfId="0" applyFont="1" applyFill="1" applyBorder="1" applyAlignment="1">
      <alignment horizontal="left" vertical="top" wrapText="1" indent="2"/>
    </xf>
    <xf numFmtId="0" fontId="5" fillId="0" borderId="15" xfId="0" applyFont="1" applyFill="1" applyBorder="1" applyAlignment="1">
      <alignment horizontal="center" vertical="top" wrapText="1"/>
    </xf>
    <xf numFmtId="1" fontId="8" fillId="0" borderId="0" xfId="0" applyNumberFormat="1" applyFont="1" applyFill="1" applyBorder="1" applyAlignment="1">
      <alignment horizontal="left" vertical="top" shrinkToFit="1"/>
    </xf>
    <xf numFmtId="166" fontId="0" fillId="0" borderId="0" xfId="0" applyNumberFormat="1" applyFill="1" applyBorder="1" applyAlignment="1">
      <alignment horizontal="left" vertical="top"/>
    </xf>
    <xf numFmtId="2" fontId="12" fillId="4" borderId="0" xfId="0" applyNumberFormat="1" applyFont="1" applyFill="1" applyBorder="1" applyAlignment="1">
      <alignment vertical="center" readingOrder="1"/>
    </xf>
    <xf numFmtId="166" fontId="0" fillId="5" borderId="0" xfId="0" applyNumberFormat="1" applyFill="1" applyBorder="1" applyAlignment="1">
      <alignment horizontal="left" vertical="top"/>
    </xf>
    <xf numFmtId="9" fontId="6" fillId="0" borderId="8" xfId="0" applyNumberFormat="1" applyFont="1" applyFill="1" applyBorder="1" applyAlignment="1">
      <alignment horizontal="center" vertical="top" shrinkToFit="1"/>
    </xf>
    <xf numFmtId="0" fontId="12" fillId="0" borderId="8" xfId="0" applyFont="1" applyFill="1" applyBorder="1" applyAlignment="1">
      <alignment horizontal="left" vertical="center" wrapText="1"/>
    </xf>
    <xf numFmtId="166" fontId="0" fillId="3" borderId="0" xfId="0" applyNumberFormat="1" applyFill="1" applyBorder="1" applyAlignment="1">
      <alignment horizontal="left" vertical="top"/>
    </xf>
    <xf numFmtId="2" fontId="6" fillId="6" borderId="14" xfId="0" applyNumberFormat="1" applyFont="1" applyFill="1" applyBorder="1" applyAlignment="1">
      <alignment horizontal="center" vertical="top" shrinkToFit="1"/>
    </xf>
    <xf numFmtId="2" fontId="6" fillId="6" borderId="0" xfId="0" applyNumberFormat="1" applyFont="1" applyFill="1" applyBorder="1" applyAlignment="1">
      <alignment horizontal="center" vertical="top" shrinkToFit="1"/>
    </xf>
    <xf numFmtId="0" fontId="12" fillId="0" borderId="0" xfId="0" applyFont="1" applyFill="1" applyBorder="1" applyAlignment="1">
      <alignment horizontal="left" vertical="center" wrapText="1"/>
    </xf>
    <xf numFmtId="2" fontId="6" fillId="7" borderId="0" xfId="0" applyNumberFormat="1" applyFont="1" applyFill="1" applyBorder="1" applyAlignment="1">
      <alignment horizontal="center" vertical="top" shrinkToFit="1"/>
    </xf>
    <xf numFmtId="2" fontId="6" fillId="7" borderId="0" xfId="0" applyNumberFormat="1" applyFont="1" applyFill="1" applyBorder="1" applyAlignment="1">
      <alignment horizontal="right" vertical="top" indent="3" shrinkToFit="1"/>
    </xf>
    <xf numFmtId="2" fontId="6" fillId="7" borderId="15" xfId="0" applyNumberFormat="1" applyFont="1" applyFill="1" applyBorder="1" applyAlignment="1">
      <alignment horizontal="center" vertical="top" shrinkToFit="1"/>
    </xf>
    <xf numFmtId="2" fontId="6" fillId="7" borderId="15" xfId="0" applyNumberFormat="1" applyFont="1" applyFill="1" applyBorder="1" applyAlignment="1">
      <alignment horizontal="right" vertical="top" indent="3" shrinkToFit="1"/>
    </xf>
    <xf numFmtId="0" fontId="0" fillId="7" borderId="0" xfId="0" applyFill="1" applyBorder="1" applyAlignment="1">
      <alignment horizontal="center" vertical="top"/>
    </xf>
    <xf numFmtId="0" fontId="12" fillId="0" borderId="0" xfId="0" applyFont="1" applyFill="1" applyBorder="1" applyAlignment="1">
      <alignment vertical="center" readingOrder="1"/>
    </xf>
    <xf numFmtId="0" fontId="13" fillId="0" borderId="0" xfId="0" applyFont="1" applyFill="1" applyBorder="1" applyAlignment="1">
      <alignment horizontal="left" vertical="center"/>
    </xf>
    <xf numFmtId="0" fontId="17" fillId="3" borderId="0" xfId="0" applyFont="1" applyFill="1" applyBorder="1" applyAlignment="1">
      <alignment horizontal="left" vertical="top"/>
    </xf>
    <xf numFmtId="42" fontId="0" fillId="0" borderId="0" xfId="1" applyNumberFormat="1" applyFont="1" applyFill="1" applyBorder="1" applyAlignment="1">
      <alignment horizontal="left" vertical="top"/>
    </xf>
    <xf numFmtId="2" fontId="6" fillId="0" borderId="16" xfId="0" applyNumberFormat="1" applyFont="1" applyFill="1" applyBorder="1" applyAlignment="1">
      <alignment horizontal="center" vertical="top" shrinkToFit="1"/>
    </xf>
    <xf numFmtId="2" fontId="0" fillId="3" borderId="0" xfId="0" applyNumberFormat="1" applyFill="1" applyBorder="1" applyAlignment="1">
      <alignment horizontal="left" vertical="top"/>
    </xf>
    <xf numFmtId="164" fontId="0" fillId="3" borderId="0" xfId="0" applyNumberFormat="1" applyFill="1" applyBorder="1" applyAlignment="1">
      <alignment vertical="top"/>
    </xf>
    <xf numFmtId="166" fontId="0" fillId="0" borderId="0" xfId="0" applyNumberFormat="1"/>
    <xf numFmtId="166" fontId="0" fillId="3" borderId="0" xfId="0" applyNumberFormat="1" applyFill="1"/>
    <xf numFmtId="44" fontId="0" fillId="0" borderId="0" xfId="0" applyNumberFormat="1" applyFill="1" applyBorder="1" applyAlignment="1">
      <alignment horizontal="left" vertical="top"/>
    </xf>
    <xf numFmtId="2" fontId="17" fillId="0" borderId="0" xfId="0" applyNumberFormat="1" applyFont="1" applyFill="1" applyBorder="1" applyAlignment="1">
      <alignment horizontal="left" vertical="top"/>
    </xf>
    <xf numFmtId="44" fontId="17" fillId="3" borderId="0" xfId="0" applyNumberFormat="1" applyFont="1" applyFill="1" applyBorder="1" applyAlignment="1">
      <alignment horizontal="left" vertical="top"/>
    </xf>
    <xf numFmtId="0" fontId="0" fillId="8" borderId="0" xfId="0" applyFill="1" applyBorder="1" applyAlignment="1">
      <alignment horizontal="left" vertical="top"/>
    </xf>
    <xf numFmtId="166" fontId="0" fillId="8" borderId="0" xfId="0" applyNumberFormat="1" applyFill="1" applyBorder="1" applyAlignment="1">
      <alignment horizontal="left" vertical="top"/>
    </xf>
    <xf numFmtId="44" fontId="0" fillId="8" borderId="0" xfId="0" applyNumberFormat="1" applyFill="1" applyBorder="1" applyAlignment="1">
      <alignment horizontal="left" vertical="top"/>
    </xf>
    <xf numFmtId="44" fontId="17" fillId="8" borderId="0" xfId="0" applyNumberFormat="1" applyFont="1" applyFill="1" applyBorder="1" applyAlignment="1">
      <alignment horizontal="left" vertical="top"/>
    </xf>
    <xf numFmtId="1" fontId="0" fillId="8" borderId="0" xfId="0" applyNumberFormat="1" applyFill="1" applyBorder="1" applyAlignment="1">
      <alignment horizontal="left" vertical="top"/>
    </xf>
    <xf numFmtId="0" fontId="0" fillId="4" borderId="0" xfId="0" applyFill="1" applyBorder="1" applyAlignment="1">
      <alignment horizontal="left" vertical="top"/>
    </xf>
    <xf numFmtId="166" fontId="0" fillId="4" borderId="0" xfId="0" applyNumberFormat="1" applyFill="1" applyBorder="1" applyAlignment="1">
      <alignment horizontal="left" vertical="top"/>
    </xf>
    <xf numFmtId="44" fontId="0" fillId="4" borderId="0" xfId="0" applyNumberFormat="1" applyFill="1" applyBorder="1" applyAlignment="1">
      <alignment horizontal="left" vertical="top"/>
    </xf>
    <xf numFmtId="44" fontId="17" fillId="4" borderId="0" xfId="0" applyNumberFormat="1" applyFont="1" applyFill="1" applyBorder="1" applyAlignment="1">
      <alignment horizontal="left" vertical="top"/>
    </xf>
    <xf numFmtId="1" fontId="0" fillId="4" borderId="0" xfId="0" applyNumberFormat="1" applyFill="1" applyBorder="1" applyAlignment="1">
      <alignment horizontal="left" vertical="top"/>
    </xf>
    <xf numFmtId="1" fontId="12" fillId="0" borderId="0" xfId="1" applyNumberFormat="1" applyFont="1" applyFill="1" applyBorder="1" applyAlignment="1">
      <alignment horizontal="left" vertical="top"/>
    </xf>
    <xf numFmtId="1" fontId="12" fillId="0" borderId="0" xfId="0" applyNumberFormat="1" applyFont="1" applyFill="1" applyBorder="1" applyAlignment="1">
      <alignment horizontal="left" vertical="top"/>
    </xf>
    <xf numFmtId="2" fontId="12" fillId="0" borderId="0" xfId="0" applyNumberFormat="1" applyFont="1" applyFill="1" applyBorder="1" applyAlignment="1">
      <alignment horizontal="left" vertical="top"/>
    </xf>
    <xf numFmtId="44" fontId="12" fillId="0" borderId="0" xfId="1" applyFont="1" applyFill="1" applyBorder="1" applyAlignment="1">
      <alignment horizontal="center" vertical="center" readingOrder="1"/>
    </xf>
    <xf numFmtId="44" fontId="12" fillId="3" borderId="0" xfId="1" applyFont="1" applyFill="1" applyBorder="1" applyAlignment="1">
      <alignment horizontal="left" vertical="top"/>
    </xf>
    <xf numFmtId="167" fontId="0" fillId="3" borderId="0" xfId="1" applyNumberFormat="1" applyFont="1" applyFill="1" applyBorder="1" applyAlignment="1">
      <alignment horizontal="left" vertical="top"/>
    </xf>
    <xf numFmtId="44" fontId="12" fillId="3" borderId="0" xfId="1" applyFont="1" applyFill="1" applyBorder="1" applyAlignment="1">
      <alignment horizontal="center" vertical="top"/>
    </xf>
    <xf numFmtId="0" fontId="0" fillId="3" borderId="0" xfId="0" applyFill="1"/>
    <xf numFmtId="0" fontId="29" fillId="0" borderId="0" xfId="0" applyFont="1" applyFill="1" applyBorder="1" applyAlignment="1">
      <alignment horizontal="left" vertical="top"/>
    </xf>
    <xf numFmtId="44" fontId="12" fillId="0" borderId="0" xfId="1" applyFont="1" applyFill="1" applyBorder="1" applyAlignment="1">
      <alignment horizontal="left" vertical="top"/>
    </xf>
    <xf numFmtId="164" fontId="12" fillId="3" borderId="0" xfId="0" applyNumberFormat="1" applyFont="1" applyFill="1" applyBorder="1" applyAlignment="1">
      <alignment vertical="top"/>
    </xf>
    <xf numFmtId="165" fontId="12" fillId="0" borderId="0" xfId="2" applyNumberFormat="1" applyFont="1" applyFill="1" applyBorder="1" applyAlignment="1">
      <alignment horizontal="left" vertical="top"/>
    </xf>
    <xf numFmtId="42" fontId="12" fillId="0" borderId="0" xfId="1" applyNumberFormat="1" applyFont="1" applyFill="1" applyBorder="1" applyAlignment="1">
      <alignment horizontal="left" vertical="top"/>
    </xf>
    <xf numFmtId="0" fontId="17" fillId="0" borderId="0" xfId="0" applyFont="1"/>
    <xf numFmtId="0" fontId="12" fillId="0" borderId="0" xfId="0" applyFont="1"/>
    <xf numFmtId="1" fontId="12" fillId="0" borderId="0" xfId="0" applyNumberFormat="1" applyFont="1"/>
    <xf numFmtId="2" fontId="0" fillId="0" borderId="0" xfId="0" applyNumberFormat="1"/>
    <xf numFmtId="1" fontId="0" fillId="0" borderId="0" xfId="0" applyNumberFormat="1"/>
    <xf numFmtId="0" fontId="0" fillId="0" borderId="0" xfId="0"/>
    <xf numFmtId="0" fontId="0" fillId="0" borderId="0" xfId="0" applyAlignment="1">
      <alignment wrapText="1"/>
    </xf>
    <xf numFmtId="44" fontId="0" fillId="3" borderId="0" xfId="1" applyFont="1" applyFill="1" applyBorder="1" applyAlignment="1">
      <alignment horizontal="left" vertical="top"/>
    </xf>
    <xf numFmtId="44" fontId="17" fillId="0" borderId="0" xfId="1" applyFont="1" applyFill="1" applyBorder="1" applyAlignment="1">
      <alignment horizontal="center" vertical="top"/>
    </xf>
    <xf numFmtId="1" fontId="6" fillId="3" borderId="0" xfId="0" applyNumberFormat="1" applyFont="1" applyFill="1" applyBorder="1" applyAlignment="1">
      <alignment horizontal="center" vertical="top" shrinkToFit="1"/>
    </xf>
    <xf numFmtId="2" fontId="6" fillId="3" borderId="0" xfId="0" applyNumberFormat="1" applyFont="1" applyFill="1" applyBorder="1" applyAlignment="1">
      <alignment horizontal="right" vertical="top" shrinkToFit="1"/>
    </xf>
    <xf numFmtId="2" fontId="12" fillId="0" borderId="0" xfId="0" applyNumberFormat="1" applyFont="1" applyFill="1" applyBorder="1" applyAlignment="1">
      <alignment horizontal="center" vertical="top"/>
    </xf>
    <xf numFmtId="2" fontId="12" fillId="3" borderId="0" xfId="1" applyNumberFormat="1" applyFont="1" applyFill="1" applyBorder="1" applyAlignment="1">
      <alignment horizontal="center" vertical="top"/>
    </xf>
    <xf numFmtId="2" fontId="0" fillId="3" borderId="0" xfId="0" applyNumberFormat="1" applyFill="1" applyBorder="1" applyAlignment="1">
      <alignment horizontal="center" vertical="top"/>
    </xf>
    <xf numFmtId="0" fontId="0" fillId="3" borderId="0" xfId="0" applyFill="1" applyBorder="1" applyAlignment="1">
      <alignment horizontal="center" vertical="top"/>
    </xf>
    <xf numFmtId="2" fontId="17" fillId="3" borderId="0" xfId="0" applyNumberFormat="1" applyFont="1" applyFill="1" applyBorder="1" applyAlignment="1">
      <alignment horizontal="center" vertical="top"/>
    </xf>
    <xf numFmtId="2" fontId="17" fillId="3" borderId="0" xfId="0" applyNumberFormat="1" applyFont="1" applyFill="1"/>
    <xf numFmtId="9" fontId="0" fillId="0" borderId="0" xfId="0" applyNumberFormat="1" applyFill="1" applyBorder="1" applyAlignment="1">
      <alignment horizontal="left" vertical="top"/>
    </xf>
    <xf numFmtId="9" fontId="0" fillId="0" borderId="0" xfId="3" applyFont="1" applyFill="1" applyBorder="1" applyAlignment="1">
      <alignment horizontal="right" vertical="top"/>
    </xf>
    <xf numFmtId="165" fontId="51" fillId="0" borderId="0" xfId="453" applyNumberFormat="1" applyFont="1"/>
    <xf numFmtId="0" fontId="53" fillId="0" borderId="0"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7" xfId="0" applyFont="1" applyFill="1" applyBorder="1" applyAlignment="1">
      <alignment horizontal="left" vertical="top" wrapText="1" indent="2"/>
    </xf>
    <xf numFmtId="0" fontId="5" fillId="0" borderId="8" xfId="0" applyFont="1" applyFill="1" applyBorder="1" applyAlignment="1">
      <alignment horizontal="left" vertical="top" wrapText="1" indent="2"/>
    </xf>
    <xf numFmtId="0" fontId="5" fillId="0" borderId="7" xfId="0" applyFont="1" applyFill="1" applyBorder="1" applyAlignment="1">
      <alignment horizontal="left" vertical="top" wrapText="1" indent="1"/>
    </xf>
    <xf numFmtId="0" fontId="5" fillId="0" borderId="1" xfId="0" applyFont="1" applyFill="1" applyBorder="1" applyAlignment="1">
      <alignment horizontal="left" vertical="top" wrapText="1" inden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9" xfId="0" applyFont="1" applyFill="1" applyBorder="1" applyAlignment="1">
      <alignment horizontal="left" wrapText="1"/>
    </xf>
    <xf numFmtId="0" fontId="3" fillId="0" borderId="10" xfId="0" applyFont="1" applyFill="1" applyBorder="1" applyAlignment="1">
      <alignment horizontal="left" wrapText="1"/>
    </xf>
  </cellXfs>
  <cellStyles count="455">
    <cellStyle name="20% - Accent1 2" xfId="58"/>
    <cellStyle name="20% - Accent2 2" xfId="59"/>
    <cellStyle name="20% - Accent3 2" xfId="60"/>
    <cellStyle name="20% - Accent4 2" xfId="61"/>
    <cellStyle name="20% - Accent5 2" xfId="62"/>
    <cellStyle name="20% - Accent6 2" xfId="63"/>
    <cellStyle name="40% - Accent1 2" xfId="64"/>
    <cellStyle name="40% - Accent2 2" xfId="65"/>
    <cellStyle name="40% - Accent3 2" xfId="66"/>
    <cellStyle name="40% - Accent4 2" xfId="67"/>
    <cellStyle name="40% - Accent5 2" xfId="68"/>
    <cellStyle name="40% - Accent6 2" xfId="69"/>
    <cellStyle name="60% - Accent1 2" xfId="70"/>
    <cellStyle name="60% - Accent2 2" xfId="71"/>
    <cellStyle name="60% - Accent3 2" xfId="72"/>
    <cellStyle name="60% - Accent4 2" xfId="73"/>
    <cellStyle name="60% - Accent5 2" xfId="74"/>
    <cellStyle name="60% - Accent6 2" xfId="75"/>
    <cellStyle name="Accent1 2" xfId="76"/>
    <cellStyle name="Accent2 2" xfId="77"/>
    <cellStyle name="Accent3 2" xfId="78"/>
    <cellStyle name="Accent4 2" xfId="79"/>
    <cellStyle name="Accent5 2" xfId="80"/>
    <cellStyle name="Accent6 2" xfId="81"/>
    <cellStyle name="ANCLAS,REZONES Y SUS PARTES,DE FUNDICION,DE HIERRO O DE ACERO" xfId="82"/>
    <cellStyle name="Bad 2" xfId="83"/>
    <cellStyle name="Calculation 2" xfId="84"/>
    <cellStyle name="Check Cell 2" xfId="85"/>
    <cellStyle name="Comma" xfId="2" builtinId="3"/>
    <cellStyle name="Comma 2" xfId="6"/>
    <cellStyle name="Comma 2 2" xfId="87"/>
    <cellStyle name="Comma 2 2 2" xfId="88"/>
    <cellStyle name="Comma 2 3" xfId="89"/>
    <cellStyle name="Comma 2 4" xfId="86"/>
    <cellStyle name="Comma 3" xfId="7"/>
    <cellStyle name="Comma 3 2" xfId="91"/>
    <cellStyle name="Comma 3 3" xfId="90"/>
    <cellStyle name="Comma 4" xfId="5"/>
    <cellStyle name="Comma 4 2" xfId="93"/>
    <cellStyle name="Comma 4 2 2" xfId="94"/>
    <cellStyle name="Comma 4 3" xfId="95"/>
    <cellStyle name="Comma 4 3 2" xfId="96"/>
    <cellStyle name="Comma 4 4" xfId="92"/>
    <cellStyle name="Comma 5" xfId="97"/>
    <cellStyle name="Comma 6" xfId="98"/>
    <cellStyle name="Comma 6 2" xfId="99"/>
    <cellStyle name="Comma 7" xfId="453"/>
    <cellStyle name="Cover" xfId="100"/>
    <cellStyle name="Cover 2" xfId="101"/>
    <cellStyle name="Cover 3" xfId="102"/>
    <cellStyle name="Cover 3 2" xfId="103"/>
    <cellStyle name="Cover 3 3" xfId="104"/>
    <cellStyle name="Cover 3 3 2" xfId="105"/>
    <cellStyle name="Cover 3 3 3" xfId="106"/>
    <cellStyle name="Cover 3 3 3 2" xfId="107"/>
    <cellStyle name="Cover 3 3 3 3" xfId="108"/>
    <cellStyle name="Cover 3 3 4" xfId="109"/>
    <cellStyle name="Cover 3 3 4 2" xfId="110"/>
    <cellStyle name="Cover 3 4" xfId="111"/>
    <cellStyle name="Cover 3 4 2" xfId="112"/>
    <cellStyle name="Cover 4" xfId="113"/>
    <cellStyle name="Cover 4 2" xfId="114"/>
    <cellStyle name="Cover 4 2 2" xfId="115"/>
    <cellStyle name="Cover 4 2 3" xfId="116"/>
    <cellStyle name="Cover 4 2 3 2" xfId="117"/>
    <cellStyle name="Cover 4 2 3 3" xfId="118"/>
    <cellStyle name="Cover 4 2 4" xfId="119"/>
    <cellStyle name="Cover 4 2 4 2" xfId="120"/>
    <cellStyle name="Cover 4 3" xfId="121"/>
    <cellStyle name="Cover 4 3 2" xfId="122"/>
    <cellStyle name="Cover 4 3 3" xfId="123"/>
    <cellStyle name="Cover 4 4" xfId="124"/>
    <cellStyle name="Currency" xfId="1" builtinId="4"/>
    <cellStyle name="Currency 2" xfId="8"/>
    <cellStyle name="Explanatory Text 2" xfId="125"/>
    <cellStyle name="Good 2" xfId="126"/>
    <cellStyle name="Heading 1 2" xfId="127"/>
    <cellStyle name="Heading 2 2" xfId="128"/>
    <cellStyle name="Heading 3 2" xfId="129"/>
    <cellStyle name="Heading 4 2" xfId="130"/>
    <cellStyle name="Hyperlink 2" xfId="454"/>
    <cellStyle name="Input 2" xfId="131"/>
    <cellStyle name="Linked Cell 2" xfId="132"/>
    <cellStyle name="Menu" xfId="133"/>
    <cellStyle name="Menu 2" xfId="134"/>
    <cellStyle name="Menu 3" xfId="135"/>
    <cellStyle name="Menu 3 2" xfId="136"/>
    <cellStyle name="Menu 3 3" xfId="137"/>
    <cellStyle name="Menu 3 3 2" xfId="138"/>
    <cellStyle name="Menu 3 3 3" xfId="139"/>
    <cellStyle name="Menu 3 3 3 2" xfId="140"/>
    <cellStyle name="Menu 3 3 3 3" xfId="141"/>
    <cellStyle name="Menu 3 3 4" xfId="142"/>
    <cellStyle name="Menu 3 3 4 2" xfId="143"/>
    <cellStyle name="Menu 3 4" xfId="144"/>
    <cellStyle name="Menu 3 4 2" xfId="145"/>
    <cellStyle name="Menu 4" xfId="146"/>
    <cellStyle name="Menu 4 2" xfId="147"/>
    <cellStyle name="Menu 4 2 2" xfId="148"/>
    <cellStyle name="Menu 4 2 3" xfId="149"/>
    <cellStyle name="Menu 4 2 3 2" xfId="150"/>
    <cellStyle name="Menu 4 2 3 3" xfId="151"/>
    <cellStyle name="Menu 4 2 4" xfId="152"/>
    <cellStyle name="Menu 4 2 4 2" xfId="153"/>
    <cellStyle name="Menu 4 3" xfId="154"/>
    <cellStyle name="Menu 4 3 2" xfId="155"/>
    <cellStyle name="Menu 4 3 3" xfId="156"/>
    <cellStyle name="Menu 4 4" xfId="157"/>
    <cellStyle name="Milliers [0]_Oilques" xfId="158"/>
    <cellStyle name="Milliers_Oilques" xfId="159"/>
    <cellStyle name="Monétaire [0]_Oilques" xfId="160"/>
    <cellStyle name="Monétaire_Oilques" xfId="161"/>
    <cellStyle name="Neutral 2" xfId="162"/>
    <cellStyle name="Normal" xfId="0" builtinId="0"/>
    <cellStyle name="Normal 10" xfId="163"/>
    <cellStyle name="Normal 10 2" xfId="164"/>
    <cellStyle name="Normal 10 2 2" xfId="165"/>
    <cellStyle name="Normal 10 3" xfId="166"/>
    <cellStyle name="Normal 100 2" xfId="167"/>
    <cellStyle name="Normal 101 2" xfId="168"/>
    <cellStyle name="Normal 102 2" xfId="169"/>
    <cellStyle name="Normal 103 2" xfId="170"/>
    <cellStyle name="Normal 104 2" xfId="171"/>
    <cellStyle name="Normal 105 2" xfId="172"/>
    <cellStyle name="Normal 106 2" xfId="173"/>
    <cellStyle name="Normal 107 2" xfId="174"/>
    <cellStyle name="Normal 108 2" xfId="175"/>
    <cellStyle name="Normal 109 2" xfId="176"/>
    <cellStyle name="Normal 11" xfId="177"/>
    <cellStyle name="Normal 11 2" xfId="178"/>
    <cellStyle name="Normal 110 2" xfId="179"/>
    <cellStyle name="Normal 111 2" xfId="180"/>
    <cellStyle name="Normal 112 2" xfId="181"/>
    <cellStyle name="Normal 113 2" xfId="182"/>
    <cellStyle name="Normal 114 2" xfId="183"/>
    <cellStyle name="Normal 115 2" xfId="184"/>
    <cellStyle name="Normal 116 2" xfId="185"/>
    <cellStyle name="Normal 117 2" xfId="186"/>
    <cellStyle name="Normal 118 2" xfId="187"/>
    <cellStyle name="Normal 119 2" xfId="188"/>
    <cellStyle name="Normal 12" xfId="189"/>
    <cellStyle name="Normal 12 2" xfId="190"/>
    <cellStyle name="Normal 120 2" xfId="191"/>
    <cellStyle name="Normal 121 2" xfId="192"/>
    <cellStyle name="Normal 122 2" xfId="193"/>
    <cellStyle name="Normal 123 2" xfId="194"/>
    <cellStyle name="Normal 124 2" xfId="195"/>
    <cellStyle name="Normal 125 2" xfId="196"/>
    <cellStyle name="Normal 126 2" xfId="197"/>
    <cellStyle name="Normal 127 2" xfId="198"/>
    <cellStyle name="Normal 128 2" xfId="199"/>
    <cellStyle name="Normal 129 2" xfId="200"/>
    <cellStyle name="Normal 13" xfId="57"/>
    <cellStyle name="Normal 13 2" xfId="201"/>
    <cellStyle name="Normal 13 3" xfId="202"/>
    <cellStyle name="Normal 130 2" xfId="203"/>
    <cellStyle name="Normal 131 2" xfId="204"/>
    <cellStyle name="Normal 132 2" xfId="205"/>
    <cellStyle name="Normal 133 2" xfId="206"/>
    <cellStyle name="Normal 134 2" xfId="207"/>
    <cellStyle name="Normal 135 2" xfId="208"/>
    <cellStyle name="Normal 136 2" xfId="209"/>
    <cellStyle name="Normal 137 2" xfId="210"/>
    <cellStyle name="Normal 138 2" xfId="211"/>
    <cellStyle name="Normal 139 2" xfId="212"/>
    <cellStyle name="Normal 14" xfId="213"/>
    <cellStyle name="Normal 14 2" xfId="214"/>
    <cellStyle name="Normal 14 3" xfId="215"/>
    <cellStyle name="Normal 140 2" xfId="216"/>
    <cellStyle name="Normal 141 2" xfId="217"/>
    <cellStyle name="Normal 142 2" xfId="218"/>
    <cellStyle name="Normal 143 2" xfId="219"/>
    <cellStyle name="Normal 144 2" xfId="220"/>
    <cellStyle name="Normal 145 2" xfId="221"/>
    <cellStyle name="Normal 146 2" xfId="222"/>
    <cellStyle name="Normal 147 2" xfId="223"/>
    <cellStyle name="Normal 148 2" xfId="224"/>
    <cellStyle name="Normal 149 2" xfId="225"/>
    <cellStyle name="Normal 15" xfId="226"/>
    <cellStyle name="Normal 15 2" xfId="227"/>
    <cellStyle name="Normal 15 3" xfId="228"/>
    <cellStyle name="Normal 150 2" xfId="229"/>
    <cellStyle name="Normal 151 2" xfId="230"/>
    <cellStyle name="Normal 152 2" xfId="231"/>
    <cellStyle name="Normal 153 2" xfId="232"/>
    <cellStyle name="Normal 154 2" xfId="233"/>
    <cellStyle name="Normal 155" xfId="234"/>
    <cellStyle name="Normal 156" xfId="235"/>
    <cellStyle name="Normal 156 2" xfId="236"/>
    <cellStyle name="Normal 156 2 2" xfId="237"/>
    <cellStyle name="Normal 156 3" xfId="238"/>
    <cellStyle name="Normal 156_pivot" xfId="239"/>
    <cellStyle name="Normal 16 2" xfId="240"/>
    <cellStyle name="Normal 17 2" xfId="241"/>
    <cellStyle name="Normal 18 2" xfId="242"/>
    <cellStyle name="Normal 19 2" xfId="243"/>
    <cellStyle name="Normal 2" xfId="9"/>
    <cellStyle name="Normal 2 10" xfId="244"/>
    <cellStyle name="Normal 2 11" xfId="56"/>
    <cellStyle name="Normal 2 2" xfId="245"/>
    <cellStyle name="Normal 2 3" xfId="246"/>
    <cellStyle name="Normal 2 4" xfId="247"/>
    <cellStyle name="Normal 2 5" xfId="248"/>
    <cellStyle name="Normal 2 6" xfId="249"/>
    <cellStyle name="Normal 2 6 2" xfId="250"/>
    <cellStyle name="Normal 2 7" xfId="251"/>
    <cellStyle name="Normal 2 8" xfId="252"/>
    <cellStyle name="Normal 2 8 2" xfId="253"/>
    <cellStyle name="Normal 2 9" xfId="254"/>
    <cellStyle name="Normal 2_flatfile" xfId="255"/>
    <cellStyle name="Normal 20 2" xfId="256"/>
    <cellStyle name="Normal 21 2" xfId="257"/>
    <cellStyle name="Normal 22 2" xfId="258"/>
    <cellStyle name="Normal 23 2" xfId="259"/>
    <cellStyle name="Normal 24 2" xfId="260"/>
    <cellStyle name="Normal 25 2" xfId="261"/>
    <cellStyle name="Normal 26 2" xfId="262"/>
    <cellStyle name="Normal 27 2" xfId="263"/>
    <cellStyle name="Normal 28 2" xfId="264"/>
    <cellStyle name="Normal 29 2" xfId="265"/>
    <cellStyle name="Normal 3" xfId="10"/>
    <cellStyle name="Normal 3 2" xfId="267"/>
    <cellStyle name="Normal 3 2 2" xfId="268"/>
    <cellStyle name="Normal 3 2 3" xfId="269"/>
    <cellStyle name="Normal 3 2 3 2" xfId="270"/>
    <cellStyle name="Normal 3 2 3 2 2" xfId="271"/>
    <cellStyle name="Normal 3 2 3 2 3" xfId="272"/>
    <cellStyle name="Normal 3 2 3 2 4" xfId="273"/>
    <cellStyle name="Normal 3 2 3 2 4 2" xfId="274"/>
    <cellStyle name="Normal 3 2 3 2 4 3" xfId="275"/>
    <cellStyle name="Normal 3 2 3 2 5" xfId="276"/>
    <cellStyle name="Normal 3 2 3 2 5 2" xfId="277"/>
    <cellStyle name="Normal 3 2 3 3" xfId="278"/>
    <cellStyle name="Normal 3 2 3 3 2" xfId="279"/>
    <cellStyle name="Normal 3 2 3 4" xfId="280"/>
    <cellStyle name="Normal 3 2 3 4 2" xfId="281"/>
    <cellStyle name="Normal 3 2 4" xfId="282"/>
    <cellStyle name="Normal 3 2 4 2" xfId="283"/>
    <cellStyle name="Normal 3 2 4 2 2" xfId="284"/>
    <cellStyle name="Normal 3 2 4 3" xfId="285"/>
    <cellStyle name="Normal 3 2 4 3 2" xfId="286"/>
    <cellStyle name="Normal 3 2 5" xfId="287"/>
    <cellStyle name="Normal 3 2 5 2" xfId="288"/>
    <cellStyle name="Normal 3 2 5 3" xfId="289"/>
    <cellStyle name="Normal 3 2 6" xfId="290"/>
    <cellStyle name="Normal 3 3" xfId="291"/>
    <cellStyle name="Normal 3 4" xfId="292"/>
    <cellStyle name="Normal 3 4 2" xfId="293"/>
    <cellStyle name="Normal 3 4 3" xfId="294"/>
    <cellStyle name="Normal 3 5" xfId="295"/>
    <cellStyle name="Normal 3 5 2" xfId="296"/>
    <cellStyle name="Normal 3 5 2 2" xfId="297"/>
    <cellStyle name="Normal 3 5 2 3" xfId="298"/>
    <cellStyle name="Normal 3 5 2 4" xfId="299"/>
    <cellStyle name="Normal 3 5 2 4 2" xfId="300"/>
    <cellStyle name="Normal 3 5 2 4 3" xfId="301"/>
    <cellStyle name="Normal 3 5 2 5" xfId="302"/>
    <cellStyle name="Normal 3 5 2 5 2" xfId="303"/>
    <cellStyle name="Normal 3 5 3" xfId="304"/>
    <cellStyle name="Normal 3 5 4" xfId="305"/>
    <cellStyle name="Normal 3 5 4 2" xfId="306"/>
    <cellStyle name="Normal 3 5 4 2 2" xfId="307"/>
    <cellStyle name="Normal 3 5 5" xfId="308"/>
    <cellStyle name="Normal 3 6" xfId="309"/>
    <cellStyle name="Normal 3 7" xfId="266"/>
    <cellStyle name="Normal 30 2" xfId="310"/>
    <cellStyle name="Normal 31 2" xfId="311"/>
    <cellStyle name="Normal 32 2" xfId="312"/>
    <cellStyle name="Normal 33 2" xfId="313"/>
    <cellStyle name="Normal 34 2" xfId="314"/>
    <cellStyle name="Normal 35 2" xfId="315"/>
    <cellStyle name="Normal 36 2" xfId="316"/>
    <cellStyle name="Normal 37 2" xfId="317"/>
    <cellStyle name="Normal 38 2" xfId="318"/>
    <cellStyle name="Normal 39 2" xfId="319"/>
    <cellStyle name="Normal 4" xfId="4"/>
    <cellStyle name="Normal 4 2" xfId="320"/>
    <cellStyle name="Normal 4 3" xfId="321"/>
    <cellStyle name="Normal 40 2" xfId="322"/>
    <cellStyle name="Normal 41 2" xfId="323"/>
    <cellStyle name="Normal 42 2" xfId="324"/>
    <cellStyle name="Normal 43 2" xfId="325"/>
    <cellStyle name="Normal 44 2" xfId="326"/>
    <cellStyle name="Normal 45 2" xfId="327"/>
    <cellStyle name="Normal 46 2" xfId="328"/>
    <cellStyle name="Normal 47 2" xfId="329"/>
    <cellStyle name="Normal 48 2" xfId="330"/>
    <cellStyle name="Normal 49 2" xfId="331"/>
    <cellStyle name="Normal 5" xfId="332"/>
    <cellStyle name="Normal 5 2" xfId="333"/>
    <cellStyle name="Normal 50 2" xfId="334"/>
    <cellStyle name="Normal 51 2" xfId="335"/>
    <cellStyle name="Normal 52 2" xfId="336"/>
    <cellStyle name="Normal 53 2" xfId="337"/>
    <cellStyle name="Normal 54 2" xfId="338"/>
    <cellStyle name="Normal 55 2" xfId="339"/>
    <cellStyle name="Normal 56 2" xfId="340"/>
    <cellStyle name="Normal 57 2" xfId="341"/>
    <cellStyle name="Normal 58 2" xfId="342"/>
    <cellStyle name="Normal 59 2" xfId="343"/>
    <cellStyle name="Normal 6" xfId="344"/>
    <cellStyle name="Normal 6 2" xfId="345"/>
    <cellStyle name="Normal 6 3" xfId="346"/>
    <cellStyle name="Normal 60 2" xfId="347"/>
    <cellStyle name="Normal 61 2" xfId="348"/>
    <cellStyle name="Normal 62 2" xfId="349"/>
    <cellStyle name="Normal 63 2" xfId="350"/>
    <cellStyle name="Normal 64 2" xfId="351"/>
    <cellStyle name="Normal 65 2" xfId="352"/>
    <cellStyle name="Normal 66 2" xfId="353"/>
    <cellStyle name="Normal 67 2" xfId="354"/>
    <cellStyle name="Normal 68 2" xfId="355"/>
    <cellStyle name="Normal 69 2" xfId="356"/>
    <cellStyle name="Normal 7" xfId="357"/>
    <cellStyle name="Normal 7 2" xfId="358"/>
    <cellStyle name="Normal 7 3" xfId="359"/>
    <cellStyle name="Normal 70 2" xfId="360"/>
    <cellStyle name="Normal 71 2" xfId="361"/>
    <cellStyle name="Normal 72 2" xfId="362"/>
    <cellStyle name="Normal 73 2" xfId="363"/>
    <cellStyle name="Normal 74 2" xfId="364"/>
    <cellStyle name="Normal 75 2" xfId="365"/>
    <cellStyle name="Normal 76 2" xfId="366"/>
    <cellStyle name="Normal 77 2" xfId="367"/>
    <cellStyle name="Normal 78 2" xfId="368"/>
    <cellStyle name="Normal 79 2" xfId="369"/>
    <cellStyle name="Normal 8" xfId="370"/>
    <cellStyle name="Normal 8 2" xfId="371"/>
    <cellStyle name="Normal 8 3" xfId="372"/>
    <cellStyle name="Normal 80 2" xfId="373"/>
    <cellStyle name="Normal 81 2" xfId="374"/>
    <cellStyle name="Normal 82 2" xfId="375"/>
    <cellStyle name="Normal 83 2" xfId="376"/>
    <cellStyle name="Normal 84 2" xfId="377"/>
    <cellStyle name="Normal 85 2" xfId="378"/>
    <cellStyle name="Normal 86 2" xfId="379"/>
    <cellStyle name="Normal 87 2" xfId="380"/>
    <cellStyle name="Normal 88 2" xfId="381"/>
    <cellStyle name="Normal 89 2" xfId="382"/>
    <cellStyle name="Normal 9" xfId="383"/>
    <cellStyle name="Normal 9 2" xfId="384"/>
    <cellStyle name="Normal 9 3" xfId="385"/>
    <cellStyle name="Normal 90 2" xfId="386"/>
    <cellStyle name="Normal 91 2" xfId="387"/>
    <cellStyle name="Normal 92 2" xfId="388"/>
    <cellStyle name="Normal 93 2" xfId="389"/>
    <cellStyle name="Normal 94 2" xfId="390"/>
    <cellStyle name="Normal 95 2" xfId="391"/>
    <cellStyle name="Normal 96 2" xfId="392"/>
    <cellStyle name="Normal 97 2" xfId="393"/>
    <cellStyle name="Normal 98 2" xfId="394"/>
    <cellStyle name="Normal 99 2" xfId="395"/>
    <cellStyle name="Note 2" xfId="396"/>
    <cellStyle name="Note 2 2" xfId="397"/>
    <cellStyle name="Note 2 2 2" xfId="398"/>
    <cellStyle name="Note 2 2 3" xfId="399"/>
    <cellStyle name="Note 2 2 3 2" xfId="400"/>
    <cellStyle name="Note 2 2 3 2 2" xfId="401"/>
    <cellStyle name="Note 2 2 3 2 3" xfId="402"/>
    <cellStyle name="Note 2 2 3 2 4" xfId="403"/>
    <cellStyle name="Note 2 2 3 2 4 2" xfId="404"/>
    <cellStyle name="Note 2 2 3 2 4 3" xfId="405"/>
    <cellStyle name="Note 2 2 3 2 5" xfId="406"/>
    <cellStyle name="Note 2 2 3 2 5 2" xfId="407"/>
    <cellStyle name="Note 2 2 3 3" xfId="408"/>
    <cellStyle name="Note 2 2 3 3 2" xfId="409"/>
    <cellStyle name="Note 2 2 3 4" xfId="410"/>
    <cellStyle name="Note 2 2 3 4 2" xfId="411"/>
    <cellStyle name="Note 2 3" xfId="412"/>
    <cellStyle name="Note 2 3 2" xfId="413"/>
    <cellStyle name="Note 2 3 2 2" xfId="414"/>
    <cellStyle name="Note 2 3 2 3" xfId="415"/>
    <cellStyle name="Note 2 3 2 3 2" xfId="416"/>
    <cellStyle name="Note 2 3 2 3 3" xfId="417"/>
    <cellStyle name="Note 2 3 2 4" xfId="418"/>
    <cellStyle name="Note 2 3 2 4 2" xfId="419"/>
    <cellStyle name="Note 2 3 3" xfId="420"/>
    <cellStyle name="Note 2 3 3 2" xfId="421"/>
    <cellStyle name="Note 2 3 3 3" xfId="422"/>
    <cellStyle name="Note 2 3 4" xfId="423"/>
    <cellStyle name="Note 3" xfId="424"/>
    <cellStyle name="Output 2" xfId="425"/>
    <cellStyle name="Percent" xfId="3" builtinId="5"/>
    <cellStyle name="Percent 10" xfId="452"/>
    <cellStyle name="Percent 2" xfId="11"/>
    <cellStyle name="Percent 2 2" xfId="427"/>
    <cellStyle name="Percent 2 2 2" xfId="428"/>
    <cellStyle name="Percent 2 3" xfId="429"/>
    <cellStyle name="Percent 2 4" xfId="426"/>
    <cellStyle name="Percent 3" xfId="12"/>
    <cellStyle name="Percent 3 2" xfId="430"/>
    <cellStyle name="Percent 4" xfId="431"/>
    <cellStyle name="Percent 4 2" xfId="432"/>
    <cellStyle name="Percent 4 2 2" xfId="433"/>
    <cellStyle name="Percent 5" xfId="434"/>
    <cellStyle name="Percent 5 2" xfId="435"/>
    <cellStyle name="Percent 5 2 2" xfId="436"/>
    <cellStyle name="Percent 5 3" xfId="437"/>
    <cellStyle name="Percent 5 3 2" xfId="438"/>
    <cellStyle name="Percent 6" xfId="439"/>
    <cellStyle name="Percent 7" xfId="440"/>
    <cellStyle name="Percent 8" xfId="441"/>
    <cellStyle name="Percent 9" xfId="442"/>
    <cellStyle name="Percent 9 2" xfId="443"/>
    <cellStyle name="SAPBEXaggData" xfId="13"/>
    <cellStyle name="SAPBEXaggDataEmph" xfId="14"/>
    <cellStyle name="SAPBEXaggItem" xfId="15"/>
    <cellStyle name="SAPBEXaggItemX" xfId="16"/>
    <cellStyle name="SAPBEXchaText" xfId="17"/>
    <cellStyle name="SAPBEXchaText 2"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Item 2" xfId="33"/>
    <cellStyle name="SAPBEXheaderText" xfId="34"/>
    <cellStyle name="SAPBEXheaderText 2" xfId="35"/>
    <cellStyle name="SAPBEXHLevel0" xfId="36"/>
    <cellStyle name="SAPBEXHLevel0X" xfId="37"/>
    <cellStyle name="SAPBEXHLevel1" xfId="38"/>
    <cellStyle name="SAPBEXHLevel1X" xfId="39"/>
    <cellStyle name="SAPBEXHLevel2" xfId="40"/>
    <cellStyle name="SAPBEXHLevel2X" xfId="41"/>
    <cellStyle name="SAPBEXHLevel3" xfId="42"/>
    <cellStyle name="SAPBEXHLevel3X" xfId="43"/>
    <cellStyle name="SAPBEXresData" xfId="44"/>
    <cellStyle name="SAPBEXresDataEmph" xfId="45"/>
    <cellStyle name="SAPBEXresItem" xfId="46"/>
    <cellStyle name="SAPBEXresItemX" xfId="47"/>
    <cellStyle name="SAPBEXstdData" xfId="48"/>
    <cellStyle name="SAPBEXstdDataEmph" xfId="49"/>
    <cellStyle name="SAPBEXstdItem" xfId="50"/>
    <cellStyle name="SAPBEXstdItem 2" xfId="51"/>
    <cellStyle name="SAPBEXstdItemX" xfId="52"/>
    <cellStyle name="SAPBEXstdItemX 2" xfId="53"/>
    <cellStyle name="SAPBEXtitle" xfId="54"/>
    <cellStyle name="SAPBEXundefined" xfId="55"/>
    <cellStyle name="Title 2" xfId="444"/>
    <cellStyle name="Total 2" xfId="445"/>
    <cellStyle name="Warning Text 2" xfId="446"/>
    <cellStyle name="Year" xfId="447"/>
    <cellStyle name="Year 2" xfId="448"/>
    <cellStyle name="Year 2 2" xfId="449"/>
    <cellStyle name="Year 2 3" xfId="450"/>
    <cellStyle name="Year 3" xfId="451"/>
  </cellStyles>
  <dxfs count="1">
    <dxf>
      <numFmt numFmtId="2" formatCode="0.00"/>
    </dxf>
  </dxfs>
  <tableStyles count="0" defaultTableStyle="TableStyleMedium9" defaultPivotStyle="PivotStyleLight16"/>
  <colors>
    <mruColors>
      <color rgb="FF66FF33"/>
      <color rgb="FFFFFFCC"/>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image" Target="../media/image3.JP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3"/>
          <c:order val="3"/>
          <c:tx>
            <c:strRef>
              <c:f>'Pop density'!$B$32</c:f>
              <c:strCache>
                <c:ptCount val="1"/>
                <c:pt idx="0">
                  <c:v>population density</c:v>
                </c:pt>
              </c:strCache>
            </c:strRef>
          </c:tx>
          <c:spPr>
            <a:ln w="28575">
              <a:solidFill>
                <a:schemeClr val="accent1"/>
              </a:solidFill>
            </a:ln>
          </c:spPr>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density'!$B$33:$B$66</c:f>
              <c:numCache>
                <c:formatCode>0.0</c:formatCode>
                <c:ptCount val="34"/>
                <c:pt idx="0">
                  <c:v>1.0171704041445599</c:v>
                </c:pt>
                <c:pt idx="1">
                  <c:v>1.4792972600924801</c:v>
                </c:pt>
                <c:pt idx="2">
                  <c:v>2.8734943742241899</c:v>
                </c:pt>
                <c:pt idx="3">
                  <c:v>4.1084534758335698</c:v>
                </c:pt>
                <c:pt idx="4">
                  <c:v>5.0396799555421099</c:v>
                </c:pt>
                <c:pt idx="5">
                  <c:v>6.3960959816937004</c:v>
                </c:pt>
                <c:pt idx="6">
                  <c:v>7.7133997785175197</c:v>
                </c:pt>
                <c:pt idx="7">
                  <c:v>8.8388459299316295</c:v>
                </c:pt>
                <c:pt idx="8">
                  <c:v>9.7894401556826693</c:v>
                </c:pt>
                <c:pt idx="9">
                  <c:v>9.9575287995047592</c:v>
                </c:pt>
                <c:pt idx="10">
                  <c:v>13.5281511603352</c:v>
                </c:pt>
                <c:pt idx="11">
                  <c:v>16.879389963089</c:v>
                </c:pt>
                <c:pt idx="12">
                  <c:v>23.7263566095173</c:v>
                </c:pt>
                <c:pt idx="13">
                  <c:v>30.112240362303201</c:v>
                </c:pt>
                <c:pt idx="14">
                  <c:v>33.923376762328402</c:v>
                </c:pt>
                <c:pt idx="15">
                  <c:v>42.326988991298798</c:v>
                </c:pt>
                <c:pt idx="16">
                  <c:v>60.518115714015103</c:v>
                </c:pt>
                <c:pt idx="17">
                  <c:v>74.235216853519105</c:v>
                </c:pt>
                <c:pt idx="18">
                  <c:v>95.833138561692394</c:v>
                </c:pt>
                <c:pt idx="19">
                  <c:v>109.815952893781</c:v>
                </c:pt>
                <c:pt idx="20">
                  <c:v>139.37261517120001</c:v>
                </c:pt>
                <c:pt idx="21">
                  <c:v>173.89846504287101</c:v>
                </c:pt>
                <c:pt idx="22">
                  <c:v>220.70275955921599</c:v>
                </c:pt>
                <c:pt idx="23">
                  <c:v>304.99193471109999</c:v>
                </c:pt>
                <c:pt idx="24">
                  <c:v>414.35752570055899</c:v>
                </c:pt>
                <c:pt idx="25">
                  <c:v>612.95795246753698</c:v>
                </c:pt>
                <c:pt idx="26">
                  <c:v>922.316232421172</c:v>
                </c:pt>
                <c:pt idx="27">
                  <c:v>1190.6540190180101</c:v>
                </c:pt>
                <c:pt idx="28">
                  <c:v>1387.8068294295199</c:v>
                </c:pt>
                <c:pt idx="29">
                  <c:v>1460.5289384257301</c:v>
                </c:pt>
              </c:numCache>
            </c:numRef>
          </c:yVal>
          <c:smooth val="0"/>
        </c:ser>
        <c:ser>
          <c:idx val="4"/>
          <c:order val="4"/>
          <c:tx>
            <c:strRef>
              <c:f>'Pop density'!$C$32</c:f>
              <c:strCache>
                <c:ptCount val="1"/>
              </c:strCache>
            </c:strRef>
          </c:tx>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density'!$C$33:$C$66</c:f>
              <c:numCache>
                <c:formatCode>General</c:formatCode>
                <c:ptCount val="34"/>
                <c:pt idx="30">
                  <c:v>163</c:v>
                </c:pt>
                <c:pt idx="31">
                  <c:v>1</c:v>
                </c:pt>
              </c:numCache>
            </c:numRef>
          </c:yVal>
          <c:smooth val="0"/>
        </c:ser>
        <c:ser>
          <c:idx val="5"/>
          <c:order val="5"/>
          <c:tx>
            <c:strRef>
              <c:f>'Pop density'!$D$32</c:f>
              <c:strCache>
                <c:ptCount val="1"/>
              </c:strCache>
            </c:strRef>
          </c:tx>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density'!$D$33:$D$66</c:f>
              <c:numCache>
                <c:formatCode>General</c:formatCode>
                <c:ptCount val="34"/>
                <c:pt idx="32">
                  <c:v>200</c:v>
                </c:pt>
                <c:pt idx="33">
                  <c:v>163</c:v>
                </c:pt>
              </c:numCache>
            </c:numRef>
          </c:yVal>
          <c:smooth val="0"/>
        </c:ser>
        <c:ser>
          <c:idx val="6"/>
          <c:order val="6"/>
          <c:tx>
            <c:strRef>
              <c:f>'Pop density'!$B$32</c:f>
              <c:strCache>
                <c:ptCount val="1"/>
                <c:pt idx="0">
                  <c:v>population density</c:v>
                </c:pt>
              </c:strCache>
            </c:strRef>
          </c:tx>
          <c:spPr>
            <a:ln w="28575">
              <a:solidFill>
                <a:schemeClr val="accent1"/>
              </a:solidFill>
            </a:ln>
          </c:spPr>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density'!$B$33:$B$66</c:f>
              <c:numCache>
                <c:formatCode>0.0</c:formatCode>
                <c:ptCount val="34"/>
                <c:pt idx="0">
                  <c:v>1.0171704041445599</c:v>
                </c:pt>
                <c:pt idx="1">
                  <c:v>1.4792972600924801</c:v>
                </c:pt>
                <c:pt idx="2">
                  <c:v>2.8734943742241899</c:v>
                </c:pt>
                <c:pt idx="3">
                  <c:v>4.1084534758335698</c:v>
                </c:pt>
                <c:pt idx="4">
                  <c:v>5.0396799555421099</c:v>
                </c:pt>
                <c:pt idx="5">
                  <c:v>6.3960959816937004</c:v>
                </c:pt>
                <c:pt idx="6">
                  <c:v>7.7133997785175197</c:v>
                </c:pt>
                <c:pt idx="7">
                  <c:v>8.8388459299316295</c:v>
                </c:pt>
                <c:pt idx="8">
                  <c:v>9.7894401556826693</c:v>
                </c:pt>
                <c:pt idx="9">
                  <c:v>9.9575287995047592</c:v>
                </c:pt>
                <c:pt idx="10">
                  <c:v>13.5281511603352</c:v>
                </c:pt>
                <c:pt idx="11">
                  <c:v>16.879389963089</c:v>
                </c:pt>
                <c:pt idx="12">
                  <c:v>23.7263566095173</c:v>
                </c:pt>
                <c:pt idx="13">
                  <c:v>30.112240362303201</c:v>
                </c:pt>
                <c:pt idx="14">
                  <c:v>33.923376762328402</c:v>
                </c:pt>
                <c:pt idx="15">
                  <c:v>42.326988991298798</c:v>
                </c:pt>
                <c:pt idx="16">
                  <c:v>60.518115714015103</c:v>
                </c:pt>
                <c:pt idx="17">
                  <c:v>74.235216853519105</c:v>
                </c:pt>
                <c:pt idx="18">
                  <c:v>95.833138561692394</c:v>
                </c:pt>
                <c:pt idx="19">
                  <c:v>109.815952893781</c:v>
                </c:pt>
                <c:pt idx="20">
                  <c:v>139.37261517120001</c:v>
                </c:pt>
                <c:pt idx="21">
                  <c:v>173.89846504287101</c:v>
                </c:pt>
                <c:pt idx="22">
                  <c:v>220.70275955921599</c:v>
                </c:pt>
                <c:pt idx="23">
                  <c:v>304.99193471109999</c:v>
                </c:pt>
                <c:pt idx="24">
                  <c:v>414.35752570055899</c:v>
                </c:pt>
                <c:pt idx="25">
                  <c:v>612.95795246753698</c:v>
                </c:pt>
                <c:pt idx="26">
                  <c:v>922.316232421172</c:v>
                </c:pt>
                <c:pt idx="27">
                  <c:v>1190.6540190180101</c:v>
                </c:pt>
                <c:pt idx="28">
                  <c:v>1387.8068294295199</c:v>
                </c:pt>
                <c:pt idx="29">
                  <c:v>1460.5289384257301</c:v>
                </c:pt>
              </c:numCache>
            </c:numRef>
          </c:yVal>
          <c:smooth val="0"/>
        </c:ser>
        <c:ser>
          <c:idx val="7"/>
          <c:order val="7"/>
          <c:tx>
            <c:strRef>
              <c:f>'Pop density'!$C$32</c:f>
              <c:strCache>
                <c:ptCount val="1"/>
              </c:strCache>
            </c:strRef>
          </c:tx>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density'!$C$33:$C$66</c:f>
              <c:numCache>
                <c:formatCode>General</c:formatCode>
                <c:ptCount val="34"/>
                <c:pt idx="30">
                  <c:v>163</c:v>
                </c:pt>
                <c:pt idx="31">
                  <c:v>1</c:v>
                </c:pt>
              </c:numCache>
            </c:numRef>
          </c:yVal>
          <c:smooth val="0"/>
        </c:ser>
        <c:ser>
          <c:idx val="8"/>
          <c:order val="8"/>
          <c:tx>
            <c:strRef>
              <c:f>'Pop density'!$D$32</c:f>
              <c:strCache>
                <c:ptCount val="1"/>
              </c:strCache>
            </c:strRef>
          </c:tx>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density'!$D$33:$D$66</c:f>
              <c:numCache>
                <c:formatCode>General</c:formatCode>
                <c:ptCount val="34"/>
                <c:pt idx="32">
                  <c:v>200</c:v>
                </c:pt>
                <c:pt idx="33">
                  <c:v>163</c:v>
                </c:pt>
              </c:numCache>
            </c:numRef>
          </c:yVal>
          <c:smooth val="0"/>
        </c:ser>
        <c:ser>
          <c:idx val="0"/>
          <c:order val="0"/>
          <c:tx>
            <c:strRef>
              <c:f>'Pop density'!$B$32</c:f>
              <c:strCache>
                <c:ptCount val="1"/>
                <c:pt idx="0">
                  <c:v>population density</c:v>
                </c:pt>
              </c:strCache>
            </c:strRef>
          </c:tx>
          <c:spPr>
            <a:ln w="28575">
              <a:solidFill>
                <a:schemeClr val="accent1"/>
              </a:solidFill>
            </a:ln>
          </c:spPr>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density'!$B$33:$B$66</c:f>
              <c:numCache>
                <c:formatCode>0.0</c:formatCode>
                <c:ptCount val="34"/>
                <c:pt idx="0">
                  <c:v>1.0171704041445599</c:v>
                </c:pt>
                <c:pt idx="1">
                  <c:v>1.4792972600924801</c:v>
                </c:pt>
                <c:pt idx="2">
                  <c:v>2.8734943742241899</c:v>
                </c:pt>
                <c:pt idx="3">
                  <c:v>4.1084534758335698</c:v>
                </c:pt>
                <c:pt idx="4">
                  <c:v>5.0396799555421099</c:v>
                </c:pt>
                <c:pt idx="5">
                  <c:v>6.3960959816937004</c:v>
                </c:pt>
                <c:pt idx="6">
                  <c:v>7.7133997785175197</c:v>
                </c:pt>
                <c:pt idx="7">
                  <c:v>8.8388459299316295</c:v>
                </c:pt>
                <c:pt idx="8">
                  <c:v>9.7894401556826693</c:v>
                </c:pt>
                <c:pt idx="9">
                  <c:v>9.9575287995047592</c:v>
                </c:pt>
                <c:pt idx="10">
                  <c:v>13.5281511603352</c:v>
                </c:pt>
                <c:pt idx="11">
                  <c:v>16.879389963089</c:v>
                </c:pt>
                <c:pt idx="12">
                  <c:v>23.7263566095173</c:v>
                </c:pt>
                <c:pt idx="13">
                  <c:v>30.112240362303201</c:v>
                </c:pt>
                <c:pt idx="14">
                  <c:v>33.923376762328402</c:v>
                </c:pt>
                <c:pt idx="15">
                  <c:v>42.326988991298798</c:v>
                </c:pt>
                <c:pt idx="16">
                  <c:v>60.518115714015103</c:v>
                </c:pt>
                <c:pt idx="17">
                  <c:v>74.235216853519105</c:v>
                </c:pt>
                <c:pt idx="18">
                  <c:v>95.833138561692394</c:v>
                </c:pt>
                <c:pt idx="19">
                  <c:v>109.815952893781</c:v>
                </c:pt>
                <c:pt idx="20">
                  <c:v>139.37261517120001</c:v>
                </c:pt>
                <c:pt idx="21">
                  <c:v>173.89846504287101</c:v>
                </c:pt>
                <c:pt idx="22">
                  <c:v>220.70275955921599</c:v>
                </c:pt>
                <c:pt idx="23">
                  <c:v>304.99193471109999</c:v>
                </c:pt>
                <c:pt idx="24">
                  <c:v>414.35752570055899</c:v>
                </c:pt>
                <c:pt idx="25">
                  <c:v>612.95795246753698</c:v>
                </c:pt>
                <c:pt idx="26">
                  <c:v>922.316232421172</c:v>
                </c:pt>
                <c:pt idx="27">
                  <c:v>1190.6540190180101</c:v>
                </c:pt>
                <c:pt idx="28">
                  <c:v>1387.8068294295199</c:v>
                </c:pt>
                <c:pt idx="29">
                  <c:v>1460.5289384257301</c:v>
                </c:pt>
              </c:numCache>
            </c:numRef>
          </c:yVal>
          <c:smooth val="0"/>
        </c:ser>
        <c:ser>
          <c:idx val="1"/>
          <c:order val="1"/>
          <c:tx>
            <c:strRef>
              <c:f>'Pop density'!$C$32</c:f>
              <c:strCache>
                <c:ptCount val="1"/>
              </c:strCache>
            </c:strRef>
          </c:tx>
          <c:marker>
            <c:symbol val="none"/>
          </c:marker>
          <c:dLbls>
            <c:dLbl>
              <c:idx val="30"/>
              <c:layout>
                <c:manualLayout>
                  <c:x val="-5.8333333333333334E-2"/>
                  <c:y val="-4.6296296296296294E-2"/>
                </c:manualLayout>
              </c:layout>
              <c:showLegendKey val="0"/>
              <c:showVal val="1"/>
              <c:showCatName val="1"/>
              <c:showSerName val="0"/>
              <c:showPercent val="0"/>
              <c:showBubbleSize val="0"/>
            </c:dLbl>
            <c:dLbl>
              <c:idx val="31"/>
              <c:delete val="1"/>
            </c:dLbl>
            <c:showLegendKey val="0"/>
            <c:showVal val="1"/>
            <c:showCatName val="1"/>
            <c:showSerName val="0"/>
            <c:showPercent val="0"/>
            <c:showBubbleSize val="0"/>
            <c:showLeaderLines val="0"/>
          </c:dLbls>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density'!$C$33:$C$66</c:f>
              <c:numCache>
                <c:formatCode>General</c:formatCode>
                <c:ptCount val="34"/>
                <c:pt idx="30">
                  <c:v>163</c:v>
                </c:pt>
                <c:pt idx="31">
                  <c:v>1</c:v>
                </c:pt>
              </c:numCache>
            </c:numRef>
          </c:yVal>
          <c:smooth val="0"/>
        </c:ser>
        <c:ser>
          <c:idx val="2"/>
          <c:order val="2"/>
          <c:tx>
            <c:strRef>
              <c:f>'Pop density'!$D$32</c:f>
              <c:strCache>
                <c:ptCount val="1"/>
              </c:strCache>
            </c:strRef>
          </c:tx>
          <c:marker>
            <c:symbol val="none"/>
          </c:marker>
          <c:xVal>
            <c:numRef>
              <c:f>'Pop density'!$A$33:$A$66</c:f>
              <c:numCache>
                <c:formatCode>0.0</c:formatCode>
                <c:ptCount val="34"/>
                <c:pt idx="0">
                  <c:v>3.1221303948576602</c:v>
                </c:pt>
                <c:pt idx="1">
                  <c:v>4.6831955922865003</c:v>
                </c:pt>
                <c:pt idx="2">
                  <c:v>6.3360881542699703</c:v>
                </c:pt>
                <c:pt idx="3">
                  <c:v>8.1726354453627099</c:v>
                </c:pt>
                <c:pt idx="4">
                  <c:v>11.4784205693296</c:v>
                </c:pt>
                <c:pt idx="5">
                  <c:v>14.692378328741899</c:v>
                </c:pt>
                <c:pt idx="6">
                  <c:v>18.457300275482002</c:v>
                </c:pt>
                <c:pt idx="7">
                  <c:v>20.661157024793301</c:v>
                </c:pt>
                <c:pt idx="8">
                  <c:v>24.3342516069788</c:v>
                </c:pt>
                <c:pt idx="9">
                  <c:v>27.915518824609698</c:v>
                </c:pt>
                <c:pt idx="10">
                  <c:v>32.415059687786901</c:v>
                </c:pt>
                <c:pt idx="11">
                  <c:v>38.934802571166202</c:v>
                </c:pt>
                <c:pt idx="12">
                  <c:v>45.638200183654703</c:v>
                </c:pt>
                <c:pt idx="13">
                  <c:v>50.505050505050498</c:v>
                </c:pt>
                <c:pt idx="14">
                  <c:v>54.729109274563797</c:v>
                </c:pt>
                <c:pt idx="15">
                  <c:v>60.238751147842002</c:v>
                </c:pt>
                <c:pt idx="16">
                  <c:v>66.207529843893397</c:v>
                </c:pt>
                <c:pt idx="17">
                  <c:v>70.247933884297495</c:v>
                </c:pt>
                <c:pt idx="18">
                  <c:v>75.482093663911797</c:v>
                </c:pt>
                <c:pt idx="19">
                  <c:v>79.338842975206603</c:v>
                </c:pt>
                <c:pt idx="20">
                  <c:v>82.277318640955002</c:v>
                </c:pt>
                <c:pt idx="21">
                  <c:v>85.858585858585798</c:v>
                </c:pt>
                <c:pt idx="22">
                  <c:v>89.348025711662103</c:v>
                </c:pt>
                <c:pt idx="23">
                  <c:v>92.653810835629002</c:v>
                </c:pt>
                <c:pt idx="24">
                  <c:v>94.582185491276405</c:v>
                </c:pt>
                <c:pt idx="25">
                  <c:v>96.877869605142294</c:v>
                </c:pt>
                <c:pt idx="26">
                  <c:v>97.979797979797993</c:v>
                </c:pt>
                <c:pt idx="27">
                  <c:v>98.5307621671258</c:v>
                </c:pt>
                <c:pt idx="28">
                  <c:v>98.989898989899004</c:v>
                </c:pt>
                <c:pt idx="29">
                  <c:v>100</c:v>
                </c:pt>
                <c:pt idx="30" formatCode="General">
                  <c:v>84</c:v>
                </c:pt>
                <c:pt idx="31" formatCode="General">
                  <c:v>84</c:v>
                </c:pt>
                <c:pt idx="32" formatCode="General">
                  <c:v>0</c:v>
                </c:pt>
                <c:pt idx="33" formatCode="General">
                  <c:v>84</c:v>
                </c:pt>
              </c:numCache>
            </c:numRef>
          </c:xVal>
          <c:yVal>
            <c:numRef>
              <c:f>'Pop density'!$D$33:$D$66</c:f>
              <c:numCache>
                <c:formatCode>General</c:formatCode>
                <c:ptCount val="34"/>
                <c:pt idx="32">
                  <c:v>200</c:v>
                </c:pt>
                <c:pt idx="33">
                  <c:v>163</c:v>
                </c:pt>
              </c:numCache>
            </c:numRef>
          </c:yVal>
          <c:smooth val="0"/>
        </c:ser>
        <c:dLbls>
          <c:showLegendKey val="0"/>
          <c:showVal val="0"/>
          <c:showCatName val="0"/>
          <c:showSerName val="0"/>
          <c:showPercent val="0"/>
          <c:showBubbleSize val="0"/>
        </c:dLbls>
        <c:axId val="174774144"/>
        <c:axId val="166146048"/>
      </c:scatterChart>
      <c:valAx>
        <c:axId val="174774144"/>
        <c:scaling>
          <c:orientation val="minMax"/>
          <c:max val="100"/>
        </c:scaling>
        <c:delete val="0"/>
        <c:axPos val="b"/>
        <c:title>
          <c:tx>
            <c:rich>
              <a:bodyPr/>
              <a:lstStyle/>
              <a:p>
                <a:pPr>
                  <a:defRPr/>
                </a:pPr>
                <a:r>
                  <a:rPr lang="en-US"/>
                  <a:t>Percentile</a:t>
                </a:r>
              </a:p>
            </c:rich>
          </c:tx>
          <c:layout/>
          <c:overlay val="0"/>
        </c:title>
        <c:numFmt formatCode="0" sourceLinked="0"/>
        <c:majorTickMark val="out"/>
        <c:minorTickMark val="none"/>
        <c:tickLblPos val="nextTo"/>
        <c:txPr>
          <a:bodyPr/>
          <a:lstStyle/>
          <a:p>
            <a:pPr>
              <a:defRPr b="1"/>
            </a:pPr>
            <a:endParaRPr lang="en-US"/>
          </a:p>
        </c:txPr>
        <c:crossAx val="166146048"/>
        <c:crosses val="autoZero"/>
        <c:crossBetween val="midCat"/>
      </c:valAx>
      <c:valAx>
        <c:axId val="166146048"/>
        <c:scaling>
          <c:logBase val="10"/>
          <c:orientation val="minMax"/>
        </c:scaling>
        <c:delete val="0"/>
        <c:axPos val="l"/>
        <c:majorGridlines/>
        <c:title>
          <c:tx>
            <c:rich>
              <a:bodyPr rot="-5400000" vert="horz"/>
              <a:lstStyle/>
              <a:p>
                <a:pPr>
                  <a:defRPr/>
                </a:pPr>
                <a:r>
                  <a:rPr lang="en-US"/>
                  <a:t>Population density people/km2</a:t>
                </a:r>
              </a:p>
            </c:rich>
          </c:tx>
          <c:layout/>
          <c:overlay val="0"/>
        </c:title>
        <c:numFmt formatCode="0" sourceLinked="0"/>
        <c:majorTickMark val="out"/>
        <c:minorTickMark val="none"/>
        <c:tickLblPos val="nextTo"/>
        <c:txPr>
          <a:bodyPr/>
          <a:lstStyle/>
          <a:p>
            <a:pPr>
              <a:defRPr b="1"/>
            </a:pPr>
            <a:endParaRPr lang="en-US"/>
          </a:p>
        </c:txPr>
        <c:crossAx val="174774144"/>
        <c:crosses val="autoZero"/>
        <c:crossBetween val="midCat"/>
      </c:valAx>
      <c:spPr>
        <a:blipFill dpi="0" rotWithShape="1">
          <a:blip xmlns:r="http://schemas.openxmlformats.org/officeDocument/2006/relationships" r:embed="rId1">
            <a:alphaModFix amt="34000"/>
          </a:blip>
          <a:srcRect/>
          <a:stretch>
            <a:fillRect/>
          </a:stretch>
        </a:blipFill>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SO2</c:v>
          </c:tx>
          <c:spPr>
            <a:ln w="28575">
              <a:noFill/>
            </a:ln>
          </c:spPr>
          <c:trendline>
            <c:trendlineType val="poly"/>
            <c:order val="4"/>
            <c:dispRSqr val="0"/>
            <c:dispEq val="1"/>
            <c:trendlineLbl>
              <c:layout>
                <c:manualLayout>
                  <c:x val="1.0108797140340786E-4"/>
                  <c:y val="-7.6815971922556889E-3"/>
                </c:manualLayout>
              </c:layout>
              <c:numFmt formatCode="0.00E+00" sourceLinked="0"/>
            </c:trendlineLbl>
          </c:trendline>
          <c:xVal>
            <c:numLit>
              <c:formatCode>General</c:formatCode>
              <c:ptCount val="5"/>
              <c:pt idx="0">
                <c:v>5</c:v>
              </c:pt>
              <c:pt idx="1">
                <c:v>25</c:v>
              </c:pt>
              <c:pt idx="2">
                <c:v>50</c:v>
              </c:pt>
              <c:pt idx="3">
                <c:v>75</c:v>
              </c:pt>
              <c:pt idx="4">
                <c:v>95</c:v>
              </c:pt>
            </c:numLit>
          </c:xVal>
          <c:yVal>
            <c:numLit>
              <c:formatCode>General</c:formatCode>
              <c:ptCount val="5"/>
              <c:pt idx="0">
                <c:v>0.68</c:v>
              </c:pt>
              <c:pt idx="1">
                <c:v>2.4500000000000002</c:v>
              </c:pt>
              <c:pt idx="2">
                <c:v>4.04</c:v>
              </c:pt>
              <c:pt idx="3">
                <c:v>7.26</c:v>
              </c:pt>
              <c:pt idx="4">
                <c:v>14.97</c:v>
              </c:pt>
            </c:numLit>
          </c:yVal>
          <c:smooth val="0"/>
        </c:ser>
        <c:ser>
          <c:idx val="1"/>
          <c:order val="1"/>
          <c:tx>
            <c:v>NOx</c:v>
          </c:tx>
          <c:spPr>
            <a:ln w="28575">
              <a:noFill/>
            </a:ln>
          </c:spPr>
          <c:trendline>
            <c:trendlineType val="poly"/>
            <c:order val="4"/>
            <c:dispRSqr val="0"/>
            <c:dispEq val="1"/>
            <c:trendlineLbl>
              <c:layout>
                <c:manualLayout>
                  <c:x val="1.0108797140340786E-4"/>
                  <c:y val="-0.34189235062282441"/>
                </c:manualLayout>
              </c:layout>
              <c:numFmt formatCode="0.00E+00" sourceLinked="0"/>
            </c:trendlineLbl>
          </c:trendline>
          <c:xVal>
            <c:numLit>
              <c:formatCode>General</c:formatCode>
              <c:ptCount val="5"/>
              <c:pt idx="0">
                <c:v>5</c:v>
              </c:pt>
              <c:pt idx="1">
                <c:v>25</c:v>
              </c:pt>
              <c:pt idx="2">
                <c:v>50</c:v>
              </c:pt>
              <c:pt idx="3">
                <c:v>75</c:v>
              </c:pt>
              <c:pt idx="4">
                <c:v>95</c:v>
              </c:pt>
            </c:numLit>
          </c:xVal>
          <c:yVal>
            <c:numLit>
              <c:formatCode>General</c:formatCode>
              <c:ptCount val="5"/>
              <c:pt idx="0">
                <c:v>0.59</c:v>
              </c:pt>
              <c:pt idx="1">
                <c:v>1.18</c:v>
              </c:pt>
              <c:pt idx="2">
                <c:v>1.68</c:v>
              </c:pt>
              <c:pt idx="3">
                <c:v>2.2200000000000002</c:v>
              </c:pt>
              <c:pt idx="4">
                <c:v>4.08</c:v>
              </c:pt>
            </c:numLit>
          </c:yVal>
          <c:smooth val="0"/>
        </c:ser>
        <c:dLbls>
          <c:showLegendKey val="0"/>
          <c:showVal val="0"/>
          <c:showCatName val="0"/>
          <c:showSerName val="0"/>
          <c:showPercent val="0"/>
          <c:showBubbleSize val="0"/>
        </c:dLbls>
        <c:axId val="175880832"/>
        <c:axId val="175891200"/>
      </c:scatterChart>
      <c:scatterChart>
        <c:scatterStyle val="lineMarker"/>
        <c:varyColors val="0"/>
        <c:ser>
          <c:idx val="2"/>
          <c:order val="2"/>
          <c:tx>
            <c:v>PM10 right axis</c:v>
          </c:tx>
          <c:spPr>
            <a:ln w="28575">
              <a:noFill/>
            </a:ln>
          </c:spPr>
          <c:trendline>
            <c:trendlineType val="poly"/>
            <c:order val="4"/>
            <c:dispRSqr val="0"/>
            <c:dispEq val="1"/>
            <c:trendlineLbl>
              <c:layout>
                <c:manualLayout>
                  <c:x val="4.2027404852158032E-3"/>
                  <c:y val="0.15307327177008717"/>
                </c:manualLayout>
              </c:layout>
              <c:numFmt formatCode="0.00E+00" sourceLinked="0"/>
            </c:trendlineLbl>
          </c:trendline>
          <c:xVal>
            <c:numLit>
              <c:formatCode>General</c:formatCode>
              <c:ptCount val="5"/>
              <c:pt idx="0">
                <c:v>5</c:v>
              </c:pt>
              <c:pt idx="1">
                <c:v>25</c:v>
              </c:pt>
              <c:pt idx="2">
                <c:v>50</c:v>
              </c:pt>
              <c:pt idx="3">
                <c:v>75</c:v>
              </c:pt>
              <c:pt idx="4">
                <c:v>95</c:v>
              </c:pt>
            </c:numLit>
          </c:xVal>
          <c:yVal>
            <c:numLit>
              <c:formatCode>General</c:formatCode>
              <c:ptCount val="5"/>
              <c:pt idx="0">
                <c:v>0.05</c:v>
              </c:pt>
              <c:pt idx="1">
                <c:v>0.13</c:v>
              </c:pt>
              <c:pt idx="2">
                <c:v>0.22</c:v>
              </c:pt>
              <c:pt idx="3">
                <c:v>0.43</c:v>
              </c:pt>
              <c:pt idx="4">
                <c:v>0.95</c:v>
              </c:pt>
            </c:numLit>
          </c:yVal>
          <c:smooth val="0"/>
        </c:ser>
        <c:ser>
          <c:idx val="3"/>
          <c:order val="3"/>
          <c:tx>
            <c:v>PM2.5 right axis</c:v>
          </c:tx>
          <c:spPr>
            <a:ln w="28575">
              <a:noFill/>
            </a:ln>
          </c:spPr>
          <c:trendline>
            <c:trendlineType val="poly"/>
            <c:order val="4"/>
            <c:dispRSqr val="0"/>
            <c:dispEq val="1"/>
            <c:trendlineLbl>
              <c:layout>
                <c:manualLayout>
                  <c:x val="4.2027404852158032E-3"/>
                  <c:y val="0.14086907741434365"/>
                </c:manualLayout>
              </c:layout>
              <c:numFmt formatCode="0.00E+00" sourceLinked="0"/>
            </c:trendlineLbl>
          </c:trendline>
          <c:xVal>
            <c:numLit>
              <c:formatCode>General</c:formatCode>
              <c:ptCount val="5"/>
              <c:pt idx="0">
                <c:v>5</c:v>
              </c:pt>
              <c:pt idx="1">
                <c:v>25</c:v>
              </c:pt>
              <c:pt idx="2">
                <c:v>50</c:v>
              </c:pt>
              <c:pt idx="3">
                <c:v>75</c:v>
              </c:pt>
              <c:pt idx="4">
                <c:v>95</c:v>
              </c:pt>
            </c:numLit>
          </c:xVal>
          <c:yVal>
            <c:numLit>
              <c:formatCode>General</c:formatCode>
              <c:ptCount val="5"/>
              <c:pt idx="0">
                <c:v>0.04</c:v>
              </c:pt>
              <c:pt idx="1">
                <c:v>0.09</c:v>
              </c:pt>
              <c:pt idx="2">
                <c:v>0.16</c:v>
              </c:pt>
              <c:pt idx="3">
                <c:v>0.37</c:v>
              </c:pt>
              <c:pt idx="4">
                <c:v>0.82</c:v>
              </c:pt>
            </c:numLit>
          </c:yVal>
          <c:smooth val="0"/>
        </c:ser>
        <c:dLbls>
          <c:showLegendKey val="0"/>
          <c:showVal val="0"/>
          <c:showCatName val="0"/>
          <c:showSerName val="0"/>
          <c:showPercent val="0"/>
          <c:showBubbleSize val="0"/>
        </c:dLbls>
        <c:axId val="176947584"/>
        <c:axId val="175893120"/>
      </c:scatterChart>
      <c:valAx>
        <c:axId val="175880832"/>
        <c:scaling>
          <c:orientation val="minMax"/>
        </c:scaling>
        <c:delete val="0"/>
        <c:axPos val="b"/>
        <c:title>
          <c:tx>
            <c:rich>
              <a:bodyPr/>
              <a:lstStyle/>
              <a:p>
                <a:pPr>
                  <a:defRPr/>
                </a:pPr>
                <a:r>
                  <a:rPr lang="en-US"/>
                  <a:t>Percentile </a:t>
                </a:r>
              </a:p>
            </c:rich>
          </c:tx>
          <c:overlay val="0"/>
        </c:title>
        <c:numFmt formatCode="General" sourceLinked="1"/>
        <c:majorTickMark val="out"/>
        <c:minorTickMark val="none"/>
        <c:tickLblPos val="nextTo"/>
        <c:txPr>
          <a:bodyPr/>
          <a:lstStyle/>
          <a:p>
            <a:pPr>
              <a:defRPr b="1"/>
            </a:pPr>
            <a:endParaRPr lang="en-US"/>
          </a:p>
        </c:txPr>
        <c:crossAx val="175891200"/>
        <c:crosses val="autoZero"/>
        <c:crossBetween val="midCat"/>
      </c:valAx>
      <c:valAx>
        <c:axId val="175891200"/>
        <c:scaling>
          <c:orientation val="minMax"/>
          <c:max val="10"/>
        </c:scaling>
        <c:delete val="0"/>
        <c:axPos val="l"/>
        <c:majorGridlines/>
        <c:title>
          <c:tx>
            <c:rich>
              <a:bodyPr rot="-5400000" vert="horz"/>
              <a:lstStyle/>
              <a:p>
                <a:pPr>
                  <a:defRPr/>
                </a:pPr>
                <a:r>
                  <a:rPr lang="en-US"/>
                  <a:t>Emission intensity kg/MWh</a:t>
                </a:r>
              </a:p>
            </c:rich>
          </c:tx>
          <c:overlay val="0"/>
        </c:title>
        <c:numFmt formatCode="General" sourceLinked="1"/>
        <c:majorTickMark val="out"/>
        <c:minorTickMark val="none"/>
        <c:tickLblPos val="nextTo"/>
        <c:txPr>
          <a:bodyPr/>
          <a:lstStyle/>
          <a:p>
            <a:pPr>
              <a:defRPr b="1"/>
            </a:pPr>
            <a:endParaRPr lang="en-US"/>
          </a:p>
        </c:txPr>
        <c:crossAx val="175880832"/>
        <c:crosses val="autoZero"/>
        <c:crossBetween val="midCat"/>
      </c:valAx>
      <c:valAx>
        <c:axId val="175893120"/>
        <c:scaling>
          <c:orientation val="minMax"/>
          <c:max val="1"/>
        </c:scaling>
        <c:delete val="0"/>
        <c:axPos val="r"/>
        <c:numFmt formatCode="General" sourceLinked="1"/>
        <c:majorTickMark val="out"/>
        <c:minorTickMark val="none"/>
        <c:tickLblPos val="nextTo"/>
        <c:crossAx val="176947584"/>
        <c:crosses val="max"/>
        <c:crossBetween val="midCat"/>
      </c:valAx>
      <c:valAx>
        <c:axId val="176947584"/>
        <c:scaling>
          <c:orientation val="minMax"/>
        </c:scaling>
        <c:delete val="1"/>
        <c:axPos val="b"/>
        <c:numFmt formatCode="General" sourceLinked="1"/>
        <c:majorTickMark val="out"/>
        <c:minorTickMark val="none"/>
        <c:tickLblPos val="nextTo"/>
        <c:crossAx val="1758931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'Loy Yang A'!$F$17</c:f>
              <c:strCache>
                <c:ptCount val="1"/>
                <c:pt idx="0">
                  <c:v>SO2</c:v>
                </c:pt>
              </c:strCache>
            </c:strRef>
          </c:tx>
          <c:spPr>
            <a:ln w="28575">
              <a:noFill/>
            </a:ln>
          </c:spPr>
          <c:trendline>
            <c:trendlineType val="linear"/>
            <c:dispRSqr val="0"/>
            <c:dispEq val="1"/>
            <c:trendlineLbl>
              <c:numFmt formatCode="General" sourceLinked="0"/>
            </c:trendlineLbl>
          </c:trendline>
          <c:xVal>
            <c:numRef>
              <c:f>'Loy Yang A'!$G$16:$I$16</c:f>
              <c:numCache>
                <c:formatCode>General</c:formatCode>
                <c:ptCount val="3"/>
                <c:pt idx="0">
                  <c:v>5</c:v>
                </c:pt>
                <c:pt idx="1">
                  <c:v>25</c:v>
                </c:pt>
                <c:pt idx="2">
                  <c:v>75</c:v>
                </c:pt>
              </c:numCache>
            </c:numRef>
          </c:xVal>
          <c:yVal>
            <c:numRef>
              <c:f>'Loy Yang A'!$G$17:$I$17</c:f>
              <c:numCache>
                <c:formatCode>0.00</c:formatCode>
                <c:ptCount val="3"/>
                <c:pt idx="0">
                  <c:v>6.2910694597574421</c:v>
                </c:pt>
                <c:pt idx="1">
                  <c:v>12.931642778390296</c:v>
                </c:pt>
                <c:pt idx="2">
                  <c:v>24.115766262403529</c:v>
                </c:pt>
              </c:numCache>
            </c:numRef>
          </c:yVal>
          <c:smooth val="0"/>
        </c:ser>
        <c:ser>
          <c:idx val="1"/>
          <c:order val="1"/>
          <c:tx>
            <c:strRef>
              <c:f>'Loy Yang A'!$F$18</c:f>
              <c:strCache>
                <c:ptCount val="1"/>
                <c:pt idx="0">
                  <c:v>NOx</c:v>
                </c:pt>
              </c:strCache>
            </c:strRef>
          </c:tx>
          <c:spPr>
            <a:ln w="28575">
              <a:noFill/>
            </a:ln>
          </c:spPr>
          <c:trendline>
            <c:trendlineType val="linear"/>
            <c:dispRSqr val="0"/>
            <c:dispEq val="1"/>
            <c:trendlineLbl>
              <c:layout>
                <c:manualLayout>
                  <c:x val="3.8747812773403327E-2"/>
                  <c:y val="-0.25052453670563907"/>
                </c:manualLayout>
              </c:layout>
              <c:numFmt formatCode="General" sourceLinked="0"/>
            </c:trendlineLbl>
          </c:trendline>
          <c:xVal>
            <c:numRef>
              <c:f>'Loy Yang A'!$G$16:$I$16</c:f>
              <c:numCache>
                <c:formatCode>General</c:formatCode>
                <c:ptCount val="3"/>
                <c:pt idx="0">
                  <c:v>5</c:v>
                </c:pt>
                <c:pt idx="1">
                  <c:v>25</c:v>
                </c:pt>
                <c:pt idx="2">
                  <c:v>75</c:v>
                </c:pt>
              </c:numCache>
            </c:numRef>
          </c:xVal>
          <c:yVal>
            <c:numRef>
              <c:f>'Loy Yang A'!$G$18:$I$18</c:f>
              <c:numCache>
                <c:formatCode>0.00</c:formatCode>
                <c:ptCount val="3"/>
                <c:pt idx="0">
                  <c:v>0.98963616317530334</c:v>
                </c:pt>
                <c:pt idx="1">
                  <c:v>1.4262403528114667</c:v>
                </c:pt>
                <c:pt idx="2">
                  <c:v>2.6196251378169793</c:v>
                </c:pt>
              </c:numCache>
            </c:numRef>
          </c:yVal>
          <c:smooth val="0"/>
        </c:ser>
        <c:ser>
          <c:idx val="2"/>
          <c:order val="2"/>
          <c:tx>
            <c:strRef>
              <c:f>'Loy Yang A'!$F$19</c:f>
              <c:strCache>
                <c:ptCount val="1"/>
                <c:pt idx="0">
                  <c:v>PM10</c:v>
                </c:pt>
              </c:strCache>
            </c:strRef>
          </c:tx>
          <c:spPr>
            <a:ln w="28575">
              <a:noFill/>
            </a:ln>
          </c:spPr>
          <c:trendline>
            <c:trendlineType val="linear"/>
            <c:dispRSqr val="0"/>
            <c:dispEq val="1"/>
            <c:trendlineLbl>
              <c:layout>
                <c:manualLayout>
                  <c:x val="4.7081146106736659E-2"/>
                  <c:y val="-0.18453670563906785"/>
                </c:manualLayout>
              </c:layout>
              <c:numFmt formatCode="General" sourceLinked="0"/>
            </c:trendlineLbl>
          </c:trendline>
          <c:xVal>
            <c:numRef>
              <c:f>'Loy Yang A'!$G$16:$I$16</c:f>
              <c:numCache>
                <c:formatCode>General</c:formatCode>
                <c:ptCount val="3"/>
                <c:pt idx="0">
                  <c:v>5</c:v>
                </c:pt>
                <c:pt idx="1">
                  <c:v>25</c:v>
                </c:pt>
                <c:pt idx="2">
                  <c:v>75</c:v>
                </c:pt>
              </c:numCache>
            </c:numRef>
          </c:xVal>
          <c:yVal>
            <c:numRef>
              <c:f>'Loy Yang A'!$G$19:$I$19</c:f>
              <c:numCache>
                <c:formatCode>0.00</c:formatCode>
                <c:ptCount val="3"/>
                <c:pt idx="0">
                  <c:v>3.5501653803748624E-2</c:v>
                </c:pt>
                <c:pt idx="1">
                  <c:v>6.0859977949283363E-2</c:v>
                </c:pt>
                <c:pt idx="2">
                  <c:v>0.12425578831312019</c:v>
                </c:pt>
              </c:numCache>
            </c:numRef>
          </c:yVal>
          <c:smooth val="0"/>
        </c:ser>
        <c:ser>
          <c:idx val="3"/>
          <c:order val="3"/>
          <c:tx>
            <c:strRef>
              <c:f>'Loy Yang A'!$F$20</c:f>
              <c:strCache>
                <c:ptCount val="1"/>
                <c:pt idx="0">
                  <c:v>PM2.5</c:v>
                </c:pt>
              </c:strCache>
            </c:strRef>
          </c:tx>
          <c:spPr>
            <a:ln w="28575">
              <a:noFill/>
            </a:ln>
          </c:spPr>
          <c:trendline>
            <c:trendlineType val="linear"/>
            <c:dispRSqr val="0"/>
            <c:dispEq val="1"/>
            <c:trendlineLbl>
              <c:layout>
                <c:manualLayout>
                  <c:x val="1.9109142607174102E-2"/>
                  <c:y val="-8.8577109679471883E-2"/>
                </c:manualLayout>
              </c:layout>
              <c:numFmt formatCode="General" sourceLinked="0"/>
            </c:trendlineLbl>
          </c:trendline>
          <c:xVal>
            <c:numRef>
              <c:f>'Loy Yang A'!$G$16:$I$16</c:f>
              <c:numCache>
                <c:formatCode>General</c:formatCode>
                <c:ptCount val="3"/>
                <c:pt idx="0">
                  <c:v>5</c:v>
                </c:pt>
                <c:pt idx="1">
                  <c:v>25</c:v>
                </c:pt>
                <c:pt idx="2">
                  <c:v>75</c:v>
                </c:pt>
              </c:numCache>
            </c:numRef>
          </c:xVal>
          <c:yVal>
            <c:numRef>
              <c:f>'Loy Yang A'!$G$20:$I$20</c:f>
              <c:numCache>
                <c:formatCode>0.00</c:formatCode>
                <c:ptCount val="3"/>
                <c:pt idx="0">
                  <c:v>0.34399117971334064</c:v>
                </c:pt>
                <c:pt idx="1">
                  <c:v>0.62183020948180812</c:v>
                </c:pt>
                <c:pt idx="2">
                  <c:v>1.3230429988974641</c:v>
                </c:pt>
              </c:numCache>
            </c:numRef>
          </c:yVal>
          <c:smooth val="0"/>
        </c:ser>
        <c:dLbls>
          <c:showLegendKey val="0"/>
          <c:showVal val="0"/>
          <c:showCatName val="0"/>
          <c:showSerName val="0"/>
          <c:showPercent val="0"/>
          <c:showBubbleSize val="0"/>
        </c:dLbls>
        <c:axId val="178743168"/>
        <c:axId val="178757632"/>
      </c:scatterChart>
      <c:valAx>
        <c:axId val="178743168"/>
        <c:scaling>
          <c:orientation val="minMax"/>
        </c:scaling>
        <c:delete val="0"/>
        <c:axPos val="b"/>
        <c:title>
          <c:tx>
            <c:rich>
              <a:bodyPr/>
              <a:lstStyle/>
              <a:p>
                <a:pPr>
                  <a:defRPr/>
                </a:pPr>
                <a:r>
                  <a:rPr lang="en-US"/>
                  <a:t>Percentile</a:t>
                </a:r>
              </a:p>
            </c:rich>
          </c:tx>
          <c:overlay val="0"/>
        </c:title>
        <c:numFmt formatCode="General" sourceLinked="1"/>
        <c:majorTickMark val="out"/>
        <c:minorTickMark val="none"/>
        <c:tickLblPos val="nextTo"/>
        <c:txPr>
          <a:bodyPr/>
          <a:lstStyle/>
          <a:p>
            <a:pPr>
              <a:defRPr b="1"/>
            </a:pPr>
            <a:endParaRPr lang="en-US"/>
          </a:p>
        </c:txPr>
        <c:crossAx val="178757632"/>
        <c:crosses val="autoZero"/>
        <c:crossBetween val="midCat"/>
      </c:valAx>
      <c:valAx>
        <c:axId val="178757632"/>
        <c:scaling>
          <c:orientation val="minMax"/>
        </c:scaling>
        <c:delete val="0"/>
        <c:axPos val="l"/>
        <c:majorGridlines/>
        <c:title>
          <c:tx>
            <c:rich>
              <a:bodyPr rot="-5400000" vert="horz"/>
              <a:lstStyle/>
              <a:p>
                <a:pPr>
                  <a:defRPr/>
                </a:pPr>
                <a:r>
                  <a:rPr lang="en-US"/>
                  <a:t>Healt cost A$/MWh</a:t>
                </a:r>
              </a:p>
            </c:rich>
          </c:tx>
          <c:overlay val="0"/>
        </c:title>
        <c:numFmt formatCode="0" sourceLinked="0"/>
        <c:majorTickMark val="out"/>
        <c:minorTickMark val="none"/>
        <c:tickLblPos val="nextTo"/>
        <c:txPr>
          <a:bodyPr/>
          <a:lstStyle/>
          <a:p>
            <a:pPr>
              <a:defRPr b="1"/>
            </a:pPr>
            <a:endParaRPr lang="en-US"/>
          </a:p>
        </c:txPr>
        <c:crossAx val="1787431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'Loy Yang B'!$F$17</c:f>
              <c:strCache>
                <c:ptCount val="1"/>
                <c:pt idx="0">
                  <c:v>SO2</c:v>
                </c:pt>
              </c:strCache>
            </c:strRef>
          </c:tx>
          <c:spPr>
            <a:ln w="28575">
              <a:noFill/>
            </a:ln>
          </c:spPr>
          <c:trendline>
            <c:trendlineType val="linear"/>
            <c:dispRSqr val="0"/>
            <c:dispEq val="1"/>
            <c:trendlineLbl>
              <c:numFmt formatCode="General" sourceLinked="0"/>
            </c:trendlineLbl>
          </c:trendline>
          <c:xVal>
            <c:numRef>
              <c:f>'Loy Yang B'!$G$16:$I$16</c:f>
              <c:numCache>
                <c:formatCode>General</c:formatCode>
                <c:ptCount val="3"/>
                <c:pt idx="0">
                  <c:v>5</c:v>
                </c:pt>
                <c:pt idx="1">
                  <c:v>25</c:v>
                </c:pt>
                <c:pt idx="2">
                  <c:v>75</c:v>
                </c:pt>
              </c:numCache>
            </c:numRef>
          </c:xVal>
          <c:yVal>
            <c:numRef>
              <c:f>'Loy Yang B'!$G$17:$I$17</c:f>
              <c:numCache>
                <c:formatCode>0.00</c:formatCode>
                <c:ptCount val="3"/>
                <c:pt idx="0">
                  <c:v>5.3980154355016543</c:v>
                </c:pt>
                <c:pt idx="1">
                  <c:v>11.095920617420067</c:v>
                </c:pt>
                <c:pt idx="2">
                  <c:v>20.692392502756341</c:v>
                </c:pt>
              </c:numCache>
            </c:numRef>
          </c:yVal>
          <c:smooth val="0"/>
        </c:ser>
        <c:ser>
          <c:idx val="1"/>
          <c:order val="1"/>
          <c:tx>
            <c:strRef>
              <c:f>'Loy Yang B'!$F$18</c:f>
              <c:strCache>
                <c:ptCount val="1"/>
                <c:pt idx="0">
                  <c:v>NOx</c:v>
                </c:pt>
              </c:strCache>
            </c:strRef>
          </c:tx>
          <c:spPr>
            <a:ln w="28575">
              <a:noFill/>
            </a:ln>
          </c:spPr>
          <c:trendline>
            <c:trendlineType val="linear"/>
            <c:dispRSqr val="0"/>
            <c:dispEq val="1"/>
            <c:trendlineLbl>
              <c:layout>
                <c:manualLayout>
                  <c:x val="4.4109142607174107E-2"/>
                  <c:y val="-0.24060229313441084"/>
                </c:manualLayout>
              </c:layout>
              <c:numFmt formatCode="General" sourceLinked="0"/>
            </c:trendlineLbl>
          </c:trendline>
          <c:xVal>
            <c:numRef>
              <c:f>'Loy Yang B'!$G$16:$I$16</c:f>
              <c:numCache>
                <c:formatCode>General</c:formatCode>
                <c:ptCount val="3"/>
                <c:pt idx="0">
                  <c:v>5</c:v>
                </c:pt>
                <c:pt idx="1">
                  <c:v>25</c:v>
                </c:pt>
                <c:pt idx="2">
                  <c:v>75</c:v>
                </c:pt>
              </c:numCache>
            </c:numRef>
          </c:xVal>
          <c:yVal>
            <c:numRef>
              <c:f>'Loy Yang B'!$G$18:$I$18</c:f>
              <c:numCache>
                <c:formatCode>0.00</c:formatCode>
                <c:ptCount val="3"/>
                <c:pt idx="0">
                  <c:v>1.2445424476295479</c:v>
                </c:pt>
                <c:pt idx="1">
                  <c:v>1.7936052921719956</c:v>
                </c:pt>
                <c:pt idx="2">
                  <c:v>3.2943770672546857</c:v>
                </c:pt>
              </c:numCache>
            </c:numRef>
          </c:yVal>
          <c:smooth val="0"/>
        </c:ser>
        <c:ser>
          <c:idx val="2"/>
          <c:order val="2"/>
          <c:tx>
            <c:strRef>
              <c:f>'Loy Yang B'!$F$19</c:f>
              <c:strCache>
                <c:ptCount val="1"/>
                <c:pt idx="0">
                  <c:v>PM10</c:v>
                </c:pt>
              </c:strCache>
            </c:strRef>
          </c:tx>
          <c:spPr>
            <a:ln w="28575">
              <a:noFill/>
            </a:ln>
          </c:spPr>
          <c:trendline>
            <c:trendlineType val="linear"/>
            <c:dispRSqr val="0"/>
            <c:dispEq val="1"/>
            <c:trendlineLbl>
              <c:layout>
                <c:manualLayout>
                  <c:x val="3.2998031496062993E-2"/>
                  <c:y val="-0.16619847620262043"/>
                </c:manualLayout>
              </c:layout>
              <c:numFmt formatCode="General" sourceLinked="0"/>
            </c:trendlineLbl>
          </c:trendline>
          <c:xVal>
            <c:numRef>
              <c:f>'Loy Yang B'!$G$16:$I$16</c:f>
              <c:numCache>
                <c:formatCode>General</c:formatCode>
                <c:ptCount val="3"/>
                <c:pt idx="0">
                  <c:v>5</c:v>
                </c:pt>
                <c:pt idx="1">
                  <c:v>25</c:v>
                </c:pt>
                <c:pt idx="2">
                  <c:v>75</c:v>
                </c:pt>
              </c:numCache>
            </c:numRef>
          </c:xVal>
          <c:yVal>
            <c:numRef>
              <c:f>'Loy Yang B'!$G$19:$I$19</c:f>
              <c:numCache>
                <c:formatCode>0.00</c:formatCode>
                <c:ptCount val="3"/>
                <c:pt idx="0">
                  <c:v>2.7783902976846745E-2</c:v>
                </c:pt>
                <c:pt idx="1">
                  <c:v>4.7629547960308716E-2</c:v>
                </c:pt>
                <c:pt idx="2">
                  <c:v>9.7243660418963623E-2</c:v>
                </c:pt>
              </c:numCache>
            </c:numRef>
          </c:yVal>
          <c:smooth val="0"/>
        </c:ser>
        <c:ser>
          <c:idx val="3"/>
          <c:order val="3"/>
          <c:tx>
            <c:strRef>
              <c:f>'Loy Yang B'!$F$20</c:f>
              <c:strCache>
                <c:ptCount val="1"/>
                <c:pt idx="0">
                  <c:v>PM2.5</c:v>
                </c:pt>
              </c:strCache>
            </c:strRef>
          </c:tx>
          <c:spPr>
            <a:ln w="28575">
              <a:noFill/>
            </a:ln>
          </c:spPr>
          <c:trendline>
            <c:trendlineType val="linear"/>
            <c:dispRSqr val="0"/>
            <c:dispEq val="1"/>
            <c:trendlineLbl>
              <c:layout>
                <c:manualLayout>
                  <c:x val="2.0591863517060369E-2"/>
                  <c:y val="-1.4984689413823271E-2"/>
                </c:manualLayout>
              </c:layout>
              <c:numFmt formatCode="General" sourceLinked="0"/>
            </c:trendlineLbl>
          </c:trendline>
          <c:xVal>
            <c:numRef>
              <c:f>'Loy Yang B'!$G$16:$I$16</c:f>
              <c:numCache>
                <c:formatCode>General</c:formatCode>
                <c:ptCount val="3"/>
                <c:pt idx="0">
                  <c:v>5</c:v>
                </c:pt>
                <c:pt idx="1">
                  <c:v>25</c:v>
                </c:pt>
                <c:pt idx="2">
                  <c:v>75</c:v>
                </c:pt>
              </c:numCache>
            </c:numRef>
          </c:xVal>
          <c:yVal>
            <c:numRef>
              <c:f>'Loy Yang B'!$G$20:$I$20</c:f>
              <c:numCache>
                <c:formatCode>0.00</c:formatCode>
                <c:ptCount val="3"/>
                <c:pt idx="0">
                  <c:v>0.28665931642778392</c:v>
                </c:pt>
                <c:pt idx="1">
                  <c:v>0.51819184123484019</c:v>
                </c:pt>
                <c:pt idx="2">
                  <c:v>1.1025358324145536</c:v>
                </c:pt>
              </c:numCache>
            </c:numRef>
          </c:yVal>
          <c:smooth val="0"/>
        </c:ser>
        <c:dLbls>
          <c:showLegendKey val="0"/>
          <c:showVal val="0"/>
          <c:showCatName val="0"/>
          <c:showSerName val="0"/>
          <c:showPercent val="0"/>
          <c:showBubbleSize val="0"/>
        </c:dLbls>
        <c:axId val="179124096"/>
        <c:axId val="179126272"/>
      </c:scatterChart>
      <c:valAx>
        <c:axId val="179124096"/>
        <c:scaling>
          <c:orientation val="minMax"/>
        </c:scaling>
        <c:delete val="0"/>
        <c:axPos val="b"/>
        <c:title>
          <c:tx>
            <c:rich>
              <a:bodyPr/>
              <a:lstStyle/>
              <a:p>
                <a:pPr>
                  <a:defRPr/>
                </a:pPr>
                <a:r>
                  <a:rPr lang="en-US"/>
                  <a:t>percentile</a:t>
                </a:r>
              </a:p>
            </c:rich>
          </c:tx>
          <c:overlay val="0"/>
        </c:title>
        <c:numFmt formatCode="General" sourceLinked="1"/>
        <c:majorTickMark val="out"/>
        <c:minorTickMark val="none"/>
        <c:tickLblPos val="nextTo"/>
        <c:crossAx val="179126272"/>
        <c:crosses val="autoZero"/>
        <c:crossBetween val="midCat"/>
      </c:valAx>
      <c:valAx>
        <c:axId val="179126272"/>
        <c:scaling>
          <c:orientation val="minMax"/>
        </c:scaling>
        <c:delete val="0"/>
        <c:axPos val="l"/>
        <c:majorGridlines/>
        <c:title>
          <c:tx>
            <c:rich>
              <a:bodyPr rot="-5400000" vert="horz"/>
              <a:lstStyle/>
              <a:p>
                <a:pPr>
                  <a:defRPr/>
                </a:pPr>
                <a:r>
                  <a:rPr lang="en-US"/>
                  <a:t>Health cost $A/MWh</a:t>
                </a:r>
              </a:p>
            </c:rich>
          </c:tx>
          <c:overlay val="0"/>
        </c:title>
        <c:numFmt formatCode="0" sourceLinked="0"/>
        <c:majorTickMark val="out"/>
        <c:minorTickMark val="none"/>
        <c:tickLblPos val="nextTo"/>
        <c:crossAx val="1791240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Yallourn!$F$17</c:f>
              <c:strCache>
                <c:ptCount val="1"/>
                <c:pt idx="0">
                  <c:v>SO2</c:v>
                </c:pt>
              </c:strCache>
            </c:strRef>
          </c:tx>
          <c:spPr>
            <a:ln w="28575">
              <a:noFill/>
            </a:ln>
          </c:spPr>
          <c:trendline>
            <c:trendlineType val="linear"/>
            <c:dispRSqr val="0"/>
            <c:dispEq val="1"/>
            <c:trendlineLbl>
              <c:layout/>
              <c:numFmt formatCode="General" sourceLinked="0"/>
            </c:trendlineLbl>
          </c:trendline>
          <c:xVal>
            <c:numRef>
              <c:f>Yallourn!$G$16:$I$16</c:f>
              <c:numCache>
                <c:formatCode>General</c:formatCode>
                <c:ptCount val="3"/>
                <c:pt idx="0">
                  <c:v>5</c:v>
                </c:pt>
                <c:pt idx="1">
                  <c:v>25</c:v>
                </c:pt>
                <c:pt idx="2">
                  <c:v>75</c:v>
                </c:pt>
              </c:numCache>
            </c:numRef>
          </c:xVal>
          <c:yVal>
            <c:numRef>
              <c:f>Yallourn!$G$17:$I$17</c:f>
              <c:numCache>
                <c:formatCode>0.00</c:formatCode>
                <c:ptCount val="3"/>
                <c:pt idx="0">
                  <c:v>3.3539140022050717</c:v>
                </c:pt>
                <c:pt idx="1">
                  <c:v>6.8941565600882022</c:v>
                </c:pt>
                <c:pt idx="2">
                  <c:v>12.856670341786108</c:v>
                </c:pt>
              </c:numCache>
            </c:numRef>
          </c:yVal>
          <c:smooth val="0"/>
        </c:ser>
        <c:ser>
          <c:idx val="1"/>
          <c:order val="1"/>
          <c:tx>
            <c:strRef>
              <c:f>Yallourn!$F$18</c:f>
              <c:strCache>
                <c:ptCount val="1"/>
                <c:pt idx="0">
                  <c:v>NOx</c:v>
                </c:pt>
              </c:strCache>
            </c:strRef>
          </c:tx>
          <c:spPr>
            <a:ln w="28575">
              <a:noFill/>
            </a:ln>
          </c:spPr>
          <c:trendline>
            <c:trendlineType val="linear"/>
            <c:dispRSqr val="0"/>
            <c:dispEq val="1"/>
            <c:trendlineLbl>
              <c:layout>
                <c:manualLayout>
                  <c:x val="-1.1709057950490002E-3"/>
                  <c:y val="-0.1790161292079154"/>
                </c:manualLayout>
              </c:layout>
              <c:numFmt formatCode="General" sourceLinked="0"/>
            </c:trendlineLbl>
          </c:trendline>
          <c:xVal>
            <c:numRef>
              <c:f>Yallourn!$G$16:$I$16</c:f>
              <c:numCache>
                <c:formatCode>General</c:formatCode>
                <c:ptCount val="3"/>
                <c:pt idx="0">
                  <c:v>5</c:v>
                </c:pt>
                <c:pt idx="1">
                  <c:v>25</c:v>
                </c:pt>
                <c:pt idx="2">
                  <c:v>75</c:v>
                </c:pt>
              </c:numCache>
            </c:numRef>
          </c:xVal>
          <c:yVal>
            <c:numRef>
              <c:f>Yallourn!$G$18:$I$18</c:f>
              <c:numCache>
                <c:formatCode>0.00</c:formatCode>
                <c:ptCount val="3"/>
                <c:pt idx="0">
                  <c:v>1.1395810363836825</c:v>
                </c:pt>
                <c:pt idx="1">
                  <c:v>1.6423373759647191</c:v>
                </c:pt>
                <c:pt idx="2">
                  <c:v>3.0165380374862183</c:v>
                </c:pt>
              </c:numCache>
            </c:numRef>
          </c:yVal>
          <c:smooth val="0"/>
        </c:ser>
        <c:ser>
          <c:idx val="2"/>
          <c:order val="2"/>
          <c:tx>
            <c:strRef>
              <c:f>Yallourn!$F$19</c:f>
              <c:strCache>
                <c:ptCount val="1"/>
                <c:pt idx="0">
                  <c:v>PM10</c:v>
                </c:pt>
              </c:strCache>
            </c:strRef>
          </c:tx>
          <c:spPr>
            <a:ln w="28575">
              <a:noFill/>
            </a:ln>
          </c:spPr>
          <c:trendline>
            <c:trendlineType val="linear"/>
            <c:dispRSqr val="0"/>
            <c:dispEq val="1"/>
            <c:trendlineLbl>
              <c:layout>
                <c:manualLayout>
                  <c:x val="1.5615664948356275E-2"/>
                  <c:y val="-0.20629747007765109"/>
                </c:manualLayout>
              </c:layout>
              <c:numFmt formatCode="General" sourceLinked="0"/>
            </c:trendlineLbl>
          </c:trendline>
          <c:xVal>
            <c:numRef>
              <c:f>Yallourn!$G$16:$I$16</c:f>
              <c:numCache>
                <c:formatCode>General</c:formatCode>
                <c:ptCount val="3"/>
                <c:pt idx="0">
                  <c:v>5</c:v>
                </c:pt>
                <c:pt idx="1">
                  <c:v>25</c:v>
                </c:pt>
                <c:pt idx="2">
                  <c:v>75</c:v>
                </c:pt>
              </c:numCache>
            </c:numRef>
          </c:xVal>
          <c:yVal>
            <c:numRef>
              <c:f>Yallourn!$G$19:$I$19</c:f>
              <c:numCache>
                <c:formatCode>0.00</c:formatCode>
                <c:ptCount val="3"/>
                <c:pt idx="0">
                  <c:v>4.1675854465270126E-2</c:v>
                </c:pt>
                <c:pt idx="1">
                  <c:v>7.1444321940463074E-2</c:v>
                </c:pt>
                <c:pt idx="2">
                  <c:v>0.14586549062844545</c:v>
                </c:pt>
              </c:numCache>
            </c:numRef>
          </c:yVal>
          <c:smooth val="0"/>
        </c:ser>
        <c:ser>
          <c:idx val="3"/>
          <c:order val="3"/>
          <c:tx>
            <c:strRef>
              <c:f>Yallourn!$F$20</c:f>
              <c:strCache>
                <c:ptCount val="1"/>
                <c:pt idx="0">
                  <c:v>PM2.5</c:v>
                </c:pt>
              </c:strCache>
            </c:strRef>
          </c:tx>
          <c:spPr>
            <a:ln w="28575">
              <a:noFill/>
            </a:ln>
          </c:spPr>
          <c:trendline>
            <c:trendlineType val="linear"/>
            <c:dispRSqr val="0"/>
            <c:dispEq val="1"/>
            <c:trendlineLbl>
              <c:layout>
                <c:manualLayout>
                  <c:x val="2.0591863517060369E-2"/>
                  <c:y val="-1.4984689413823271E-2"/>
                </c:manualLayout>
              </c:layout>
              <c:numFmt formatCode="General" sourceLinked="0"/>
            </c:trendlineLbl>
          </c:trendline>
          <c:xVal>
            <c:numRef>
              <c:f>Yallourn!$G$16:$I$16</c:f>
              <c:numCache>
                <c:formatCode>General</c:formatCode>
                <c:ptCount val="3"/>
                <c:pt idx="0">
                  <c:v>5</c:v>
                </c:pt>
                <c:pt idx="1">
                  <c:v>25</c:v>
                </c:pt>
                <c:pt idx="2">
                  <c:v>75</c:v>
                </c:pt>
              </c:numCache>
            </c:numRef>
          </c:xVal>
          <c:yVal>
            <c:numRef>
              <c:f>Yallourn!$G$20:$I$20</c:f>
              <c:numCache>
                <c:formatCode>0.00</c:formatCode>
                <c:ptCount val="3"/>
                <c:pt idx="0">
                  <c:v>0.48732083792723263</c:v>
                </c:pt>
                <c:pt idx="1">
                  <c:v>0.88092613009922827</c:v>
                </c:pt>
                <c:pt idx="2">
                  <c:v>1.874310915104741</c:v>
                </c:pt>
              </c:numCache>
            </c:numRef>
          </c:yVal>
          <c:smooth val="0"/>
        </c:ser>
        <c:dLbls>
          <c:showLegendKey val="0"/>
          <c:showVal val="0"/>
          <c:showCatName val="0"/>
          <c:showSerName val="0"/>
          <c:showPercent val="0"/>
          <c:showBubbleSize val="0"/>
        </c:dLbls>
        <c:axId val="179219456"/>
        <c:axId val="179229824"/>
      </c:scatterChart>
      <c:valAx>
        <c:axId val="179219456"/>
        <c:scaling>
          <c:orientation val="minMax"/>
        </c:scaling>
        <c:delete val="0"/>
        <c:axPos val="b"/>
        <c:title>
          <c:tx>
            <c:rich>
              <a:bodyPr/>
              <a:lstStyle/>
              <a:p>
                <a:pPr>
                  <a:defRPr/>
                </a:pPr>
                <a:r>
                  <a:rPr lang="en-US"/>
                  <a:t>percentile</a:t>
                </a:r>
              </a:p>
            </c:rich>
          </c:tx>
          <c:layout/>
          <c:overlay val="0"/>
        </c:title>
        <c:numFmt formatCode="General" sourceLinked="1"/>
        <c:majorTickMark val="out"/>
        <c:minorTickMark val="none"/>
        <c:tickLblPos val="nextTo"/>
        <c:crossAx val="179229824"/>
        <c:crosses val="autoZero"/>
        <c:crossBetween val="midCat"/>
      </c:valAx>
      <c:valAx>
        <c:axId val="179229824"/>
        <c:scaling>
          <c:orientation val="minMax"/>
        </c:scaling>
        <c:delete val="0"/>
        <c:axPos val="l"/>
        <c:majorGridlines/>
        <c:title>
          <c:tx>
            <c:rich>
              <a:bodyPr rot="-5400000" vert="horz"/>
              <a:lstStyle/>
              <a:p>
                <a:pPr>
                  <a:defRPr/>
                </a:pPr>
                <a:r>
                  <a:rPr lang="en-US"/>
                  <a:t>Health cost $A/MWh</a:t>
                </a:r>
              </a:p>
            </c:rich>
          </c:tx>
          <c:layout/>
          <c:overlay val="0"/>
        </c:title>
        <c:numFmt formatCode="0" sourceLinked="0"/>
        <c:majorTickMark val="out"/>
        <c:minorTickMark val="none"/>
        <c:tickLblPos val="nextTo"/>
        <c:crossAx val="179219456"/>
        <c:crosses val="autoZero"/>
        <c:crossBetween val="midCat"/>
      </c:valAx>
    </c:plotArea>
    <c:legend>
      <c:legendPos val="r"/>
      <c:layout>
        <c:manualLayout>
          <c:xMode val="edge"/>
          <c:yMode val="edge"/>
          <c:x val="0.7704909458260164"/>
          <c:y val="8.3227148473660709E-2"/>
          <c:w val="0.21512056496535056"/>
          <c:h val="0.80035024667559707"/>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Data</c:v>
          </c:tx>
          <c:spPr>
            <a:ln w="28575">
              <a:noFill/>
            </a:ln>
          </c:spPr>
          <c:trendline>
            <c:trendlineType val="poly"/>
            <c:order val="2"/>
            <c:dispRSqr val="0"/>
            <c:dispEq val="1"/>
            <c:trendlineLbl>
              <c:layout>
                <c:manualLayout>
                  <c:x val="9.4529965004374453E-2"/>
                  <c:y val="0.37583442694663166"/>
                </c:manualLayout>
              </c:layout>
              <c:numFmt formatCode="General" sourceLinked="0"/>
            </c:trendlineLbl>
          </c:trendline>
          <c:xVal>
            <c:numRef>
              <c:f>'PV generation vs export'!$A$18:$A$27</c:f>
              <c:numCache>
                <c:formatCode>General</c:formatCode>
                <c:ptCount val="10"/>
                <c:pt idx="0">
                  <c:v>1</c:v>
                </c:pt>
                <c:pt idx="1">
                  <c:v>1.5</c:v>
                </c:pt>
                <c:pt idx="2">
                  <c:v>2</c:v>
                </c:pt>
                <c:pt idx="3">
                  <c:v>2.5</c:v>
                </c:pt>
                <c:pt idx="4">
                  <c:v>3</c:v>
                </c:pt>
                <c:pt idx="5">
                  <c:v>3.5</c:v>
                </c:pt>
                <c:pt idx="6">
                  <c:v>4</c:v>
                </c:pt>
                <c:pt idx="7">
                  <c:v>4.5</c:v>
                </c:pt>
                <c:pt idx="8">
                  <c:v>5</c:v>
                </c:pt>
                <c:pt idx="9" formatCode="0.00">
                  <c:v>3.8441446701287521</c:v>
                </c:pt>
              </c:numCache>
            </c:numRef>
          </c:xVal>
          <c:yVal>
            <c:numRef>
              <c:f>'PV generation vs export'!$B$18:$B$27</c:f>
              <c:numCache>
                <c:formatCode>0</c:formatCode>
                <c:ptCount val="10"/>
                <c:pt idx="0">
                  <c:v>28</c:v>
                </c:pt>
                <c:pt idx="1">
                  <c:v>37</c:v>
                </c:pt>
                <c:pt idx="2">
                  <c:v>49</c:v>
                </c:pt>
                <c:pt idx="3">
                  <c:v>54</c:v>
                </c:pt>
                <c:pt idx="4">
                  <c:v>60</c:v>
                </c:pt>
                <c:pt idx="5">
                  <c:v>67</c:v>
                </c:pt>
                <c:pt idx="6">
                  <c:v>65</c:v>
                </c:pt>
                <c:pt idx="7">
                  <c:v>68</c:v>
                </c:pt>
                <c:pt idx="8">
                  <c:v>74</c:v>
                </c:pt>
              </c:numCache>
            </c:numRef>
          </c:yVal>
          <c:smooth val="0"/>
        </c:ser>
        <c:ser>
          <c:idx val="1"/>
          <c:order val="1"/>
          <c:tx>
            <c:v>Calc 67% at 3.8 kWp</c:v>
          </c:tx>
          <c:spPr>
            <a:ln w="28575">
              <a:noFill/>
            </a:ln>
          </c:spPr>
          <c:xVal>
            <c:numRef>
              <c:f>'PV generation vs export'!$A$18:$A$27</c:f>
              <c:numCache>
                <c:formatCode>General</c:formatCode>
                <c:ptCount val="10"/>
                <c:pt idx="0">
                  <c:v>1</c:v>
                </c:pt>
                <c:pt idx="1">
                  <c:v>1.5</c:v>
                </c:pt>
                <c:pt idx="2">
                  <c:v>2</c:v>
                </c:pt>
                <c:pt idx="3">
                  <c:v>2.5</c:v>
                </c:pt>
                <c:pt idx="4">
                  <c:v>3</c:v>
                </c:pt>
                <c:pt idx="5">
                  <c:v>3.5</c:v>
                </c:pt>
                <c:pt idx="6">
                  <c:v>4</c:v>
                </c:pt>
                <c:pt idx="7">
                  <c:v>4.5</c:v>
                </c:pt>
                <c:pt idx="8">
                  <c:v>5</c:v>
                </c:pt>
                <c:pt idx="9" formatCode="0.00">
                  <c:v>3.8441446701287521</c:v>
                </c:pt>
              </c:numCache>
            </c:numRef>
          </c:xVal>
          <c:yVal>
            <c:numRef>
              <c:f>'PV generation vs export'!$C$18:$C$27</c:f>
              <c:numCache>
                <c:formatCode>0</c:formatCode>
                <c:ptCount val="10"/>
                <c:pt idx="9">
                  <c:v>67.223817678797872</c:v>
                </c:pt>
              </c:numCache>
            </c:numRef>
          </c:yVal>
          <c:smooth val="0"/>
        </c:ser>
        <c:dLbls>
          <c:showLegendKey val="0"/>
          <c:showVal val="0"/>
          <c:showCatName val="0"/>
          <c:showSerName val="0"/>
          <c:showPercent val="0"/>
          <c:showBubbleSize val="0"/>
        </c:dLbls>
        <c:axId val="182813824"/>
        <c:axId val="182815744"/>
      </c:scatterChart>
      <c:valAx>
        <c:axId val="182813824"/>
        <c:scaling>
          <c:orientation val="minMax"/>
        </c:scaling>
        <c:delete val="0"/>
        <c:axPos val="b"/>
        <c:title>
          <c:tx>
            <c:rich>
              <a:bodyPr/>
              <a:lstStyle/>
              <a:p>
                <a:pPr>
                  <a:defRPr/>
                </a:pPr>
                <a:r>
                  <a:rPr lang="en-US"/>
                  <a:t>System size kW</a:t>
                </a:r>
              </a:p>
            </c:rich>
          </c:tx>
          <c:layout/>
          <c:overlay val="0"/>
        </c:title>
        <c:numFmt formatCode="General" sourceLinked="1"/>
        <c:majorTickMark val="out"/>
        <c:minorTickMark val="none"/>
        <c:tickLblPos val="nextTo"/>
        <c:crossAx val="182815744"/>
        <c:crosses val="autoZero"/>
        <c:crossBetween val="midCat"/>
      </c:valAx>
      <c:valAx>
        <c:axId val="182815744"/>
        <c:scaling>
          <c:orientation val="minMax"/>
        </c:scaling>
        <c:delete val="0"/>
        <c:axPos val="l"/>
        <c:majorGridlines/>
        <c:title>
          <c:tx>
            <c:rich>
              <a:bodyPr rot="-5400000" vert="horz"/>
              <a:lstStyle/>
              <a:p>
                <a:pPr>
                  <a:defRPr/>
                </a:pPr>
                <a:r>
                  <a:rPr lang="en-US"/>
                  <a:t>Export percentage</a:t>
                </a:r>
              </a:p>
            </c:rich>
          </c:tx>
          <c:layout/>
          <c:overlay val="0"/>
        </c:title>
        <c:numFmt formatCode="0" sourceLinked="1"/>
        <c:majorTickMark val="out"/>
        <c:minorTickMark val="none"/>
        <c:tickLblPos val="nextTo"/>
        <c:crossAx val="1828138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104775</xdr:rowOff>
    </xdr:from>
    <xdr:to>
      <xdr:col>10</xdr:col>
      <xdr:colOff>246937</xdr:colOff>
      <xdr:row>29</xdr:row>
      <xdr:rowOff>132780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590550"/>
          <a:ext cx="5704762" cy="4561905"/>
        </a:xfrm>
        <a:prstGeom prst="rect">
          <a:avLst/>
        </a:prstGeom>
      </xdr:spPr>
    </xdr:pic>
    <xdr:clientData/>
  </xdr:twoCellAnchor>
  <xdr:twoCellAnchor editAs="oneCell">
    <xdr:from>
      <xdr:col>11</xdr:col>
      <xdr:colOff>57150</xdr:colOff>
      <xdr:row>1</xdr:row>
      <xdr:rowOff>114300</xdr:rowOff>
    </xdr:from>
    <xdr:to>
      <xdr:col>22</xdr:col>
      <xdr:colOff>275465</xdr:colOff>
      <xdr:row>25</xdr:row>
      <xdr:rowOff>142386</xdr:rowOff>
    </xdr:to>
    <xdr:pic>
      <xdr:nvPicPr>
        <xdr:cNvPr id="4" name="Picture 3"/>
        <xdr:cNvPicPr>
          <a:picLocks noChangeAspect="1"/>
        </xdr:cNvPicPr>
      </xdr:nvPicPr>
      <xdr:blipFill>
        <a:blip xmlns:r="http://schemas.openxmlformats.org/officeDocument/2006/relationships" r:embed="rId2"/>
        <a:stretch>
          <a:fillRect/>
        </a:stretch>
      </xdr:blipFill>
      <xdr:spPr>
        <a:xfrm>
          <a:off x="6048375" y="600075"/>
          <a:ext cx="6085715" cy="3914286"/>
        </a:xfrm>
        <a:prstGeom prst="rect">
          <a:avLst/>
        </a:prstGeom>
      </xdr:spPr>
    </xdr:pic>
    <xdr:clientData/>
  </xdr:twoCellAnchor>
  <xdr:twoCellAnchor>
    <xdr:from>
      <xdr:col>2</xdr:col>
      <xdr:colOff>142875</xdr:colOff>
      <xdr:row>32</xdr:row>
      <xdr:rowOff>61912</xdr:rowOff>
    </xdr:from>
    <xdr:to>
      <xdr:col>10</xdr:col>
      <xdr:colOff>447675</xdr:colOff>
      <xdr:row>49</xdr:row>
      <xdr:rowOff>52387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271182</xdr:colOff>
      <xdr:row>14</xdr:row>
      <xdr:rowOff>42461</xdr:rowOff>
    </xdr:from>
    <xdr:to>
      <xdr:col>21</xdr:col>
      <xdr:colOff>70757</xdr:colOff>
      <xdr:row>35</xdr:row>
      <xdr:rowOff>128306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20</xdr:row>
      <xdr:rowOff>0</xdr:rowOff>
    </xdr:from>
    <xdr:to>
      <xdr:col>9</xdr:col>
      <xdr:colOff>55936</xdr:colOff>
      <xdr:row>55</xdr:row>
      <xdr:rowOff>112059</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3339353"/>
          <a:ext cx="8964612" cy="56029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66675</xdr:colOff>
      <xdr:row>0</xdr:row>
      <xdr:rowOff>104775</xdr:rowOff>
    </xdr:from>
    <xdr:to>
      <xdr:col>21</xdr:col>
      <xdr:colOff>161925</xdr:colOff>
      <xdr:row>16</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xdr:colOff>
      <xdr:row>25</xdr:row>
      <xdr:rowOff>0</xdr:rowOff>
    </xdr:from>
    <xdr:to>
      <xdr:col>9</xdr:col>
      <xdr:colOff>431090</xdr:colOff>
      <xdr:row>37</xdr:row>
      <xdr:rowOff>18768</xdr:rowOff>
    </xdr:to>
    <xdr:pic>
      <xdr:nvPicPr>
        <xdr:cNvPr id="4" name="Picture 3"/>
        <xdr:cNvPicPr>
          <a:picLocks noChangeAspect="1"/>
        </xdr:cNvPicPr>
      </xdr:nvPicPr>
      <xdr:blipFill>
        <a:blip xmlns:r="http://schemas.openxmlformats.org/officeDocument/2006/relationships" r:embed="rId2"/>
        <a:stretch>
          <a:fillRect/>
        </a:stretch>
      </xdr:blipFill>
      <xdr:spPr>
        <a:xfrm>
          <a:off x="1" y="5667375"/>
          <a:ext cx="6622339" cy="1961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809625</xdr:colOff>
      <xdr:row>0</xdr:row>
      <xdr:rowOff>0</xdr:rowOff>
    </xdr:from>
    <xdr:to>
      <xdr:col>20</xdr:col>
      <xdr:colOff>66675</xdr:colOff>
      <xdr:row>14</xdr:row>
      <xdr:rowOff>85725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809624</xdr:colOff>
      <xdr:row>0</xdr:row>
      <xdr:rowOff>95250</xdr:rowOff>
    </xdr:from>
    <xdr:to>
      <xdr:col>21</xdr:col>
      <xdr:colOff>142874</xdr:colOff>
      <xdr:row>14</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4</xdr:row>
      <xdr:rowOff>114300</xdr:rowOff>
    </xdr:from>
    <xdr:to>
      <xdr:col>10</xdr:col>
      <xdr:colOff>276225</xdr:colOff>
      <xdr:row>22</xdr:row>
      <xdr:rowOff>28222</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 y="762000"/>
          <a:ext cx="5314950" cy="2828572"/>
        </a:xfrm>
        <a:prstGeom prst="rect">
          <a:avLst/>
        </a:prstGeom>
      </xdr:spPr>
    </xdr:pic>
    <xdr:clientData/>
  </xdr:twoCellAnchor>
  <xdr:twoCellAnchor editAs="oneCell">
    <xdr:from>
      <xdr:col>0</xdr:col>
      <xdr:colOff>0</xdr:colOff>
      <xdr:row>25</xdr:row>
      <xdr:rowOff>142875</xdr:rowOff>
    </xdr:from>
    <xdr:to>
      <xdr:col>12</xdr:col>
      <xdr:colOff>600075</xdr:colOff>
      <xdr:row>51</xdr:row>
      <xdr:rowOff>48698</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4191000"/>
          <a:ext cx="6810375" cy="4115873"/>
        </a:xfrm>
        <a:prstGeom prst="rect">
          <a:avLst/>
        </a:prstGeom>
      </xdr:spPr>
    </xdr:pic>
    <xdr:clientData/>
  </xdr:twoCellAnchor>
  <xdr:twoCellAnchor editAs="oneCell">
    <xdr:from>
      <xdr:col>0</xdr:col>
      <xdr:colOff>0</xdr:colOff>
      <xdr:row>52</xdr:row>
      <xdr:rowOff>9525</xdr:rowOff>
    </xdr:from>
    <xdr:to>
      <xdr:col>15</xdr:col>
      <xdr:colOff>160828</xdr:colOff>
      <xdr:row>66</xdr:row>
      <xdr:rowOff>9242</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8429625"/>
          <a:ext cx="8780953" cy="2266667"/>
        </a:xfrm>
        <a:prstGeom prst="rect">
          <a:avLst/>
        </a:prstGeom>
      </xdr:spPr>
    </xdr:pic>
    <xdr:clientData/>
  </xdr:twoCellAnchor>
  <xdr:twoCellAnchor editAs="oneCell">
    <xdr:from>
      <xdr:col>0</xdr:col>
      <xdr:colOff>0</xdr:colOff>
      <xdr:row>66</xdr:row>
      <xdr:rowOff>0</xdr:rowOff>
    </xdr:from>
    <xdr:to>
      <xdr:col>14</xdr:col>
      <xdr:colOff>1027628</xdr:colOff>
      <xdr:row>68</xdr:row>
      <xdr:rowOff>152341</xdr:rowOff>
    </xdr:to>
    <xdr:pic>
      <xdr:nvPicPr>
        <xdr:cNvPr id="5" name="Picture 4"/>
        <xdr:cNvPicPr>
          <a:picLocks noChangeAspect="1"/>
        </xdr:cNvPicPr>
      </xdr:nvPicPr>
      <xdr:blipFill>
        <a:blip xmlns:r="http://schemas.openxmlformats.org/officeDocument/2006/relationships" r:embed="rId4"/>
        <a:stretch>
          <a:fillRect/>
        </a:stretch>
      </xdr:blipFill>
      <xdr:spPr>
        <a:xfrm>
          <a:off x="0" y="10687050"/>
          <a:ext cx="8580953" cy="4761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132523</xdr:colOff>
      <xdr:row>21</xdr:row>
      <xdr:rowOff>164602</xdr:rowOff>
    </xdr:from>
    <xdr:to>
      <xdr:col>8</xdr:col>
      <xdr:colOff>422413</xdr:colOff>
      <xdr:row>33</xdr:row>
      <xdr:rowOff>7702</xdr:rowOff>
    </xdr:to>
    <xdr:pic>
      <xdr:nvPicPr>
        <xdr:cNvPr id="2" name="Picture 1"/>
        <xdr:cNvPicPr>
          <a:picLocks noChangeAspect="1"/>
        </xdr:cNvPicPr>
      </xdr:nvPicPr>
      <xdr:blipFill>
        <a:blip xmlns:r="http://schemas.openxmlformats.org/officeDocument/2006/relationships" r:embed="rId1"/>
        <a:stretch>
          <a:fillRect/>
        </a:stretch>
      </xdr:blipFill>
      <xdr:spPr>
        <a:xfrm>
          <a:off x="4306958" y="3643298"/>
          <a:ext cx="1350064" cy="1855774"/>
        </a:xfrm>
        <a:prstGeom prst="rect">
          <a:avLst/>
        </a:prstGeom>
      </xdr:spPr>
    </xdr:pic>
    <xdr:clientData/>
  </xdr:twoCellAnchor>
  <xdr:twoCellAnchor editAs="oneCell">
    <xdr:from>
      <xdr:col>9</xdr:col>
      <xdr:colOff>1</xdr:colOff>
      <xdr:row>22</xdr:row>
      <xdr:rowOff>0</xdr:rowOff>
    </xdr:from>
    <xdr:to>
      <xdr:col>9</xdr:col>
      <xdr:colOff>482341</xdr:colOff>
      <xdr:row>33</xdr:row>
      <xdr:rowOff>16565</xdr:rowOff>
    </xdr:to>
    <xdr:pic>
      <xdr:nvPicPr>
        <xdr:cNvPr id="3" name="Picture 2"/>
        <xdr:cNvPicPr>
          <a:picLocks noChangeAspect="1"/>
        </xdr:cNvPicPr>
      </xdr:nvPicPr>
      <xdr:blipFill>
        <a:blip xmlns:r="http://schemas.openxmlformats.org/officeDocument/2006/relationships" r:embed="rId2"/>
        <a:stretch>
          <a:fillRect/>
        </a:stretch>
      </xdr:blipFill>
      <xdr:spPr>
        <a:xfrm>
          <a:off x="5764697" y="3644348"/>
          <a:ext cx="482340" cy="18635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190500</xdr:colOff>
      <xdr:row>12</xdr:row>
      <xdr:rowOff>138112</xdr:rowOff>
    </xdr:from>
    <xdr:to>
      <xdr:col>10</xdr:col>
      <xdr:colOff>304800</xdr:colOff>
      <xdr:row>33</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381000</xdr:colOff>
      <xdr:row>2</xdr:row>
      <xdr:rowOff>323850</xdr:rowOff>
    </xdr:from>
    <xdr:to>
      <xdr:col>19</xdr:col>
      <xdr:colOff>513734</xdr:colOff>
      <xdr:row>30</xdr:row>
      <xdr:rowOff>94652</xdr:rowOff>
    </xdr:to>
    <xdr:pic>
      <xdr:nvPicPr>
        <xdr:cNvPr id="5" name="Picture 4"/>
        <xdr:cNvPicPr>
          <a:picLocks noChangeAspect="1"/>
        </xdr:cNvPicPr>
      </xdr:nvPicPr>
      <xdr:blipFill>
        <a:blip xmlns:r="http://schemas.openxmlformats.org/officeDocument/2006/relationships" r:embed="rId2"/>
        <a:stretch>
          <a:fillRect/>
        </a:stretch>
      </xdr:blipFill>
      <xdr:spPr>
        <a:xfrm>
          <a:off x="8553450" y="647700"/>
          <a:ext cx="4933334" cy="4790477"/>
        </a:xfrm>
        <a:prstGeom prst="rect">
          <a:avLst/>
        </a:prstGeom>
      </xdr:spPr>
    </xdr:pic>
    <xdr:clientData/>
  </xdr:twoCellAnchor>
</xdr:wsDr>
</file>

<file path=xl/tables/table1.xml><?xml version="1.0" encoding="utf-8"?>
<table xmlns="http://schemas.openxmlformats.org/spreadsheetml/2006/main" id="2" name="Table2" displayName="Table2" ref="B1:F29" totalsRowShown="0">
  <autoFilter ref="B1:F29"/>
  <tableColumns count="5">
    <tableColumn id="1" name="Column1"/>
    <tableColumn id="2" name="Column2"/>
    <tableColumn id="3" name="Column3"/>
    <tableColumn id="4" name="Column4" dataDxfId="0"/>
    <tableColumn id="5" name="Column5"/>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workbookViewId="0">
      <selection activeCell="G13" sqref="G13"/>
    </sheetView>
  </sheetViews>
  <sheetFormatPr defaultRowHeight="12.75"/>
  <cols>
    <col min="1" max="1" width="11.5" customWidth="1"/>
    <col min="2" max="2" width="9.33203125" customWidth="1"/>
    <col min="3" max="5" width="6.83203125" customWidth="1"/>
    <col min="6" max="6" width="5.83203125" customWidth="1"/>
    <col min="7" max="7" width="8" customWidth="1"/>
    <col min="8" max="8" width="6.83203125" customWidth="1"/>
    <col min="9" max="9" width="8" customWidth="1"/>
    <col min="10" max="10" width="7.83203125" customWidth="1"/>
    <col min="11" max="11" width="6.83203125" customWidth="1"/>
    <col min="12" max="13" width="8" customWidth="1"/>
    <col min="14" max="15" width="6.83203125" customWidth="1"/>
    <col min="16" max="16" width="8" customWidth="1"/>
    <col min="17" max="19" width="6.83203125" customWidth="1"/>
    <col min="20" max="20" width="10.5" customWidth="1"/>
    <col min="21" max="21" width="6.83203125" customWidth="1"/>
    <col min="22" max="22" width="9.5" bestFit="1" customWidth="1"/>
  </cols>
  <sheetData>
    <row r="1" spans="1:22" ht="15" customHeight="1">
      <c r="A1" s="1" t="s">
        <v>0</v>
      </c>
      <c r="J1" s="64" t="s">
        <v>70</v>
      </c>
      <c r="K1" s="64"/>
      <c r="N1" s="64" t="s">
        <v>71</v>
      </c>
      <c r="O1">
        <v>8.3276939798762974</v>
      </c>
      <c r="P1" s="64" t="s">
        <v>72</v>
      </c>
      <c r="Q1">
        <v>1</v>
      </c>
      <c r="R1" s="64" t="s">
        <v>73</v>
      </c>
      <c r="S1">
        <v>1</v>
      </c>
      <c r="T1" s="64" t="s">
        <v>74</v>
      </c>
      <c r="U1">
        <v>1</v>
      </c>
      <c r="V1" s="73" t="s">
        <v>75</v>
      </c>
    </row>
    <row r="2" spans="1:22" ht="20.100000000000001" customHeight="1">
      <c r="A2" s="185" t="s">
        <v>1</v>
      </c>
      <c r="B2" s="187" t="s">
        <v>2</v>
      </c>
      <c r="C2" s="189" t="s">
        <v>3</v>
      </c>
      <c r="D2" s="182" t="s">
        <v>4</v>
      </c>
      <c r="E2" s="183"/>
      <c r="F2" s="183"/>
      <c r="G2" s="184"/>
      <c r="H2" s="191" t="s">
        <v>5</v>
      </c>
      <c r="I2" s="185"/>
      <c r="J2" s="182" t="s">
        <v>6</v>
      </c>
      <c r="K2" s="183"/>
      <c r="L2" s="184"/>
      <c r="M2" s="182" t="s">
        <v>7</v>
      </c>
      <c r="N2" s="183"/>
      <c r="O2" s="183"/>
      <c r="P2" s="183"/>
      <c r="Q2" s="184"/>
      <c r="R2" s="182" t="s">
        <v>8</v>
      </c>
      <c r="S2" s="184"/>
      <c r="T2" s="182" t="s">
        <v>9</v>
      </c>
      <c r="U2" s="183"/>
      <c r="V2" s="72"/>
    </row>
    <row r="3" spans="1:22" ht="58.5" customHeight="1">
      <c r="A3" s="186"/>
      <c r="B3" s="188"/>
      <c r="C3" s="190"/>
      <c r="D3" s="2" t="s">
        <v>10</v>
      </c>
      <c r="E3" s="183" t="s">
        <v>11</v>
      </c>
      <c r="F3" s="183"/>
      <c r="G3" s="184"/>
      <c r="H3" s="192"/>
      <c r="I3" s="186"/>
      <c r="J3" s="3" t="s">
        <v>12</v>
      </c>
      <c r="K3" s="4" t="s">
        <v>13</v>
      </c>
      <c r="L3" s="5" t="s">
        <v>14</v>
      </c>
      <c r="M3" s="182" t="s">
        <v>15</v>
      </c>
      <c r="N3" s="183"/>
      <c r="O3" s="183"/>
      <c r="P3" s="183"/>
      <c r="Q3" s="5" t="s">
        <v>16</v>
      </c>
      <c r="R3" s="182" t="s">
        <v>17</v>
      </c>
      <c r="S3" s="184"/>
      <c r="T3" s="182" t="s">
        <v>18</v>
      </c>
      <c r="U3" s="183"/>
      <c r="V3" s="74" t="s">
        <v>69</v>
      </c>
    </row>
    <row r="4" spans="1:22" ht="9.9499999999999993" customHeight="1">
      <c r="A4" s="6" t="s">
        <v>19</v>
      </c>
      <c r="B4" s="7"/>
      <c r="C4" s="8" t="s">
        <v>20</v>
      </c>
      <c r="D4" s="9" t="s">
        <v>21</v>
      </c>
      <c r="E4" s="10" t="s">
        <v>22</v>
      </c>
      <c r="F4" s="11"/>
      <c r="G4" s="12" t="s">
        <v>20</v>
      </c>
      <c r="H4" s="9" t="s">
        <v>23</v>
      </c>
      <c r="I4" s="12" t="s">
        <v>20</v>
      </c>
      <c r="J4" s="13" t="s">
        <v>24</v>
      </c>
      <c r="K4" s="10" t="s">
        <v>20</v>
      </c>
      <c r="L4" s="12" t="s">
        <v>20</v>
      </c>
      <c r="M4" s="172" t="s">
        <v>25</v>
      </c>
      <c r="N4" s="173"/>
      <c r="O4" s="173"/>
      <c r="P4" s="173"/>
      <c r="Q4" s="12" t="s">
        <v>20</v>
      </c>
      <c r="R4" s="172" t="s">
        <v>26</v>
      </c>
      <c r="S4" s="174"/>
      <c r="T4" s="175" t="s">
        <v>27</v>
      </c>
      <c r="U4" s="176"/>
      <c r="V4" s="72"/>
    </row>
    <row r="5" spans="1:22" ht="9.9499999999999993" customHeight="1">
      <c r="A5" s="6" t="s">
        <v>28</v>
      </c>
      <c r="B5" s="7"/>
      <c r="C5" s="8" t="s">
        <v>29</v>
      </c>
      <c r="D5" s="9" t="s">
        <v>29</v>
      </c>
      <c r="E5" s="10" t="s">
        <v>29</v>
      </c>
      <c r="F5" s="11"/>
      <c r="G5" s="14"/>
      <c r="H5" s="177" t="s">
        <v>30</v>
      </c>
      <c r="I5" s="178"/>
      <c r="J5" s="9" t="s">
        <v>29</v>
      </c>
      <c r="K5" s="10" t="s">
        <v>31</v>
      </c>
      <c r="L5" s="14"/>
      <c r="M5" s="9" t="s">
        <v>32</v>
      </c>
      <c r="N5" s="15" t="s">
        <v>32</v>
      </c>
      <c r="O5" s="15" t="s">
        <v>32</v>
      </c>
      <c r="P5" s="10" t="s">
        <v>32</v>
      </c>
      <c r="Q5" s="14"/>
      <c r="R5" s="179"/>
      <c r="S5" s="180"/>
      <c r="T5" s="179"/>
      <c r="U5" s="181"/>
      <c r="V5" s="72"/>
    </row>
    <row r="6" spans="1:22" ht="12" customHeight="1">
      <c r="A6" s="16" t="s">
        <v>33</v>
      </c>
      <c r="B6" s="17" t="s">
        <v>34</v>
      </c>
      <c r="C6" s="18">
        <v>1.31</v>
      </c>
      <c r="D6" s="19">
        <v>13.37</v>
      </c>
      <c r="E6" s="20">
        <v>150</v>
      </c>
      <c r="F6" s="21">
        <v>0</v>
      </c>
      <c r="G6" s="22">
        <v>11.31</v>
      </c>
      <c r="H6" s="19">
        <v>0.43</v>
      </c>
      <c r="I6" s="22">
        <v>5.1100000000000003</v>
      </c>
      <c r="J6" s="23">
        <v>1.21</v>
      </c>
      <c r="K6" s="24">
        <v>29.18</v>
      </c>
      <c r="L6" s="22">
        <v>51.25</v>
      </c>
      <c r="M6" s="19">
        <v>29.44</v>
      </c>
      <c r="N6" s="25">
        <v>2.23</v>
      </c>
      <c r="O6" s="25">
        <v>0.1</v>
      </c>
      <c r="P6" s="24">
        <v>0.02</v>
      </c>
      <c r="Q6" s="22">
        <v>144.38999999999999</v>
      </c>
      <c r="R6" s="26">
        <v>35.61</v>
      </c>
      <c r="S6" s="22">
        <v>46.91</v>
      </c>
      <c r="T6" s="19">
        <v>202.06</v>
      </c>
      <c r="U6" s="21">
        <v>213.37</v>
      </c>
      <c r="V6" s="75">
        <f t="shared" ref="V6:V32" si="0">E6*F6</f>
        <v>0</v>
      </c>
    </row>
    <row r="7" spans="1:22" ht="12" customHeight="1">
      <c r="A7" s="27" t="s">
        <v>76</v>
      </c>
      <c r="B7" s="28" t="s">
        <v>34</v>
      </c>
      <c r="C7" s="29">
        <v>1.31</v>
      </c>
      <c r="D7" s="30">
        <v>12.48</v>
      </c>
      <c r="E7" s="31">
        <v>189</v>
      </c>
      <c r="F7" s="21">
        <v>0</v>
      </c>
      <c r="G7" s="33">
        <v>8.3800000000000008</v>
      </c>
      <c r="H7" s="30">
        <v>0.65</v>
      </c>
      <c r="I7" s="33">
        <v>8.34</v>
      </c>
      <c r="J7" s="34">
        <v>1.49</v>
      </c>
      <c r="K7" s="35">
        <v>35.97</v>
      </c>
      <c r="L7" s="33">
        <v>63.17</v>
      </c>
      <c r="M7" s="30">
        <v>1.27</v>
      </c>
      <c r="N7" s="36">
        <v>2.41</v>
      </c>
      <c r="O7" s="36">
        <v>0.08</v>
      </c>
      <c r="P7" s="35">
        <v>0.05</v>
      </c>
      <c r="Q7" s="33">
        <v>9.48</v>
      </c>
      <c r="R7" s="37">
        <v>45.62</v>
      </c>
      <c r="S7" s="33">
        <v>54</v>
      </c>
      <c r="T7" s="30">
        <v>82.3</v>
      </c>
      <c r="U7" s="32">
        <v>90.68</v>
      </c>
      <c r="V7" s="75">
        <f t="shared" si="0"/>
        <v>0</v>
      </c>
    </row>
    <row r="8" spans="1:22" ht="12" customHeight="1">
      <c r="A8" s="38" t="s">
        <v>35</v>
      </c>
      <c r="B8" s="39" t="s">
        <v>34</v>
      </c>
      <c r="C8" s="40">
        <v>1.31</v>
      </c>
      <c r="D8" s="41">
        <v>147.97</v>
      </c>
      <c r="E8" s="42">
        <v>1600</v>
      </c>
      <c r="F8" s="21">
        <v>0</v>
      </c>
      <c r="G8" s="44">
        <v>11.73</v>
      </c>
      <c r="H8" s="41">
        <v>0.09</v>
      </c>
      <c r="I8" s="44">
        <v>1.35</v>
      </c>
      <c r="J8" s="45">
        <v>1.53</v>
      </c>
      <c r="K8" s="46">
        <v>36.869999999999997</v>
      </c>
      <c r="L8" s="44">
        <v>64.75</v>
      </c>
      <c r="M8" s="41">
        <v>1</v>
      </c>
      <c r="N8" s="47">
        <v>2.13</v>
      </c>
      <c r="O8" s="47">
        <v>0.27</v>
      </c>
      <c r="P8" s="46">
        <v>0.05</v>
      </c>
      <c r="Q8" s="44">
        <v>7.94</v>
      </c>
      <c r="R8" s="48">
        <v>39.53</v>
      </c>
      <c r="S8" s="44">
        <v>51.27</v>
      </c>
      <c r="T8" s="41">
        <v>75.349999999999994</v>
      </c>
      <c r="U8" s="43">
        <v>87.08</v>
      </c>
      <c r="V8" s="75">
        <f t="shared" si="0"/>
        <v>0</v>
      </c>
    </row>
    <row r="9" spans="1:22" ht="12" customHeight="1">
      <c r="A9" s="27" t="s">
        <v>36</v>
      </c>
      <c r="B9" s="28" t="s">
        <v>34</v>
      </c>
      <c r="C9" s="29">
        <v>1.31</v>
      </c>
      <c r="D9" s="30">
        <v>189.54</v>
      </c>
      <c r="E9" s="160">
        <v>2180</v>
      </c>
      <c r="F9" s="161">
        <v>0.9</v>
      </c>
      <c r="G9" s="33">
        <v>11.03</v>
      </c>
      <c r="H9" s="30">
        <v>0.09</v>
      </c>
      <c r="I9" s="33">
        <v>1.1100000000000001</v>
      </c>
      <c r="J9" s="34">
        <v>1.22</v>
      </c>
      <c r="K9" s="35">
        <v>29.34</v>
      </c>
      <c r="L9" s="33">
        <v>51.53</v>
      </c>
      <c r="M9" s="69">
        <v>3.17</v>
      </c>
      <c r="N9" s="71">
        <v>1.32</v>
      </c>
      <c r="O9" s="71">
        <v>0.23</v>
      </c>
      <c r="P9" s="70">
        <v>0.12</v>
      </c>
      <c r="Q9" s="33">
        <v>17.73</v>
      </c>
      <c r="R9" s="37">
        <v>31.76</v>
      </c>
      <c r="S9" s="33">
        <v>42.79</v>
      </c>
      <c r="T9" s="30">
        <v>71.67</v>
      </c>
      <c r="U9" s="32">
        <v>82.7</v>
      </c>
      <c r="V9" s="75">
        <f t="shared" si="0"/>
        <v>1962</v>
      </c>
    </row>
    <row r="10" spans="1:22" ht="12" customHeight="1">
      <c r="A10" s="38" t="s">
        <v>37</v>
      </c>
      <c r="B10" s="39" t="s">
        <v>34</v>
      </c>
      <c r="C10" s="40">
        <v>1.31</v>
      </c>
      <c r="D10" s="41">
        <v>56.35</v>
      </c>
      <c r="E10" s="160">
        <v>1000</v>
      </c>
      <c r="F10" s="161">
        <v>0.9</v>
      </c>
      <c r="G10" s="44">
        <v>7.15</v>
      </c>
      <c r="H10" s="41">
        <v>0.41</v>
      </c>
      <c r="I10" s="44">
        <v>5.12</v>
      </c>
      <c r="J10" s="45">
        <v>1.24</v>
      </c>
      <c r="K10" s="46">
        <v>30</v>
      </c>
      <c r="L10" s="44">
        <v>52.69</v>
      </c>
      <c r="M10" s="69">
        <v>2.72</v>
      </c>
      <c r="N10" s="71">
        <v>1.66</v>
      </c>
      <c r="O10" s="71">
        <v>0.18</v>
      </c>
      <c r="P10" s="70">
        <v>0.1</v>
      </c>
      <c r="Q10" s="44">
        <v>15.86</v>
      </c>
      <c r="R10" s="48">
        <v>36.43</v>
      </c>
      <c r="S10" s="44">
        <v>43.58</v>
      </c>
      <c r="T10" s="41">
        <v>74.98</v>
      </c>
      <c r="U10" s="43">
        <v>82.12</v>
      </c>
      <c r="V10" s="75">
        <f t="shared" si="0"/>
        <v>900</v>
      </c>
    </row>
    <row r="11" spans="1:22" ht="12" customHeight="1">
      <c r="A11" s="27" t="s">
        <v>38</v>
      </c>
      <c r="B11" s="28" t="s">
        <v>34</v>
      </c>
      <c r="C11" s="29">
        <v>1.31</v>
      </c>
      <c r="D11" s="30">
        <v>134.22</v>
      </c>
      <c r="E11" s="160">
        <v>1480</v>
      </c>
      <c r="F11" s="161">
        <v>0.9</v>
      </c>
      <c r="G11" s="33">
        <v>11.5</v>
      </c>
      <c r="H11" s="30">
        <v>0.1</v>
      </c>
      <c r="I11" s="33">
        <v>1.43</v>
      </c>
      <c r="J11" s="34">
        <v>1.42</v>
      </c>
      <c r="K11" s="35">
        <v>34.33</v>
      </c>
      <c r="L11" s="33">
        <v>60.29</v>
      </c>
      <c r="M11" s="69">
        <v>1.69</v>
      </c>
      <c r="N11" s="71">
        <v>1.52</v>
      </c>
      <c r="O11" s="71">
        <v>0.27</v>
      </c>
      <c r="P11" s="70">
        <v>0.17</v>
      </c>
      <c r="Q11" s="33">
        <v>11.21</v>
      </c>
      <c r="R11" s="37">
        <v>37.07</v>
      </c>
      <c r="S11" s="33">
        <v>48.57</v>
      </c>
      <c r="T11" s="30">
        <v>74.239999999999995</v>
      </c>
      <c r="U11" s="32">
        <v>85.74</v>
      </c>
      <c r="V11" s="75">
        <f t="shared" si="0"/>
        <v>1332</v>
      </c>
    </row>
    <row r="12" spans="1:22" ht="12" customHeight="1">
      <c r="A12" s="38" t="s">
        <v>39</v>
      </c>
      <c r="B12" s="39" t="s">
        <v>40</v>
      </c>
      <c r="C12" s="40">
        <v>2.4900000000000002</v>
      </c>
      <c r="D12" s="41">
        <v>1.34</v>
      </c>
      <c r="E12" s="42">
        <v>94</v>
      </c>
      <c r="F12" s="43">
        <v>0.1</v>
      </c>
      <c r="G12" s="44">
        <v>16.329999999999998</v>
      </c>
      <c r="H12" s="41">
        <v>5.54</v>
      </c>
      <c r="I12" s="44">
        <v>56.9</v>
      </c>
      <c r="J12" s="45">
        <v>0.6</v>
      </c>
      <c r="K12" s="46">
        <v>14.6</v>
      </c>
      <c r="L12" s="44">
        <v>25.64</v>
      </c>
      <c r="M12" s="41">
        <v>0</v>
      </c>
      <c r="N12" s="47">
        <v>0.5</v>
      </c>
      <c r="O12" s="47">
        <v>0.03</v>
      </c>
      <c r="P12" s="46">
        <v>0.03</v>
      </c>
      <c r="Q12" s="44">
        <v>0.86</v>
      </c>
      <c r="R12" s="48">
        <v>73.98</v>
      </c>
      <c r="S12" s="44">
        <v>90.32</v>
      </c>
      <c r="T12" s="41">
        <v>85.88</v>
      </c>
      <c r="U12" s="43">
        <v>102.21</v>
      </c>
      <c r="V12" s="75">
        <f t="shared" si="0"/>
        <v>9.4</v>
      </c>
    </row>
    <row r="13" spans="1:22" ht="12" customHeight="1">
      <c r="A13" s="27" t="s">
        <v>41</v>
      </c>
      <c r="B13" s="28" t="s">
        <v>40</v>
      </c>
      <c r="C13" s="29">
        <v>9.9600000000000009</v>
      </c>
      <c r="D13" s="30">
        <v>3.03</v>
      </c>
      <c r="E13" s="31">
        <v>212</v>
      </c>
      <c r="F13" s="32">
        <v>0.1</v>
      </c>
      <c r="G13" s="33">
        <v>16.329999999999998</v>
      </c>
      <c r="H13" s="30">
        <v>5.54</v>
      </c>
      <c r="I13" s="33">
        <v>84.47</v>
      </c>
      <c r="J13" s="34">
        <v>0.9</v>
      </c>
      <c r="K13" s="35">
        <v>21.68</v>
      </c>
      <c r="L13" s="33">
        <v>38.07</v>
      </c>
      <c r="M13" s="30">
        <v>0.03</v>
      </c>
      <c r="N13" s="36">
        <v>2.14</v>
      </c>
      <c r="O13" s="36">
        <v>0.06</v>
      </c>
      <c r="P13" s="35">
        <v>0.06</v>
      </c>
      <c r="Q13" s="33">
        <v>3.24</v>
      </c>
      <c r="R13" s="37">
        <v>116.11</v>
      </c>
      <c r="S13" s="33">
        <v>132.44</v>
      </c>
      <c r="T13" s="30">
        <v>135.75</v>
      </c>
      <c r="U13" s="32">
        <v>152.08000000000001</v>
      </c>
      <c r="V13" s="75">
        <f t="shared" si="0"/>
        <v>21.200000000000003</v>
      </c>
    </row>
    <row r="14" spans="1:22" ht="12" customHeight="1">
      <c r="A14" s="38" t="s">
        <v>42</v>
      </c>
      <c r="B14" s="39" t="s">
        <v>40</v>
      </c>
      <c r="C14" s="40">
        <v>9.9600000000000009</v>
      </c>
      <c r="D14" s="41">
        <v>3.26</v>
      </c>
      <c r="E14" s="42">
        <v>228</v>
      </c>
      <c r="F14" s="43">
        <v>0.1</v>
      </c>
      <c r="G14" s="44">
        <v>16.329999999999998</v>
      </c>
      <c r="H14" s="41">
        <v>5.54</v>
      </c>
      <c r="I14" s="44">
        <v>84.47</v>
      </c>
      <c r="J14" s="45">
        <v>0.9</v>
      </c>
      <c r="K14" s="46">
        <v>21.68</v>
      </c>
      <c r="L14" s="44">
        <v>38.07</v>
      </c>
      <c r="M14" s="41">
        <v>0.03</v>
      </c>
      <c r="N14" s="47">
        <v>2.14</v>
      </c>
      <c r="O14" s="47">
        <v>0.06</v>
      </c>
      <c r="P14" s="46">
        <v>0.06</v>
      </c>
      <c r="Q14" s="44">
        <v>3.24</v>
      </c>
      <c r="R14" s="48">
        <v>116.11</v>
      </c>
      <c r="S14" s="44">
        <v>132.44</v>
      </c>
      <c r="T14" s="41">
        <v>135.75</v>
      </c>
      <c r="U14" s="43">
        <v>152.08000000000001</v>
      </c>
      <c r="V14" s="75">
        <f t="shared" si="0"/>
        <v>22.8</v>
      </c>
    </row>
    <row r="15" spans="1:22" ht="12" customHeight="1">
      <c r="A15" s="27" t="s">
        <v>43</v>
      </c>
      <c r="B15" s="28" t="s">
        <v>40</v>
      </c>
      <c r="C15" s="29">
        <v>8.73</v>
      </c>
      <c r="D15" s="30">
        <v>4.46</v>
      </c>
      <c r="E15" s="31">
        <v>312</v>
      </c>
      <c r="F15" s="32">
        <v>0.1</v>
      </c>
      <c r="G15" s="33">
        <v>16.329999999999998</v>
      </c>
      <c r="H15" s="30">
        <v>6.06</v>
      </c>
      <c r="I15" s="33">
        <v>69.959999999999994</v>
      </c>
      <c r="J15" s="34">
        <v>0.68</v>
      </c>
      <c r="K15" s="35">
        <v>16.329999999999998</v>
      </c>
      <c r="L15" s="33">
        <v>28.68</v>
      </c>
      <c r="M15" s="30">
        <v>0</v>
      </c>
      <c r="N15" s="36">
        <v>0.54</v>
      </c>
      <c r="O15" s="36">
        <v>0.04</v>
      </c>
      <c r="P15" s="35">
        <v>0.03</v>
      </c>
      <c r="Q15" s="33">
        <v>0.92</v>
      </c>
      <c r="R15" s="37">
        <v>95.02</v>
      </c>
      <c r="S15" s="33">
        <v>111.35</v>
      </c>
      <c r="T15" s="30">
        <v>108.29</v>
      </c>
      <c r="U15" s="32">
        <v>124.62</v>
      </c>
      <c r="V15" s="75">
        <f t="shared" si="0"/>
        <v>31.200000000000003</v>
      </c>
    </row>
    <row r="16" spans="1:22" ht="12" customHeight="1">
      <c r="A16" s="38" t="s">
        <v>44</v>
      </c>
      <c r="B16" s="39" t="s">
        <v>40</v>
      </c>
      <c r="C16" s="40">
        <v>9.35</v>
      </c>
      <c r="D16" s="41">
        <v>8.1</v>
      </c>
      <c r="E16" s="42">
        <v>566</v>
      </c>
      <c r="F16" s="43">
        <v>0.1</v>
      </c>
      <c r="G16" s="44">
        <v>16.329999999999998</v>
      </c>
      <c r="H16" s="41">
        <v>5.6</v>
      </c>
      <c r="I16" s="44">
        <v>61.13</v>
      </c>
      <c r="J16" s="45">
        <v>0.64</v>
      </c>
      <c r="K16" s="46">
        <v>15.51</v>
      </c>
      <c r="L16" s="44">
        <v>27.24</v>
      </c>
      <c r="M16" s="41">
        <v>0</v>
      </c>
      <c r="N16" s="47">
        <v>0.28999999999999998</v>
      </c>
      <c r="O16" s="47">
        <v>0.02</v>
      </c>
      <c r="P16" s="46">
        <v>0.02</v>
      </c>
      <c r="Q16" s="44">
        <v>0.5</v>
      </c>
      <c r="R16" s="48">
        <v>86</v>
      </c>
      <c r="S16" s="44">
        <v>102.34</v>
      </c>
      <c r="T16" s="41">
        <v>98.23</v>
      </c>
      <c r="U16" s="43">
        <v>114.56</v>
      </c>
      <c r="V16" s="75">
        <f t="shared" si="0"/>
        <v>56.6</v>
      </c>
    </row>
    <row r="17" spans="1:22" ht="12" customHeight="1">
      <c r="A17" s="27" t="s">
        <v>45</v>
      </c>
      <c r="B17" s="28" t="s">
        <v>40</v>
      </c>
      <c r="C17" s="29">
        <v>2.48</v>
      </c>
      <c r="D17" s="30">
        <v>22.45</v>
      </c>
      <c r="E17" s="31">
        <v>510</v>
      </c>
      <c r="F17" s="32">
        <v>0.1</v>
      </c>
      <c r="G17" s="33">
        <v>50.25</v>
      </c>
      <c r="H17" s="30">
        <v>6.06</v>
      </c>
      <c r="I17" s="33">
        <v>62.23</v>
      </c>
      <c r="J17" s="34">
        <v>0.62</v>
      </c>
      <c r="K17" s="35">
        <v>14.91</v>
      </c>
      <c r="L17" s="33">
        <v>26.18</v>
      </c>
      <c r="M17" s="30">
        <v>0</v>
      </c>
      <c r="N17" s="36">
        <v>0.21</v>
      </c>
      <c r="O17" s="36">
        <v>0.03</v>
      </c>
      <c r="P17" s="35">
        <v>0.03</v>
      </c>
      <c r="Q17" s="33">
        <v>0.5</v>
      </c>
      <c r="R17" s="37">
        <v>79.61</v>
      </c>
      <c r="S17" s="33">
        <v>129.87</v>
      </c>
      <c r="T17" s="30">
        <v>91.38</v>
      </c>
      <c r="U17" s="32">
        <v>141.63999999999999</v>
      </c>
      <c r="V17" s="75">
        <f t="shared" si="0"/>
        <v>51</v>
      </c>
    </row>
    <row r="18" spans="1:22" ht="12" customHeight="1">
      <c r="A18" s="38" t="s">
        <v>46</v>
      </c>
      <c r="B18" s="39" t="s">
        <v>40</v>
      </c>
      <c r="C18" s="40">
        <v>10.58</v>
      </c>
      <c r="D18" s="41">
        <v>2.29</v>
      </c>
      <c r="E18" s="42">
        <v>160</v>
      </c>
      <c r="F18" s="43">
        <v>0.1</v>
      </c>
      <c r="G18" s="44">
        <v>16.329999999999998</v>
      </c>
      <c r="H18" s="41">
        <v>6.06</v>
      </c>
      <c r="I18" s="44">
        <v>88.62</v>
      </c>
      <c r="J18" s="45">
        <v>0.86</v>
      </c>
      <c r="K18" s="46">
        <v>20.68</v>
      </c>
      <c r="L18" s="44">
        <v>36.32</v>
      </c>
      <c r="M18" s="41">
        <v>0</v>
      </c>
      <c r="N18" s="47">
        <v>0.77</v>
      </c>
      <c r="O18" s="47">
        <v>0.04</v>
      </c>
      <c r="P18" s="46">
        <v>0.04</v>
      </c>
      <c r="Q18" s="44">
        <v>1.24</v>
      </c>
      <c r="R18" s="48">
        <v>119.88</v>
      </c>
      <c r="S18" s="44">
        <v>136.21</v>
      </c>
      <c r="T18" s="41">
        <v>136.75</v>
      </c>
      <c r="U18" s="43">
        <v>153.09</v>
      </c>
      <c r="V18" s="75">
        <f t="shared" si="0"/>
        <v>16</v>
      </c>
    </row>
    <row r="19" spans="1:22" ht="12" customHeight="1">
      <c r="A19" s="27" t="s">
        <v>47</v>
      </c>
      <c r="B19" s="28" t="s">
        <v>40</v>
      </c>
      <c r="C19" s="29">
        <v>10.58</v>
      </c>
      <c r="D19" s="30">
        <v>4.29</v>
      </c>
      <c r="E19" s="31">
        <v>300</v>
      </c>
      <c r="F19" s="32">
        <v>0.1</v>
      </c>
      <c r="G19" s="33">
        <v>16.329999999999998</v>
      </c>
      <c r="H19" s="30">
        <v>5.54</v>
      </c>
      <c r="I19" s="33">
        <v>80.599999999999994</v>
      </c>
      <c r="J19" s="34">
        <v>0.86</v>
      </c>
      <c r="K19" s="35">
        <v>20.68</v>
      </c>
      <c r="L19" s="33">
        <v>36.32</v>
      </c>
      <c r="M19" s="30">
        <v>0</v>
      </c>
      <c r="N19" s="36">
        <v>2.2400000000000002</v>
      </c>
      <c r="O19" s="36">
        <v>0.11</v>
      </c>
      <c r="P19" s="35">
        <v>0.1</v>
      </c>
      <c r="Q19" s="33">
        <v>3.54</v>
      </c>
      <c r="R19" s="37">
        <v>111.86</v>
      </c>
      <c r="S19" s="33">
        <v>128.19999999999999</v>
      </c>
      <c r="T19" s="30">
        <v>131.04</v>
      </c>
      <c r="U19" s="32">
        <v>147.37</v>
      </c>
      <c r="V19" s="75">
        <f t="shared" si="0"/>
        <v>30</v>
      </c>
    </row>
    <row r="20" spans="1:22" ht="12" customHeight="1">
      <c r="A20" s="38" t="s">
        <v>48</v>
      </c>
      <c r="B20" s="39" t="s">
        <v>49</v>
      </c>
      <c r="C20" s="40">
        <v>7.87</v>
      </c>
      <c r="D20" s="41">
        <v>10.59</v>
      </c>
      <c r="E20" s="42">
        <v>185</v>
      </c>
      <c r="F20" s="43">
        <v>0.15</v>
      </c>
      <c r="G20" s="44">
        <v>43.55</v>
      </c>
      <c r="H20" s="41">
        <v>0</v>
      </c>
      <c r="I20" s="44">
        <v>0</v>
      </c>
      <c r="J20" s="45">
        <v>0</v>
      </c>
      <c r="K20" s="46">
        <v>0</v>
      </c>
      <c r="L20" s="44">
        <v>0</v>
      </c>
      <c r="M20" s="41">
        <v>0</v>
      </c>
      <c r="N20" s="47">
        <v>0</v>
      </c>
      <c r="O20" s="47">
        <v>0</v>
      </c>
      <c r="P20" s="46">
        <v>0</v>
      </c>
      <c r="Q20" s="44">
        <v>0</v>
      </c>
      <c r="R20" s="49">
        <v>7.87</v>
      </c>
      <c r="S20" s="44">
        <v>51.42</v>
      </c>
      <c r="T20" s="41">
        <v>7.87</v>
      </c>
      <c r="U20" s="43">
        <v>51.42</v>
      </c>
      <c r="V20" s="72">
        <f t="shared" si="0"/>
        <v>27.75</v>
      </c>
    </row>
    <row r="21" spans="1:22" ht="12" customHeight="1">
      <c r="A21" s="27" t="s">
        <v>50</v>
      </c>
      <c r="B21" s="28" t="s">
        <v>49</v>
      </c>
      <c r="C21" s="29">
        <v>7.87</v>
      </c>
      <c r="D21" s="30">
        <v>7.73</v>
      </c>
      <c r="E21" s="31">
        <v>135</v>
      </c>
      <c r="F21" s="32">
        <v>0.15</v>
      </c>
      <c r="G21" s="33">
        <v>43.55</v>
      </c>
      <c r="H21" s="30">
        <v>0</v>
      </c>
      <c r="I21" s="33">
        <v>0</v>
      </c>
      <c r="J21" s="34">
        <v>0</v>
      </c>
      <c r="K21" s="35">
        <v>0</v>
      </c>
      <c r="L21" s="33">
        <v>0</v>
      </c>
      <c r="M21" s="30">
        <v>0</v>
      </c>
      <c r="N21" s="36">
        <v>0</v>
      </c>
      <c r="O21" s="36">
        <v>0</v>
      </c>
      <c r="P21" s="35">
        <v>0</v>
      </c>
      <c r="Q21" s="33">
        <v>0</v>
      </c>
      <c r="R21" s="50">
        <v>7.87</v>
      </c>
      <c r="S21" s="33">
        <v>51.42</v>
      </c>
      <c r="T21" s="30">
        <v>7.87</v>
      </c>
      <c r="U21" s="32">
        <v>51.42</v>
      </c>
      <c r="V21" s="72">
        <f t="shared" si="0"/>
        <v>20.25</v>
      </c>
    </row>
    <row r="22" spans="1:22" ht="12" customHeight="1">
      <c r="A22" s="38" t="s">
        <v>51</v>
      </c>
      <c r="B22" s="39" t="s">
        <v>49</v>
      </c>
      <c r="C22" s="40">
        <v>7.87</v>
      </c>
      <c r="D22" s="41">
        <v>1.66</v>
      </c>
      <c r="E22" s="42">
        <v>29</v>
      </c>
      <c r="F22" s="43">
        <v>0.15</v>
      </c>
      <c r="G22" s="44">
        <v>43.55</v>
      </c>
      <c r="H22" s="41">
        <v>0</v>
      </c>
      <c r="I22" s="44">
        <v>0</v>
      </c>
      <c r="J22" s="45">
        <v>0</v>
      </c>
      <c r="K22" s="46">
        <v>0</v>
      </c>
      <c r="L22" s="44">
        <v>0</v>
      </c>
      <c r="M22" s="41">
        <v>0</v>
      </c>
      <c r="N22" s="47">
        <v>0</v>
      </c>
      <c r="O22" s="47">
        <v>0</v>
      </c>
      <c r="P22" s="46">
        <v>0</v>
      </c>
      <c r="Q22" s="44">
        <v>0</v>
      </c>
      <c r="R22" s="49">
        <v>7.87</v>
      </c>
      <c r="S22" s="44">
        <v>51.42</v>
      </c>
      <c r="T22" s="41">
        <v>7.87</v>
      </c>
      <c r="U22" s="43">
        <v>51.42</v>
      </c>
      <c r="V22" s="72">
        <f t="shared" si="0"/>
        <v>4.3499999999999996</v>
      </c>
    </row>
    <row r="23" spans="1:22" ht="12" customHeight="1">
      <c r="A23" s="27" t="s">
        <v>52</v>
      </c>
      <c r="B23" s="28" t="s">
        <v>49</v>
      </c>
      <c r="C23" s="29">
        <v>12.5</v>
      </c>
      <c r="D23" s="30">
        <v>17.489999999999998</v>
      </c>
      <c r="E23" s="31">
        <v>420</v>
      </c>
      <c r="F23" s="32">
        <v>0.15</v>
      </c>
      <c r="G23" s="33">
        <v>15.85</v>
      </c>
      <c r="H23" s="30">
        <v>0</v>
      </c>
      <c r="I23" s="33">
        <v>0</v>
      </c>
      <c r="J23" s="34">
        <v>0</v>
      </c>
      <c r="K23" s="35">
        <v>0</v>
      </c>
      <c r="L23" s="33">
        <v>0</v>
      </c>
      <c r="M23" s="30">
        <v>0</v>
      </c>
      <c r="N23" s="36">
        <v>0</v>
      </c>
      <c r="O23" s="36">
        <v>0</v>
      </c>
      <c r="P23" s="35">
        <v>0</v>
      </c>
      <c r="Q23" s="33">
        <v>0</v>
      </c>
      <c r="R23" s="37">
        <v>12.5</v>
      </c>
      <c r="S23" s="33">
        <v>28.35</v>
      </c>
      <c r="T23" s="30">
        <v>12.5</v>
      </c>
      <c r="U23" s="32">
        <v>28.35</v>
      </c>
      <c r="V23" s="72">
        <f t="shared" si="0"/>
        <v>63</v>
      </c>
    </row>
    <row r="24" spans="1:22" ht="12" customHeight="1">
      <c r="A24" s="38" t="s">
        <v>53</v>
      </c>
      <c r="B24" s="39" t="s">
        <v>49</v>
      </c>
      <c r="C24" s="40">
        <v>7.87</v>
      </c>
      <c r="D24" s="41">
        <v>17.739999999999998</v>
      </c>
      <c r="E24" s="42">
        <v>310</v>
      </c>
      <c r="F24" s="43">
        <v>0.15</v>
      </c>
      <c r="G24" s="44">
        <v>43.55</v>
      </c>
      <c r="H24" s="41">
        <v>0</v>
      </c>
      <c r="I24" s="44">
        <v>0</v>
      </c>
      <c r="J24" s="45">
        <v>0</v>
      </c>
      <c r="K24" s="46">
        <v>0</v>
      </c>
      <c r="L24" s="44">
        <v>0</v>
      </c>
      <c r="M24" s="41">
        <v>0</v>
      </c>
      <c r="N24" s="47">
        <v>0</v>
      </c>
      <c r="O24" s="47">
        <v>0</v>
      </c>
      <c r="P24" s="46">
        <v>0</v>
      </c>
      <c r="Q24" s="44">
        <v>0</v>
      </c>
      <c r="R24" s="49">
        <v>7.87</v>
      </c>
      <c r="S24" s="44">
        <v>51.42</v>
      </c>
      <c r="T24" s="41">
        <v>7.87</v>
      </c>
      <c r="U24" s="43">
        <v>51.42</v>
      </c>
      <c r="V24" s="72">
        <f t="shared" si="0"/>
        <v>46.5</v>
      </c>
    </row>
    <row r="25" spans="1:22" ht="12" customHeight="1">
      <c r="A25" s="27" t="s">
        <v>54</v>
      </c>
      <c r="B25" s="28" t="s">
        <v>49</v>
      </c>
      <c r="C25" s="29">
        <v>6.77</v>
      </c>
      <c r="D25" s="30">
        <v>54.37</v>
      </c>
      <c r="E25" s="31">
        <v>950</v>
      </c>
      <c r="F25" s="32">
        <v>0.15</v>
      </c>
      <c r="G25" s="33">
        <v>43.55</v>
      </c>
      <c r="H25" s="30">
        <v>0</v>
      </c>
      <c r="I25" s="33">
        <v>0</v>
      </c>
      <c r="J25" s="34">
        <v>0</v>
      </c>
      <c r="K25" s="35">
        <v>0</v>
      </c>
      <c r="L25" s="33">
        <v>0</v>
      </c>
      <c r="M25" s="30">
        <v>0</v>
      </c>
      <c r="N25" s="36">
        <v>0</v>
      </c>
      <c r="O25" s="36">
        <v>0</v>
      </c>
      <c r="P25" s="35">
        <v>0</v>
      </c>
      <c r="Q25" s="33">
        <v>0</v>
      </c>
      <c r="R25" s="50">
        <v>6.77</v>
      </c>
      <c r="S25" s="33">
        <v>50.32</v>
      </c>
      <c r="T25" s="30">
        <v>6.77</v>
      </c>
      <c r="U25" s="32">
        <v>50.32</v>
      </c>
      <c r="V25" s="72">
        <f t="shared" si="0"/>
        <v>142.5</v>
      </c>
    </row>
    <row r="26" spans="1:22" ht="12" customHeight="1">
      <c r="A26" s="38" t="s">
        <v>55</v>
      </c>
      <c r="B26" s="39" t="s">
        <v>49</v>
      </c>
      <c r="C26" s="40">
        <v>6.77</v>
      </c>
      <c r="D26" s="41">
        <v>31.59</v>
      </c>
      <c r="E26" s="42">
        <v>552</v>
      </c>
      <c r="F26" s="43">
        <v>0.15</v>
      </c>
      <c r="G26" s="44">
        <v>43.55</v>
      </c>
      <c r="H26" s="41">
        <v>0</v>
      </c>
      <c r="I26" s="44">
        <v>0</v>
      </c>
      <c r="J26" s="45">
        <v>0</v>
      </c>
      <c r="K26" s="46">
        <v>0</v>
      </c>
      <c r="L26" s="44">
        <v>0</v>
      </c>
      <c r="M26" s="41">
        <v>0</v>
      </c>
      <c r="N26" s="47">
        <v>0</v>
      </c>
      <c r="O26" s="47">
        <v>0</v>
      </c>
      <c r="P26" s="46">
        <v>0</v>
      </c>
      <c r="Q26" s="44">
        <v>0</v>
      </c>
      <c r="R26" s="49">
        <v>6.77</v>
      </c>
      <c r="S26" s="44">
        <v>50.32</v>
      </c>
      <c r="T26" s="41">
        <v>6.77</v>
      </c>
      <c r="U26" s="43">
        <v>50.32</v>
      </c>
      <c r="V26" s="72">
        <f t="shared" si="0"/>
        <v>82.8</v>
      </c>
    </row>
    <row r="27" spans="1:22" ht="12" customHeight="1">
      <c r="A27" s="27" t="s">
        <v>56</v>
      </c>
      <c r="B27" s="28" t="s">
        <v>49</v>
      </c>
      <c r="C27" s="29">
        <v>7.87</v>
      </c>
      <c r="D27" s="30">
        <v>3.43</v>
      </c>
      <c r="E27" s="31">
        <v>60</v>
      </c>
      <c r="F27" s="32">
        <v>0.15</v>
      </c>
      <c r="G27" s="33">
        <v>43.55</v>
      </c>
      <c r="H27" s="30">
        <v>0</v>
      </c>
      <c r="I27" s="33">
        <v>0</v>
      </c>
      <c r="J27" s="34">
        <v>0</v>
      </c>
      <c r="K27" s="35">
        <v>0</v>
      </c>
      <c r="L27" s="33">
        <v>0</v>
      </c>
      <c r="M27" s="30">
        <v>0</v>
      </c>
      <c r="N27" s="36">
        <v>0</v>
      </c>
      <c r="O27" s="36">
        <v>0</v>
      </c>
      <c r="P27" s="35">
        <v>0</v>
      </c>
      <c r="Q27" s="33">
        <v>0</v>
      </c>
      <c r="R27" s="50">
        <v>7.87</v>
      </c>
      <c r="S27" s="33">
        <v>51.42</v>
      </c>
      <c r="T27" s="30">
        <v>7.87</v>
      </c>
      <c r="U27" s="32">
        <v>51.42</v>
      </c>
      <c r="V27" s="72">
        <f t="shared" si="0"/>
        <v>9</v>
      </c>
    </row>
    <row r="28" spans="1:22" ht="12" customHeight="1">
      <c r="A28" s="38" t="s">
        <v>57</v>
      </c>
      <c r="B28" s="39" t="s">
        <v>58</v>
      </c>
      <c r="C28" s="40">
        <v>1.93</v>
      </c>
      <c r="D28" s="41">
        <v>1.18</v>
      </c>
      <c r="E28" s="42">
        <v>53</v>
      </c>
      <c r="F28" s="43">
        <v>0.3</v>
      </c>
      <c r="G28" s="44">
        <v>8.59</v>
      </c>
      <c r="H28" s="41">
        <v>0</v>
      </c>
      <c r="I28" s="44">
        <v>0</v>
      </c>
      <c r="J28" s="45">
        <v>0</v>
      </c>
      <c r="K28" s="46">
        <v>0</v>
      </c>
      <c r="L28" s="44">
        <v>0</v>
      </c>
      <c r="M28" s="41">
        <v>0</v>
      </c>
      <c r="N28" s="47">
        <v>0</v>
      </c>
      <c r="O28" s="47">
        <v>0</v>
      </c>
      <c r="P28" s="46">
        <v>0</v>
      </c>
      <c r="Q28" s="44">
        <v>0</v>
      </c>
      <c r="R28" s="49">
        <v>1.93</v>
      </c>
      <c r="S28" s="44">
        <v>10.51</v>
      </c>
      <c r="T28" s="41">
        <v>1.93</v>
      </c>
      <c r="U28" s="43">
        <v>10.51</v>
      </c>
      <c r="V28" s="72">
        <f t="shared" si="0"/>
        <v>15.899999999999999</v>
      </c>
    </row>
    <row r="29" spans="1:22" ht="12" customHeight="1">
      <c r="A29" s="27" t="s">
        <v>59</v>
      </c>
      <c r="B29" s="28" t="s">
        <v>58</v>
      </c>
      <c r="C29" s="29">
        <v>1.93</v>
      </c>
      <c r="D29" s="30">
        <v>1.52</v>
      </c>
      <c r="E29" s="31">
        <v>67</v>
      </c>
      <c r="F29" s="32">
        <v>0.3</v>
      </c>
      <c r="G29" s="33">
        <v>8.59</v>
      </c>
      <c r="H29" s="30">
        <v>0</v>
      </c>
      <c r="I29" s="33">
        <v>0</v>
      </c>
      <c r="J29" s="34">
        <v>0</v>
      </c>
      <c r="K29" s="35">
        <v>0</v>
      </c>
      <c r="L29" s="33">
        <v>0</v>
      </c>
      <c r="M29" s="30">
        <v>0</v>
      </c>
      <c r="N29" s="36">
        <v>0</v>
      </c>
      <c r="O29" s="36">
        <v>0</v>
      </c>
      <c r="P29" s="35">
        <v>0</v>
      </c>
      <c r="Q29" s="33">
        <v>0</v>
      </c>
      <c r="R29" s="50">
        <v>1.93</v>
      </c>
      <c r="S29" s="33">
        <v>10.51</v>
      </c>
      <c r="T29" s="30">
        <v>1.93</v>
      </c>
      <c r="U29" s="32">
        <v>10.51</v>
      </c>
      <c r="V29" s="72">
        <f t="shared" si="0"/>
        <v>20.099999999999998</v>
      </c>
    </row>
    <row r="30" spans="1:22" ht="12" customHeight="1">
      <c r="A30" s="38" t="s">
        <v>60</v>
      </c>
      <c r="B30" s="39" t="s">
        <v>58</v>
      </c>
      <c r="C30" s="40">
        <v>1.93</v>
      </c>
      <c r="D30" s="41">
        <v>2.2999999999999998</v>
      </c>
      <c r="E30" s="42">
        <v>102</v>
      </c>
      <c r="F30" s="43">
        <v>0.3</v>
      </c>
      <c r="G30" s="44">
        <v>8.59</v>
      </c>
      <c r="H30" s="41">
        <v>0</v>
      </c>
      <c r="I30" s="44">
        <v>0</v>
      </c>
      <c r="J30" s="45">
        <v>0</v>
      </c>
      <c r="K30" s="46">
        <v>0</v>
      </c>
      <c r="L30" s="44">
        <v>0</v>
      </c>
      <c r="M30" s="41">
        <v>0</v>
      </c>
      <c r="N30" s="47">
        <v>0</v>
      </c>
      <c r="O30" s="47">
        <v>0</v>
      </c>
      <c r="P30" s="46">
        <v>0</v>
      </c>
      <c r="Q30" s="44">
        <v>0</v>
      </c>
      <c r="R30" s="49">
        <v>1.93</v>
      </c>
      <c r="S30" s="44">
        <v>10.51</v>
      </c>
      <c r="T30" s="41">
        <v>1.93</v>
      </c>
      <c r="U30" s="43">
        <v>10.51</v>
      </c>
      <c r="V30" s="72">
        <f t="shared" si="0"/>
        <v>30.599999999999998</v>
      </c>
    </row>
    <row r="31" spans="1:22" ht="12" customHeight="1">
      <c r="A31" s="27" t="s">
        <v>61</v>
      </c>
      <c r="B31" s="28" t="s">
        <v>58</v>
      </c>
      <c r="C31" s="29">
        <v>1.93</v>
      </c>
      <c r="D31" s="30">
        <v>4.33</v>
      </c>
      <c r="E31" s="31">
        <v>192</v>
      </c>
      <c r="F31" s="32">
        <v>0.3</v>
      </c>
      <c r="G31" s="33">
        <v>8.59</v>
      </c>
      <c r="H31" s="30">
        <v>0</v>
      </c>
      <c r="I31" s="33">
        <v>0</v>
      </c>
      <c r="J31" s="34">
        <v>0</v>
      </c>
      <c r="K31" s="35">
        <v>0</v>
      </c>
      <c r="L31" s="33">
        <v>0</v>
      </c>
      <c r="M31" s="30">
        <v>0</v>
      </c>
      <c r="N31" s="36">
        <v>0</v>
      </c>
      <c r="O31" s="36">
        <v>0</v>
      </c>
      <c r="P31" s="35">
        <v>0</v>
      </c>
      <c r="Q31" s="33">
        <v>0</v>
      </c>
      <c r="R31" s="50">
        <v>1.93</v>
      </c>
      <c r="S31" s="33">
        <v>10.51</v>
      </c>
      <c r="T31" s="30">
        <v>1.93</v>
      </c>
      <c r="U31" s="32">
        <v>10.51</v>
      </c>
      <c r="V31" s="72">
        <f t="shared" si="0"/>
        <v>57.599999999999994</v>
      </c>
    </row>
    <row r="32" spans="1:22" ht="12" customHeight="1">
      <c r="A32" s="51" t="s">
        <v>62</v>
      </c>
      <c r="B32" s="52" t="s">
        <v>58</v>
      </c>
      <c r="C32" s="53">
        <v>1.93</v>
      </c>
      <c r="D32" s="54">
        <v>0.68</v>
      </c>
      <c r="E32" s="55">
        <v>30</v>
      </c>
      <c r="F32" s="56">
        <v>0.3</v>
      </c>
      <c r="G32" s="57">
        <v>8.59</v>
      </c>
      <c r="H32" s="54">
        <v>0</v>
      </c>
      <c r="I32" s="57">
        <v>0</v>
      </c>
      <c r="J32" s="58">
        <v>0</v>
      </c>
      <c r="K32" s="59">
        <v>0</v>
      </c>
      <c r="L32" s="57">
        <v>0</v>
      </c>
      <c r="M32" s="54">
        <v>0</v>
      </c>
      <c r="N32" s="60">
        <v>0</v>
      </c>
      <c r="O32" s="60">
        <v>0</v>
      </c>
      <c r="P32" s="59">
        <v>0</v>
      </c>
      <c r="Q32" s="57">
        <v>0</v>
      </c>
      <c r="R32" s="61">
        <v>1.93</v>
      </c>
      <c r="S32" s="57">
        <v>10.51</v>
      </c>
      <c r="T32" s="54">
        <v>1.93</v>
      </c>
      <c r="U32" s="56">
        <v>10.51</v>
      </c>
      <c r="V32" s="72">
        <f t="shared" si="0"/>
        <v>9</v>
      </c>
    </row>
    <row r="33" spans="1:23" ht="12" customHeight="1">
      <c r="A33" s="67"/>
      <c r="B33" s="67"/>
      <c r="C33" s="46"/>
      <c r="D33" s="46"/>
      <c r="E33" s="42"/>
      <c r="F33" s="43"/>
      <c r="G33" s="46"/>
      <c r="H33" s="46"/>
      <c r="I33" s="46"/>
      <c r="J33" s="47"/>
      <c r="K33" s="46"/>
      <c r="L33" s="46"/>
      <c r="M33" s="46"/>
      <c r="N33" s="47"/>
      <c r="O33" s="47"/>
      <c r="P33" s="46"/>
      <c r="Q33" s="46"/>
      <c r="R33" s="68"/>
      <c r="S33" s="46"/>
      <c r="T33" s="46"/>
      <c r="U33" s="43" t="s">
        <v>77</v>
      </c>
      <c r="V33" s="75">
        <f>SUM(V5:V32)</f>
        <v>4961.5500000000011</v>
      </c>
      <c r="W33" s="64"/>
    </row>
    <row r="34" spans="1:23" ht="12" customHeight="1">
      <c r="A34" s="67"/>
      <c r="B34" s="67"/>
      <c r="C34" s="46"/>
      <c r="D34" s="46"/>
      <c r="E34" s="42"/>
      <c r="F34" s="43"/>
      <c r="G34" s="46"/>
      <c r="H34" s="46"/>
      <c r="I34" s="46"/>
      <c r="J34" s="47"/>
      <c r="K34" s="46"/>
      <c r="L34" s="46"/>
      <c r="M34" s="46"/>
      <c r="N34" s="47"/>
      <c r="O34" s="47"/>
      <c r="P34" s="46"/>
      <c r="Q34" s="46"/>
      <c r="R34" s="68"/>
      <c r="S34" s="46"/>
      <c r="T34" s="46"/>
      <c r="U34" s="43"/>
      <c r="V34" s="72"/>
      <c r="W34" s="64"/>
    </row>
    <row r="35" spans="1:23" ht="9.9499999999999993" customHeight="1">
      <c r="A35" s="62" t="s">
        <v>63</v>
      </c>
    </row>
    <row r="36" spans="1:23" ht="11.1" customHeight="1">
      <c r="A36" t="s">
        <v>64</v>
      </c>
    </row>
    <row r="37" spans="1:23" ht="11.1" customHeight="1">
      <c r="A37" t="s">
        <v>65</v>
      </c>
    </row>
    <row r="38" spans="1:23" ht="9.9499999999999993" customHeight="1">
      <c r="A38" s="62" t="s">
        <v>66</v>
      </c>
    </row>
    <row r="39" spans="1:23" ht="9.9499999999999993" customHeight="1">
      <c r="A39" s="62" t="s">
        <v>67</v>
      </c>
    </row>
    <row r="40" spans="1:23" ht="9.9499999999999993" customHeight="1">
      <c r="A40" t="s">
        <v>68</v>
      </c>
    </row>
    <row r="41" spans="1:23" ht="15" customHeight="1">
      <c r="A41" s="63"/>
    </row>
  </sheetData>
  <mergeCells count="19">
    <mergeCell ref="A2:A3"/>
    <mergeCell ref="B2:B3"/>
    <mergeCell ref="C2:C3"/>
    <mergeCell ref="D2:G2"/>
    <mergeCell ref="H2:I3"/>
    <mergeCell ref="M2:Q2"/>
    <mergeCell ref="R2:S2"/>
    <mergeCell ref="T2:U2"/>
    <mergeCell ref="E3:G3"/>
    <mergeCell ref="M3:P3"/>
    <mergeCell ref="R3:S3"/>
    <mergeCell ref="T3:U3"/>
    <mergeCell ref="J2:L2"/>
    <mergeCell ref="M4:P4"/>
    <mergeCell ref="R4:S4"/>
    <mergeCell ref="T4:U4"/>
    <mergeCell ref="H5:I5"/>
    <mergeCell ref="R5:S5"/>
    <mergeCell ref="T5:U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tabSelected="1" workbookViewId="0">
      <selection activeCell="N44" sqref="N44"/>
    </sheetView>
  </sheetViews>
  <sheetFormatPr defaultRowHeight="12.75"/>
  <cols>
    <col min="2" max="2" width="11.5" bestFit="1" customWidth="1"/>
  </cols>
  <sheetData>
    <row r="1" spans="1:12">
      <c r="A1" t="s">
        <v>99</v>
      </c>
      <c r="L1" s="64" t="s">
        <v>109</v>
      </c>
    </row>
    <row r="32" spans="1:2">
      <c r="A32" s="64" t="s">
        <v>122</v>
      </c>
      <c r="B32" s="64" t="s">
        <v>123</v>
      </c>
    </row>
    <row r="33" spans="1:2">
      <c r="A33" s="123">
        <v>3.1221303948576602</v>
      </c>
      <c r="B33" s="123">
        <v>1.0171704041445599</v>
      </c>
    </row>
    <row r="34" spans="1:2">
      <c r="A34" s="123">
        <v>4.6831955922865003</v>
      </c>
      <c r="B34" s="123">
        <v>1.4792972600924801</v>
      </c>
    </row>
    <row r="35" spans="1:2">
      <c r="A35" s="123">
        <v>6.3360881542699703</v>
      </c>
      <c r="B35" s="123">
        <v>2.8734943742241899</v>
      </c>
    </row>
    <row r="36" spans="1:2">
      <c r="A36" s="123">
        <v>8.1726354453627099</v>
      </c>
      <c r="B36" s="123">
        <v>4.1084534758335698</v>
      </c>
    </row>
    <row r="37" spans="1:2">
      <c r="A37" s="123">
        <v>11.4784205693296</v>
      </c>
      <c r="B37" s="123">
        <v>5.0396799555421099</v>
      </c>
    </row>
    <row r="38" spans="1:2">
      <c r="A38" s="123">
        <v>14.692378328741899</v>
      </c>
      <c r="B38" s="123">
        <v>6.3960959816937004</v>
      </c>
    </row>
    <row r="39" spans="1:2">
      <c r="A39" s="123">
        <v>18.457300275482002</v>
      </c>
      <c r="B39" s="123">
        <v>7.7133997785175197</v>
      </c>
    </row>
    <row r="40" spans="1:2">
      <c r="A40" s="123">
        <v>20.661157024793301</v>
      </c>
      <c r="B40" s="123">
        <v>8.8388459299316295</v>
      </c>
    </row>
    <row r="41" spans="1:2">
      <c r="A41" s="123">
        <v>24.3342516069788</v>
      </c>
      <c r="B41" s="123">
        <v>9.7894401556826693</v>
      </c>
    </row>
    <row r="42" spans="1:2">
      <c r="A42" s="123">
        <v>27.915518824609698</v>
      </c>
      <c r="B42" s="123">
        <v>9.9575287995047592</v>
      </c>
    </row>
    <row r="43" spans="1:2">
      <c r="A43" s="123">
        <v>32.415059687786901</v>
      </c>
      <c r="B43" s="123">
        <v>13.5281511603352</v>
      </c>
    </row>
    <row r="44" spans="1:2">
      <c r="A44" s="123">
        <v>38.934802571166202</v>
      </c>
      <c r="B44" s="123">
        <v>16.879389963089</v>
      </c>
    </row>
    <row r="45" spans="1:2">
      <c r="A45" s="123">
        <v>45.638200183654703</v>
      </c>
      <c r="B45" s="123">
        <v>23.7263566095173</v>
      </c>
    </row>
    <row r="46" spans="1:2">
      <c r="A46" s="123">
        <v>50.505050505050498</v>
      </c>
      <c r="B46" s="123">
        <v>30.112240362303201</v>
      </c>
    </row>
    <row r="47" spans="1:2">
      <c r="A47" s="123">
        <v>54.729109274563797</v>
      </c>
      <c r="B47" s="123">
        <v>33.923376762328402</v>
      </c>
    </row>
    <row r="48" spans="1:2">
      <c r="A48" s="123">
        <v>60.238751147842002</v>
      </c>
      <c r="B48" s="123">
        <v>42.326988991298798</v>
      </c>
    </row>
    <row r="49" spans="1:6">
      <c r="A49" s="123">
        <v>66.207529843893397</v>
      </c>
      <c r="B49" s="123">
        <v>60.518115714015103</v>
      </c>
    </row>
    <row r="50" spans="1:6">
      <c r="A50" s="123">
        <v>70.247933884297495</v>
      </c>
      <c r="B50" s="123">
        <v>74.235216853519105</v>
      </c>
    </row>
    <row r="51" spans="1:6">
      <c r="A51" s="123">
        <v>75.482093663911797</v>
      </c>
      <c r="B51" s="123">
        <v>95.833138561692394</v>
      </c>
    </row>
    <row r="52" spans="1:6">
      <c r="A52" s="123">
        <v>79.338842975206603</v>
      </c>
      <c r="B52" s="123">
        <v>109.815952893781</v>
      </c>
    </row>
    <row r="53" spans="1:6">
      <c r="A53" s="123">
        <v>82.277318640955002</v>
      </c>
      <c r="B53" s="124">
        <v>139.37261517120001</v>
      </c>
      <c r="E53" s="73" t="s">
        <v>98</v>
      </c>
      <c r="F53" s="72">
        <v>158</v>
      </c>
    </row>
    <row r="54" spans="1:6">
      <c r="A54" s="123">
        <v>85.858585858585798</v>
      </c>
      <c r="B54" s="124">
        <v>173.89846504287101</v>
      </c>
      <c r="E54" s="73" t="s">
        <v>141</v>
      </c>
      <c r="F54" s="72">
        <v>169</v>
      </c>
    </row>
    <row r="55" spans="1:6">
      <c r="A55" s="123">
        <v>89.348025711662103</v>
      </c>
      <c r="B55" s="123">
        <v>220.70275955921599</v>
      </c>
      <c r="E55" s="64" t="s">
        <v>142</v>
      </c>
      <c r="F55">
        <f>AVERAGE(F53:F54)</f>
        <v>163.5</v>
      </c>
    </row>
    <row r="56" spans="1:6">
      <c r="A56" s="123">
        <v>92.653810835629002</v>
      </c>
      <c r="B56" s="123">
        <v>304.99193471109999</v>
      </c>
    </row>
    <row r="57" spans="1:6">
      <c r="A57" s="123">
        <v>94.582185491276405</v>
      </c>
      <c r="B57" s="123">
        <v>414.35752570055899</v>
      </c>
    </row>
    <row r="58" spans="1:6">
      <c r="A58" s="123">
        <v>96.877869605142294</v>
      </c>
      <c r="B58" s="123">
        <v>612.95795246753698</v>
      </c>
    </row>
    <row r="59" spans="1:6">
      <c r="A59" s="123">
        <v>97.979797979797993</v>
      </c>
      <c r="B59" s="123">
        <v>922.316232421172</v>
      </c>
    </row>
    <row r="60" spans="1:6">
      <c r="A60" s="123">
        <v>98.5307621671258</v>
      </c>
      <c r="B60" s="123">
        <v>1190.6540190180101</v>
      </c>
    </row>
    <row r="61" spans="1:6">
      <c r="A61" s="123">
        <v>98.989898989899004</v>
      </c>
      <c r="B61" s="123">
        <v>1387.8068294295199</v>
      </c>
    </row>
    <row r="62" spans="1:6">
      <c r="A62" s="123">
        <v>100</v>
      </c>
      <c r="B62" s="123">
        <v>1460.5289384257301</v>
      </c>
    </row>
    <row r="63" spans="1:6">
      <c r="A63">
        <v>84</v>
      </c>
      <c r="C63">
        <v>163</v>
      </c>
    </row>
    <row r="64" spans="1:6">
      <c r="A64">
        <v>84</v>
      </c>
      <c r="C64">
        <v>1</v>
      </c>
    </row>
    <row r="65" spans="1:4">
      <c r="A65">
        <v>0</v>
      </c>
      <c r="D65">
        <v>200</v>
      </c>
    </row>
    <row r="66" spans="1:4">
      <c r="A66">
        <v>84</v>
      </c>
      <c r="D66">
        <v>163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topLeftCell="A11" zoomScaleNormal="100" workbookViewId="0">
      <selection activeCell="E10" sqref="E10"/>
    </sheetView>
  </sheetViews>
  <sheetFormatPr defaultRowHeight="12.75"/>
  <cols>
    <col min="1" max="1" width="31.33203125" customWidth="1"/>
    <col min="2" max="2" width="19.83203125" customWidth="1"/>
    <col min="3" max="3" width="14" customWidth="1"/>
    <col min="4" max="5" width="16.1640625" customWidth="1"/>
    <col min="6" max="6" width="12.6640625" customWidth="1"/>
    <col min="7" max="8" width="14" customWidth="1"/>
    <col min="9" max="9" width="18" customWidth="1"/>
  </cols>
  <sheetData>
    <row r="1" spans="1:10" ht="14.25">
      <c r="A1" s="1" t="s">
        <v>111</v>
      </c>
    </row>
    <row r="2" spans="1:10">
      <c r="A2" s="106" t="s">
        <v>129</v>
      </c>
      <c r="B2" s="95" t="s">
        <v>112</v>
      </c>
      <c r="C2" s="95" t="s">
        <v>113</v>
      </c>
      <c r="D2" s="95" t="s">
        <v>114</v>
      </c>
      <c r="E2" s="95" t="s">
        <v>127</v>
      </c>
      <c r="F2" s="95" t="s">
        <v>115</v>
      </c>
      <c r="G2" s="95" t="s">
        <v>116</v>
      </c>
      <c r="H2" s="95" t="s">
        <v>120</v>
      </c>
      <c r="I2" s="99" t="s">
        <v>121</v>
      </c>
    </row>
    <row r="3" spans="1:10">
      <c r="A3" s="96" t="s">
        <v>92</v>
      </c>
      <c r="B3" s="97" t="s">
        <v>119</v>
      </c>
      <c r="C3" s="110" t="s">
        <v>128</v>
      </c>
      <c r="E3" s="115">
        <v>5</v>
      </c>
      <c r="F3" s="111">
        <v>0.68</v>
      </c>
      <c r="G3" s="111">
        <v>0.59</v>
      </c>
      <c r="H3" s="111">
        <v>0.05</v>
      </c>
      <c r="I3" s="112">
        <v>0.04</v>
      </c>
    </row>
    <row r="4" spans="1:10">
      <c r="A4" s="96" t="s">
        <v>93</v>
      </c>
      <c r="B4" s="97" t="s">
        <v>119</v>
      </c>
      <c r="C4" s="110" t="s">
        <v>128</v>
      </c>
      <c r="D4" s="77"/>
      <c r="E4" s="115">
        <v>25</v>
      </c>
      <c r="F4" s="111">
        <v>2.4500000000000002</v>
      </c>
      <c r="G4" s="111">
        <v>1.18</v>
      </c>
      <c r="H4" s="111">
        <v>0.13</v>
      </c>
      <c r="I4" s="112">
        <v>0.09</v>
      </c>
    </row>
    <row r="5" spans="1:10">
      <c r="A5" s="96" t="s">
        <v>117</v>
      </c>
      <c r="B5" s="97" t="s">
        <v>119</v>
      </c>
      <c r="C5" s="110" t="s">
        <v>128</v>
      </c>
      <c r="D5" s="77"/>
      <c r="E5" s="115">
        <v>50</v>
      </c>
      <c r="F5" s="111">
        <v>4.04</v>
      </c>
      <c r="G5" s="111">
        <v>1.68</v>
      </c>
      <c r="H5" s="111">
        <v>0.22</v>
      </c>
      <c r="I5" s="112">
        <v>0.16</v>
      </c>
    </row>
    <row r="6" spans="1:10">
      <c r="A6" s="96" t="s">
        <v>94</v>
      </c>
      <c r="B6" s="97" t="s">
        <v>119</v>
      </c>
      <c r="C6" s="110" t="s">
        <v>128</v>
      </c>
      <c r="D6" s="77"/>
      <c r="E6" s="115">
        <v>75</v>
      </c>
      <c r="F6" s="111">
        <v>7.26</v>
      </c>
      <c r="G6" s="111">
        <v>2.2200000000000002</v>
      </c>
      <c r="H6" s="111">
        <v>0.43</v>
      </c>
      <c r="I6" s="112">
        <v>0.37</v>
      </c>
    </row>
    <row r="7" spans="1:10">
      <c r="A7" s="98" t="s">
        <v>118</v>
      </c>
      <c r="B7" s="100" t="s">
        <v>119</v>
      </c>
      <c r="C7" s="110" t="s">
        <v>128</v>
      </c>
      <c r="D7" s="76"/>
      <c r="E7" s="115">
        <v>95</v>
      </c>
      <c r="F7" s="113">
        <v>14.97</v>
      </c>
      <c r="G7" s="113">
        <v>4.08</v>
      </c>
      <c r="H7" s="113">
        <v>0.95</v>
      </c>
      <c r="I7" s="114">
        <v>0.82</v>
      </c>
    </row>
    <row r="8" spans="1:10">
      <c r="A8" s="78"/>
      <c r="B8" s="10"/>
      <c r="C8" s="79"/>
      <c r="D8" s="79"/>
      <c r="E8" s="79"/>
      <c r="F8" s="105"/>
      <c r="G8" s="105"/>
      <c r="H8" s="105"/>
      <c r="I8" s="105"/>
      <c r="J8" s="64"/>
    </row>
    <row r="9" spans="1:10" ht="14.25">
      <c r="A9" s="101">
        <v>34</v>
      </c>
      <c r="D9" s="64" t="s">
        <v>88</v>
      </c>
      <c r="E9" s="64" t="s">
        <v>106</v>
      </c>
      <c r="F9" s="64" t="s">
        <v>105</v>
      </c>
      <c r="G9" s="64" t="s">
        <v>104</v>
      </c>
      <c r="H9" s="64" t="s">
        <v>124</v>
      </c>
    </row>
    <row r="10" spans="1:10" ht="15.75">
      <c r="D10" s="64" t="s">
        <v>78</v>
      </c>
      <c r="E10" s="108">
        <v>3.17</v>
      </c>
      <c r="F10" s="108">
        <v>2.72</v>
      </c>
      <c r="G10" s="108">
        <v>1.69</v>
      </c>
      <c r="H10" s="104">
        <v>15.684562733169482</v>
      </c>
      <c r="I10" s="103">
        <f xml:space="preserve"> 0.000000404*H10^4 - 0.000036*H10^3 + 0.000402*H10^2 + 0.0965*H10 + 0.192</f>
        <v>1.6899984791724545</v>
      </c>
      <c r="J10" s="116" t="s">
        <v>130</v>
      </c>
    </row>
    <row r="11" spans="1:10" ht="15.75">
      <c r="D11" s="64" t="s">
        <v>83</v>
      </c>
      <c r="E11" s="109">
        <v>1.32</v>
      </c>
      <c r="F11" s="109">
        <v>1.66</v>
      </c>
      <c r="G11" s="109">
        <v>1.52</v>
      </c>
      <c r="H11" s="104">
        <v>39.265186549682781</v>
      </c>
      <c r="I11" s="103">
        <f xml:space="preserve"> 0.000000208*H11^4 - 0.0000288*H11^3 + 0.0011*H11^2 + 0.0148*H11 + 0.492</f>
        <v>1.5199987748899537</v>
      </c>
      <c r="J11" s="116" t="s">
        <v>131</v>
      </c>
    </row>
    <row r="12" spans="1:10" ht="15.75">
      <c r="D12" s="64" t="s">
        <v>81</v>
      </c>
      <c r="E12" s="109">
        <v>0.23</v>
      </c>
      <c r="F12" s="109">
        <v>0.18</v>
      </c>
      <c r="G12" s="109">
        <v>0.27</v>
      </c>
      <c r="H12" s="104">
        <v>59.757766448895246</v>
      </c>
      <c r="I12" s="103">
        <f xml:space="preserve"> 0.0000000302*H12^4 - 0.00000318*H12^3 + 0.000101*H12^2 + 0.00283*H12 + 0.0337</f>
        <v>0.26999988403078956</v>
      </c>
      <c r="J12" s="116" t="s">
        <v>132</v>
      </c>
    </row>
    <row r="13" spans="1:10" ht="15.75">
      <c r="D13" s="64" t="s">
        <v>82</v>
      </c>
      <c r="E13" s="109">
        <v>0.12</v>
      </c>
      <c r="F13" s="109">
        <v>0.1</v>
      </c>
      <c r="G13" s="109">
        <v>0.17</v>
      </c>
      <c r="H13" s="104">
        <v>52.315819547406804</v>
      </c>
      <c r="I13" s="103">
        <f xml:space="preserve"> 0.0000000152*H13^4 - 0.000000857*H13^3 + 0.00000248*H13^2 + 0.00279*H13 + 0.0261</f>
        <v>0.16999996042801699</v>
      </c>
      <c r="J13" s="116" t="s">
        <v>133</v>
      </c>
    </row>
    <row r="14" spans="1:10">
      <c r="D14" s="64" t="s">
        <v>125</v>
      </c>
    </row>
    <row r="15" spans="1:10">
      <c r="D15" s="64" t="s">
        <v>78</v>
      </c>
      <c r="E15" s="107">
        <v>35.738540431853778</v>
      </c>
      <c r="F15" s="107">
        <v>28.761976028907664</v>
      </c>
      <c r="G15" s="107">
        <v>15.684562733169496</v>
      </c>
    </row>
    <row r="16" spans="1:10">
      <c r="D16" s="64" t="s">
        <v>83</v>
      </c>
      <c r="E16" s="107">
        <v>30.122603024393204</v>
      </c>
      <c r="F16" s="107">
        <v>48.3083819123704</v>
      </c>
      <c r="G16" s="107">
        <v>39.265186549682987</v>
      </c>
    </row>
    <row r="17" spans="1:7">
      <c r="D17" s="64" t="s">
        <v>81</v>
      </c>
      <c r="E17" s="107">
        <v>52.515637185957182</v>
      </c>
      <c r="F17" s="107">
        <v>39.320226775060696</v>
      </c>
      <c r="G17" s="107">
        <v>59.757766449274982</v>
      </c>
    </row>
    <row r="18" spans="1:7">
      <c r="D18" s="64" t="s">
        <v>82</v>
      </c>
      <c r="E18" s="107">
        <v>37.857536051638178</v>
      </c>
      <c r="F18" s="107">
        <v>29.467437018235195</v>
      </c>
      <c r="G18" s="107">
        <v>52.315819547406726</v>
      </c>
    </row>
    <row r="20" spans="1:7">
      <c r="A20" s="64" t="s">
        <v>126</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M21" sqref="M21"/>
    </sheetView>
  </sheetViews>
  <sheetFormatPr defaultRowHeight="12.75"/>
  <cols>
    <col min="4" max="4" width="17" customWidth="1"/>
    <col min="7" max="7" width="14.1640625" bestFit="1" customWidth="1"/>
    <col min="8" max="8" width="15.5" customWidth="1"/>
    <col min="9" max="9" width="15" customWidth="1"/>
    <col min="10" max="10" width="13.5" customWidth="1"/>
    <col min="13" max="13" width="23.33203125" customWidth="1"/>
    <col min="14" max="14" width="13" customWidth="1"/>
  </cols>
  <sheetData>
    <row r="1" spans="1:13">
      <c r="A1" s="64" t="s">
        <v>138</v>
      </c>
      <c r="F1" s="64"/>
      <c r="K1" s="64" t="s">
        <v>168</v>
      </c>
      <c r="L1">
        <v>907</v>
      </c>
    </row>
    <row r="2" spans="1:13">
      <c r="B2" s="64" t="s">
        <v>106</v>
      </c>
      <c r="G2" s="85" t="s">
        <v>89</v>
      </c>
      <c r="H2" s="86" t="s">
        <v>90</v>
      </c>
      <c r="I2" s="86" t="s">
        <v>91</v>
      </c>
      <c r="K2" s="64"/>
      <c r="L2">
        <f>H1*J1/1.18/1.56</f>
        <v>0</v>
      </c>
    </row>
    <row r="3" spans="1:13">
      <c r="B3" t="s">
        <v>87</v>
      </c>
      <c r="D3" s="64" t="s">
        <v>137</v>
      </c>
      <c r="E3" t="s">
        <v>97</v>
      </c>
      <c r="G3" s="87" t="s">
        <v>92</v>
      </c>
      <c r="H3" s="88" t="s">
        <v>93</v>
      </c>
      <c r="I3" s="88" t="s">
        <v>94</v>
      </c>
    </row>
    <row r="4" spans="1:13">
      <c r="A4" t="s">
        <v>78</v>
      </c>
      <c r="B4" s="80">
        <f t="shared" ref="B4:B6" si="0">$B$8*D4</f>
        <v>53139749.759999998</v>
      </c>
      <c r="C4" t="s">
        <v>80</v>
      </c>
      <c r="D4" s="35">
        <f>'Table B2'!E10</f>
        <v>3.17</v>
      </c>
      <c r="E4" s="102">
        <f>'Table B2'!E15</f>
        <v>35.738540431853778</v>
      </c>
      <c r="F4" t="s">
        <v>88</v>
      </c>
      <c r="G4" s="81">
        <v>1800</v>
      </c>
      <c r="H4" s="82">
        <v>3700</v>
      </c>
      <c r="I4" s="82">
        <v>6900</v>
      </c>
      <c r="J4" t="s">
        <v>95</v>
      </c>
    </row>
    <row r="5" spans="1:13">
      <c r="A5" t="s">
        <v>83</v>
      </c>
      <c r="B5" s="80">
        <f t="shared" si="0"/>
        <v>22127592.960000001</v>
      </c>
      <c r="C5" t="s">
        <v>80</v>
      </c>
      <c r="D5" s="35">
        <f>'Table B2'!E11</f>
        <v>1.32</v>
      </c>
      <c r="E5" s="102">
        <f>'Table B2'!E16</f>
        <v>30.122603024393204</v>
      </c>
      <c r="F5" t="s">
        <v>88</v>
      </c>
      <c r="G5" s="31">
        <v>680</v>
      </c>
      <c r="H5" s="31">
        <v>980</v>
      </c>
      <c r="I5" s="31">
        <v>1800</v>
      </c>
      <c r="J5" t="s">
        <v>95</v>
      </c>
    </row>
    <row r="6" spans="1:13">
      <c r="A6" t="s">
        <v>81</v>
      </c>
      <c r="B6" s="80">
        <f t="shared" si="0"/>
        <v>3855565.44</v>
      </c>
      <c r="C6" t="s">
        <v>80</v>
      </c>
      <c r="D6" s="35">
        <f>'Table B2'!E12</f>
        <v>0.23</v>
      </c>
      <c r="E6" s="102">
        <f>'Table B2'!E17</f>
        <v>52.515637185957182</v>
      </c>
      <c r="F6" t="s">
        <v>88</v>
      </c>
      <c r="G6" s="31">
        <v>140</v>
      </c>
      <c r="H6" s="31">
        <v>240</v>
      </c>
      <c r="I6" s="31">
        <v>490</v>
      </c>
      <c r="J6" t="s">
        <v>95</v>
      </c>
    </row>
    <row r="7" spans="1:13">
      <c r="A7" t="s">
        <v>82</v>
      </c>
      <c r="B7" s="80">
        <f>$B$8*D7</f>
        <v>2011599.3599999999</v>
      </c>
      <c r="C7" t="s">
        <v>80</v>
      </c>
      <c r="D7" s="35">
        <f>'Table B2'!E13</f>
        <v>0.12</v>
      </c>
      <c r="E7" s="102">
        <f>'Table B2'!E18</f>
        <v>37.857536051638178</v>
      </c>
      <c r="F7" t="s">
        <v>88</v>
      </c>
      <c r="G7" s="83">
        <v>2600</v>
      </c>
      <c r="H7" s="84">
        <v>4700</v>
      </c>
      <c r="I7" s="84">
        <v>10000</v>
      </c>
      <c r="J7" t="s">
        <v>95</v>
      </c>
    </row>
    <row r="8" spans="1:13">
      <c r="A8" t="s">
        <v>84</v>
      </c>
      <c r="B8" s="80">
        <f>'All stations'!P13</f>
        <v>16763328</v>
      </c>
      <c r="C8" t="s">
        <v>85</v>
      </c>
      <c r="D8" s="33"/>
    </row>
    <row r="9" spans="1:13">
      <c r="B9" s="80"/>
      <c r="D9" s="35"/>
    </row>
    <row r="10" spans="1:13">
      <c r="A10" s="64" t="s">
        <v>136</v>
      </c>
    </row>
    <row r="11" spans="1:13">
      <c r="A11" t="s">
        <v>78</v>
      </c>
      <c r="G11" s="66">
        <f>G4/$L$1</f>
        <v>1.9845644983461963</v>
      </c>
      <c r="H11" s="66">
        <f t="shared" ref="H11:I11" si="1">H4/$L$1</f>
        <v>4.0793825799338475</v>
      </c>
      <c r="I11" s="66">
        <f t="shared" si="1"/>
        <v>7.6074972436604194</v>
      </c>
      <c r="J11" t="s">
        <v>159</v>
      </c>
    </row>
    <row r="12" spans="1:13">
      <c r="A12" t="s">
        <v>83</v>
      </c>
      <c r="G12" s="66">
        <f t="shared" ref="G12:I14" si="2">G5/$L$1</f>
        <v>0.74972436604189641</v>
      </c>
      <c r="H12" s="66">
        <f t="shared" si="2"/>
        <v>1.0804851157662625</v>
      </c>
      <c r="I12" s="66">
        <f t="shared" si="2"/>
        <v>1.9845644983461963</v>
      </c>
      <c r="J12" t="s">
        <v>159</v>
      </c>
    </row>
    <row r="13" spans="1:13">
      <c r="A13" t="s">
        <v>81</v>
      </c>
      <c r="G13" s="66">
        <f t="shared" si="2"/>
        <v>0.15435501653803749</v>
      </c>
      <c r="H13" s="66">
        <f t="shared" si="2"/>
        <v>0.26460859977949286</v>
      </c>
      <c r="I13" s="66">
        <f t="shared" si="2"/>
        <v>0.54024255788313125</v>
      </c>
      <c r="J13" t="s">
        <v>159</v>
      </c>
    </row>
    <row r="14" spans="1:13">
      <c r="A14" t="s">
        <v>82</v>
      </c>
      <c r="G14" s="66">
        <f t="shared" si="2"/>
        <v>2.8665931642778388</v>
      </c>
      <c r="H14" s="66">
        <f t="shared" si="2"/>
        <v>5.1819184123484012</v>
      </c>
      <c r="I14" s="66">
        <f t="shared" si="2"/>
        <v>11.025358324145534</v>
      </c>
      <c r="J14" t="s">
        <v>159</v>
      </c>
    </row>
    <row r="15" spans="1:13">
      <c r="M15" s="64" t="s">
        <v>102</v>
      </c>
    </row>
    <row r="16" spans="1:13" ht="12.75" customHeight="1">
      <c r="A16" s="64" t="s">
        <v>160</v>
      </c>
      <c r="E16" t="s">
        <v>97</v>
      </c>
      <c r="G16" s="72">
        <v>5</v>
      </c>
      <c r="H16" s="72">
        <v>25</v>
      </c>
      <c r="I16" s="72">
        <v>75</v>
      </c>
      <c r="K16" s="64" t="s">
        <v>163</v>
      </c>
      <c r="L16" s="64" t="s">
        <v>164</v>
      </c>
      <c r="M16" s="65" t="s">
        <v>161</v>
      </c>
    </row>
    <row r="17" spans="1:13">
      <c r="A17" t="s">
        <v>78</v>
      </c>
      <c r="E17" s="102">
        <f>E4</f>
        <v>35.738540431853778</v>
      </c>
      <c r="F17" t="s">
        <v>78</v>
      </c>
      <c r="G17" s="121">
        <f t="shared" ref="G17:I20" si="3">$D4*G11</f>
        <v>6.2910694597574421</v>
      </c>
      <c r="H17" s="121">
        <f t="shared" si="3"/>
        <v>12.931642778390296</v>
      </c>
      <c r="I17" s="121">
        <f t="shared" si="3"/>
        <v>24.115766262403529</v>
      </c>
      <c r="J17" t="s">
        <v>162</v>
      </c>
      <c r="K17" s="92">
        <f>SLOPE(G17:I17,$G$16:$I$16)</f>
        <v>0.24868543804596724</v>
      </c>
      <c r="L17">
        <f>INTERCEPT(G17:I17,$G$16:$I$16)</f>
        <v>5.7421691685749021</v>
      </c>
      <c r="M17" s="141">
        <f>E17*K17+L17</f>
        <v>14.629823750993969</v>
      </c>
    </row>
    <row r="18" spans="1:13">
      <c r="A18" t="s">
        <v>83</v>
      </c>
      <c r="E18" s="102">
        <f>E5</f>
        <v>30.122603024393204</v>
      </c>
      <c r="F18" t="s">
        <v>83</v>
      </c>
      <c r="G18" s="121">
        <f t="shared" si="3"/>
        <v>0.98963616317530334</v>
      </c>
      <c r="H18" s="121">
        <f t="shared" si="3"/>
        <v>1.4262403528114667</v>
      </c>
      <c r="I18" s="121">
        <f t="shared" si="3"/>
        <v>2.6196251378169793</v>
      </c>
      <c r="J18" t="s">
        <v>162</v>
      </c>
      <c r="K18" s="92">
        <f t="shared" ref="K18:K20" si="4">SLOPE(G18:I18,$G$16:$I$16)</f>
        <v>2.339750657280977E-2</v>
      </c>
      <c r="L18">
        <f t="shared" ref="L18:L20" si="5">INTERCEPT(G18:I18,$G$16:$I$16)</f>
        <v>0.85958782121957433</v>
      </c>
      <c r="M18" s="141">
        <f t="shared" ref="M18:M20" si="6">E18*K18+L18</f>
        <v>1.5643816234729537</v>
      </c>
    </row>
    <row r="19" spans="1:13">
      <c r="A19" t="s">
        <v>81</v>
      </c>
      <c r="E19" s="102">
        <f>E6</f>
        <v>52.515637185957182</v>
      </c>
      <c r="F19" t="s">
        <v>81</v>
      </c>
      <c r="G19" s="121">
        <f t="shared" si="3"/>
        <v>3.5501653803748624E-2</v>
      </c>
      <c r="H19" s="121">
        <f t="shared" si="3"/>
        <v>6.0859977949283363E-2</v>
      </c>
      <c r="I19" s="121">
        <f t="shared" si="3"/>
        <v>0.12425578831312019</v>
      </c>
      <c r="J19" t="s">
        <v>162</v>
      </c>
      <c r="K19" s="92">
        <f t="shared" si="4"/>
        <v>1.2679162072767366E-3</v>
      </c>
      <c r="L19">
        <f t="shared" si="5"/>
        <v>2.9162072767364947E-2</v>
      </c>
      <c r="M19" s="141">
        <f t="shared" si="6"/>
        <v>9.5747500290904924E-2</v>
      </c>
    </row>
    <row r="20" spans="1:13">
      <c r="A20" t="s">
        <v>82</v>
      </c>
      <c r="E20" s="102">
        <f>E7</f>
        <v>37.857536051638178</v>
      </c>
      <c r="F20" t="s">
        <v>82</v>
      </c>
      <c r="G20" s="121">
        <f t="shared" si="3"/>
        <v>0.34399117971334064</v>
      </c>
      <c r="H20" s="121">
        <f t="shared" si="3"/>
        <v>0.62183020948180812</v>
      </c>
      <c r="I20" s="121">
        <f t="shared" si="3"/>
        <v>1.3230429988974641</v>
      </c>
      <c r="J20" t="s">
        <v>162</v>
      </c>
      <c r="K20" s="92">
        <f t="shared" si="4"/>
        <v>1.3993724026800103E-2</v>
      </c>
      <c r="L20">
        <f t="shared" si="5"/>
        <v>0.27317445509286742</v>
      </c>
      <c r="M20" s="141">
        <f t="shared" si="6"/>
        <v>0.80294236693412768</v>
      </c>
    </row>
    <row r="21" spans="1:13">
      <c r="A21" t="s">
        <v>96</v>
      </c>
      <c r="G21" s="66">
        <f>SUM(G17:G20)</f>
        <v>7.6601984564498355</v>
      </c>
      <c r="H21" s="66">
        <f t="shared" ref="H21:I21" si="7">SUM(H17:H20)</f>
        <v>15.040573318632855</v>
      </c>
      <c r="I21" s="66">
        <f t="shared" si="7"/>
        <v>28.182690187431092</v>
      </c>
      <c r="J21" t="s">
        <v>162</v>
      </c>
      <c r="L21" s="64" t="s">
        <v>96</v>
      </c>
      <c r="M21" s="159">
        <f>SUM(M17:M20)</f>
        <v>17.092895241691956</v>
      </c>
    </row>
    <row r="23" spans="1:13">
      <c r="G23" s="89"/>
      <c r="H23" s="89"/>
      <c r="I23" s="89"/>
    </row>
    <row r="24" spans="1:13">
      <c r="A24" t="s">
        <v>134</v>
      </c>
    </row>
    <row r="25" spans="1:13">
      <c r="A25" s="117" t="s">
        <v>135</v>
      </c>
    </row>
    <row r="28" spans="1:13">
      <c r="J28" s="64"/>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
  <sheetViews>
    <sheetView zoomScaleNormal="100" workbookViewId="0">
      <selection activeCell="I25" sqref="I25"/>
    </sheetView>
  </sheetViews>
  <sheetFormatPr defaultRowHeight="12.75"/>
  <cols>
    <col min="4" max="4" width="15.1640625" bestFit="1" customWidth="1"/>
    <col min="7" max="7" width="14.1640625" bestFit="1" customWidth="1"/>
    <col min="8" max="8" width="15.5" customWidth="1"/>
    <col min="9" max="9" width="15" customWidth="1"/>
    <col min="10" max="10" width="13.5" customWidth="1"/>
    <col min="13" max="13" width="24" customWidth="1"/>
    <col min="14" max="14" width="13" customWidth="1"/>
  </cols>
  <sheetData>
    <row r="1" spans="1:13">
      <c r="A1" t="s">
        <v>79</v>
      </c>
      <c r="F1" s="64"/>
      <c r="K1" s="64" t="s">
        <v>168</v>
      </c>
      <c r="L1">
        <v>907</v>
      </c>
    </row>
    <row r="2" spans="1:13">
      <c r="B2" s="64" t="s">
        <v>105</v>
      </c>
      <c r="G2" s="85" t="s">
        <v>89</v>
      </c>
      <c r="H2" s="86" t="s">
        <v>90</v>
      </c>
      <c r="I2" s="86" t="s">
        <v>91</v>
      </c>
    </row>
    <row r="3" spans="1:13">
      <c r="B3" t="s">
        <v>87</v>
      </c>
      <c r="D3" t="s">
        <v>86</v>
      </c>
      <c r="E3" t="s">
        <v>97</v>
      </c>
      <c r="G3" s="87" t="s">
        <v>92</v>
      </c>
      <c r="H3" s="88" t="s">
        <v>93</v>
      </c>
      <c r="I3" s="88" t="s">
        <v>94</v>
      </c>
    </row>
    <row r="4" spans="1:13">
      <c r="A4" t="s">
        <v>78</v>
      </c>
      <c r="B4" s="80">
        <f t="shared" ref="B4:B6" si="0">$B$8*D4</f>
        <v>20915712</v>
      </c>
      <c r="C4" t="s">
        <v>80</v>
      </c>
      <c r="D4" s="35">
        <f>'Table B2'!F10</f>
        <v>2.72</v>
      </c>
      <c r="E4" s="102">
        <f>'Table B2'!F15</f>
        <v>28.761976028907664</v>
      </c>
      <c r="F4" t="s">
        <v>88</v>
      </c>
      <c r="G4" s="81">
        <v>1800</v>
      </c>
      <c r="H4" s="82">
        <v>3700</v>
      </c>
      <c r="I4" s="82">
        <v>6900</v>
      </c>
      <c r="J4" t="s">
        <v>95</v>
      </c>
    </row>
    <row r="5" spans="1:13">
      <c r="A5" t="s">
        <v>83</v>
      </c>
      <c r="B5" s="80">
        <f t="shared" si="0"/>
        <v>12764736</v>
      </c>
      <c r="C5" t="s">
        <v>80</v>
      </c>
      <c r="D5" s="35">
        <f>'Table B2'!F11</f>
        <v>1.66</v>
      </c>
      <c r="E5" s="102">
        <f>'Table B2'!F16</f>
        <v>48.3083819123704</v>
      </c>
      <c r="F5" t="s">
        <v>88</v>
      </c>
      <c r="G5" s="31">
        <v>680</v>
      </c>
      <c r="H5" s="31">
        <v>980</v>
      </c>
      <c r="I5" s="31">
        <v>1800</v>
      </c>
      <c r="J5" t="s">
        <v>95</v>
      </c>
    </row>
    <row r="6" spans="1:13">
      <c r="A6" t="s">
        <v>81</v>
      </c>
      <c r="B6" s="80">
        <f t="shared" si="0"/>
        <v>1384128</v>
      </c>
      <c r="C6" t="s">
        <v>80</v>
      </c>
      <c r="D6" s="35">
        <f>'Table B2'!F12</f>
        <v>0.18</v>
      </c>
      <c r="E6" s="102">
        <f>'Table B2'!F17</f>
        <v>39.320226775060696</v>
      </c>
      <c r="F6" t="s">
        <v>88</v>
      </c>
      <c r="G6" s="31">
        <v>140</v>
      </c>
      <c r="H6" s="31">
        <v>240</v>
      </c>
      <c r="I6" s="31">
        <v>490</v>
      </c>
      <c r="J6" t="s">
        <v>95</v>
      </c>
    </row>
    <row r="7" spans="1:13">
      <c r="A7" t="s">
        <v>82</v>
      </c>
      <c r="B7" s="80">
        <f>$B$8*D7</f>
        <v>768960</v>
      </c>
      <c r="C7" t="s">
        <v>80</v>
      </c>
      <c r="D7" s="35">
        <f>'Table B2'!F13</f>
        <v>0.1</v>
      </c>
      <c r="E7" s="102">
        <f>'Table B2'!F18</f>
        <v>29.467437018235195</v>
      </c>
      <c r="F7" t="s">
        <v>88</v>
      </c>
      <c r="G7" s="83">
        <v>2600</v>
      </c>
      <c r="H7" s="84">
        <v>4700</v>
      </c>
      <c r="I7" s="84">
        <v>10000</v>
      </c>
      <c r="J7" t="s">
        <v>95</v>
      </c>
    </row>
    <row r="8" spans="1:13">
      <c r="A8" t="s">
        <v>84</v>
      </c>
      <c r="B8" s="80">
        <f>'All stations'!P14</f>
        <v>7689600</v>
      </c>
      <c r="C8" t="s">
        <v>85</v>
      </c>
      <c r="D8" s="33"/>
    </row>
    <row r="10" spans="1:13">
      <c r="A10" s="64" t="s">
        <v>136</v>
      </c>
    </row>
    <row r="11" spans="1:13">
      <c r="A11" t="s">
        <v>78</v>
      </c>
      <c r="G11" s="66">
        <f>G4/$L$1</f>
        <v>1.9845644983461963</v>
      </c>
      <c r="H11" s="66">
        <f t="shared" ref="H11:I11" si="1">H4/$L$1</f>
        <v>4.0793825799338475</v>
      </c>
      <c r="I11" s="66">
        <f t="shared" si="1"/>
        <v>7.6074972436604194</v>
      </c>
      <c r="J11" t="s">
        <v>159</v>
      </c>
    </row>
    <row r="12" spans="1:13">
      <c r="A12" t="s">
        <v>83</v>
      </c>
      <c r="G12" s="66">
        <f t="shared" ref="G12:I14" si="2">G5/$L$1</f>
        <v>0.74972436604189641</v>
      </c>
      <c r="H12" s="66">
        <f t="shared" si="2"/>
        <v>1.0804851157662625</v>
      </c>
      <c r="I12" s="66">
        <f t="shared" si="2"/>
        <v>1.9845644983461963</v>
      </c>
      <c r="J12" t="s">
        <v>159</v>
      </c>
    </row>
    <row r="13" spans="1:13">
      <c r="A13" t="s">
        <v>81</v>
      </c>
      <c r="G13" s="66">
        <f t="shared" si="2"/>
        <v>0.15435501653803749</v>
      </c>
      <c r="H13" s="66">
        <f t="shared" si="2"/>
        <v>0.26460859977949286</v>
      </c>
      <c r="I13" s="66">
        <f t="shared" si="2"/>
        <v>0.54024255788313125</v>
      </c>
      <c r="J13" t="s">
        <v>159</v>
      </c>
    </row>
    <row r="14" spans="1:13">
      <c r="A14" t="s">
        <v>82</v>
      </c>
      <c r="G14" s="66">
        <f t="shared" si="2"/>
        <v>2.8665931642778388</v>
      </c>
      <c r="H14" s="66">
        <f t="shared" si="2"/>
        <v>5.1819184123484012</v>
      </c>
      <c r="I14" s="66">
        <f t="shared" si="2"/>
        <v>11.025358324145534</v>
      </c>
      <c r="J14" t="s">
        <v>159</v>
      </c>
    </row>
    <row r="15" spans="1:13">
      <c r="M15" s="64" t="s">
        <v>102</v>
      </c>
    </row>
    <row r="16" spans="1:13" ht="11.25" customHeight="1">
      <c r="A16" s="64" t="s">
        <v>160</v>
      </c>
      <c r="E16" t="s">
        <v>97</v>
      </c>
      <c r="G16">
        <v>5</v>
      </c>
      <c r="H16">
        <v>25</v>
      </c>
      <c r="I16">
        <v>75</v>
      </c>
      <c r="K16" s="64" t="s">
        <v>163</v>
      </c>
      <c r="L16" s="64" t="s">
        <v>164</v>
      </c>
      <c r="M16" s="65" t="s">
        <v>161</v>
      </c>
    </row>
    <row r="17" spans="1:13">
      <c r="A17" t="s">
        <v>78</v>
      </c>
      <c r="E17" s="102">
        <f>E4</f>
        <v>28.761976028907664</v>
      </c>
      <c r="F17" t="s">
        <v>78</v>
      </c>
      <c r="G17" s="66">
        <f t="shared" ref="G17:I20" si="3">$D4*G11</f>
        <v>5.3980154355016543</v>
      </c>
      <c r="H17" s="66">
        <f t="shared" si="3"/>
        <v>11.095920617420067</v>
      </c>
      <c r="I17" s="66">
        <f t="shared" si="3"/>
        <v>20.692392502756341</v>
      </c>
      <c r="J17" t="s">
        <v>162</v>
      </c>
      <c r="K17" s="92">
        <f>SLOPE(G17:I17,$G$16:$I$16)</f>
        <v>0.21338308879653975</v>
      </c>
      <c r="L17">
        <f>INTERCEPT(G17:I17,$G$16:$I$16)</f>
        <v>4.9270347440137963</v>
      </c>
      <c r="M17" s="93">
        <f>E17*K17+L17</f>
        <v>11.064354028954149</v>
      </c>
    </row>
    <row r="18" spans="1:13">
      <c r="A18" t="s">
        <v>83</v>
      </c>
      <c r="E18" s="102">
        <f>E5</f>
        <v>48.3083819123704</v>
      </c>
      <c r="F18" t="s">
        <v>83</v>
      </c>
      <c r="G18" s="66">
        <f t="shared" si="3"/>
        <v>1.2445424476295479</v>
      </c>
      <c r="H18" s="66">
        <f t="shared" si="3"/>
        <v>1.7936052921719956</v>
      </c>
      <c r="I18" s="66">
        <f t="shared" si="3"/>
        <v>3.2943770672546857</v>
      </c>
      <c r="J18" t="s">
        <v>162</v>
      </c>
      <c r="K18" s="92">
        <f t="shared" ref="K18:K20" si="4">SLOPE(G18:I18,$G$16:$I$16)</f>
        <v>2.9424137053685014E-2</v>
      </c>
      <c r="L18">
        <f t="shared" ref="L18:L20" si="5">INTERCEPT(G18:I18,$G$16:$I$16)</f>
        <v>1.080996805473101</v>
      </c>
      <c r="M18" s="93">
        <f t="shared" ref="M18:M20" si="6">E18*K18+L18</f>
        <v>2.5024292557044459</v>
      </c>
    </row>
    <row r="19" spans="1:13">
      <c r="A19" t="s">
        <v>81</v>
      </c>
      <c r="E19" s="102">
        <f>E6</f>
        <v>39.320226775060696</v>
      </c>
      <c r="F19" t="s">
        <v>81</v>
      </c>
      <c r="G19" s="66">
        <f t="shared" si="3"/>
        <v>2.7783902976846745E-2</v>
      </c>
      <c r="H19" s="66">
        <f t="shared" si="3"/>
        <v>4.7629547960308716E-2</v>
      </c>
      <c r="I19" s="66">
        <f t="shared" si="3"/>
        <v>9.7243660418963623E-2</v>
      </c>
      <c r="J19" t="s">
        <v>162</v>
      </c>
      <c r="K19" s="92">
        <f t="shared" si="4"/>
        <v>9.9228224917309832E-4</v>
      </c>
      <c r="L19">
        <f t="shared" si="5"/>
        <v>2.2822491730981255E-2</v>
      </c>
      <c r="M19" s="93">
        <f t="shared" si="6"/>
        <v>6.1839254793334762E-2</v>
      </c>
    </row>
    <row r="20" spans="1:13">
      <c r="A20" t="s">
        <v>82</v>
      </c>
      <c r="E20" s="102">
        <f>E7</f>
        <v>29.467437018235195</v>
      </c>
      <c r="F20" t="s">
        <v>82</v>
      </c>
      <c r="G20" s="66">
        <f t="shared" si="3"/>
        <v>0.28665931642778392</v>
      </c>
      <c r="H20" s="66">
        <f t="shared" si="3"/>
        <v>0.51819184123484019</v>
      </c>
      <c r="I20" s="66">
        <f t="shared" si="3"/>
        <v>1.1025358324145536</v>
      </c>
      <c r="J20" t="s">
        <v>162</v>
      </c>
      <c r="K20" s="92">
        <f t="shared" si="4"/>
        <v>1.1661436689000085E-2</v>
      </c>
      <c r="L20">
        <f t="shared" si="5"/>
        <v>0.22764537924405626</v>
      </c>
      <c r="M20" s="93">
        <f t="shared" si="6"/>
        <v>0.57127803041930347</v>
      </c>
    </row>
    <row r="21" spans="1:13">
      <c r="A21" t="s">
        <v>96</v>
      </c>
      <c r="G21" s="66">
        <f>SUM(G17:G20)</f>
        <v>6.9570011025358323</v>
      </c>
      <c r="H21" s="66">
        <f t="shared" ref="H21:I21" si="7">SUM(H17:H20)</f>
        <v>13.455347298787212</v>
      </c>
      <c r="I21" s="66">
        <f t="shared" si="7"/>
        <v>25.186549062844545</v>
      </c>
      <c r="J21" t="s">
        <v>162</v>
      </c>
      <c r="M21" s="90">
        <f>SUM(M17:M20)</f>
        <v>14.199900569871232</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
  <sheetViews>
    <sheetView workbookViewId="0">
      <selection activeCell="B44" sqref="B44"/>
    </sheetView>
  </sheetViews>
  <sheetFormatPr defaultRowHeight="12.75"/>
  <cols>
    <col min="4" max="4" width="15.1640625" bestFit="1" customWidth="1"/>
    <col min="7" max="7" width="14.1640625" bestFit="1" customWidth="1"/>
    <col min="8" max="8" width="15.5" customWidth="1"/>
    <col min="9" max="9" width="15" customWidth="1"/>
    <col min="10" max="10" width="13.5" customWidth="1"/>
    <col min="13" max="13" width="26" customWidth="1"/>
    <col min="14" max="14" width="13" customWidth="1"/>
  </cols>
  <sheetData>
    <row r="1" spans="1:13">
      <c r="A1" t="s">
        <v>79</v>
      </c>
      <c r="F1" s="64"/>
      <c r="K1" s="64" t="s">
        <v>168</v>
      </c>
      <c r="L1">
        <v>907</v>
      </c>
    </row>
    <row r="2" spans="1:13">
      <c r="B2" s="64" t="s">
        <v>104</v>
      </c>
      <c r="G2" s="85" t="s">
        <v>89</v>
      </c>
      <c r="H2" s="86" t="s">
        <v>90</v>
      </c>
      <c r="I2" s="86" t="s">
        <v>91</v>
      </c>
    </row>
    <row r="3" spans="1:13">
      <c r="B3" t="s">
        <v>87</v>
      </c>
      <c r="D3" t="s">
        <v>86</v>
      </c>
      <c r="E3" t="s">
        <v>97</v>
      </c>
      <c r="G3" s="87" t="s">
        <v>92</v>
      </c>
      <c r="H3" s="88" t="s">
        <v>93</v>
      </c>
      <c r="I3" s="88" t="s">
        <v>94</v>
      </c>
    </row>
    <row r="4" spans="1:13">
      <c r="A4" t="s">
        <v>78</v>
      </c>
      <c r="B4" s="80">
        <f t="shared" ref="B4:B6" si="0">$B$8*D4</f>
        <v>19233227.52</v>
      </c>
      <c r="C4" t="s">
        <v>80</v>
      </c>
      <c r="D4" s="35">
        <f>'Table B2'!G10</f>
        <v>1.69</v>
      </c>
      <c r="E4" s="102">
        <f>'Table B2'!G15</f>
        <v>15.684562733169496</v>
      </c>
      <c r="F4" t="s">
        <v>88</v>
      </c>
      <c r="G4" s="81">
        <v>1800</v>
      </c>
      <c r="H4" s="82">
        <v>3700</v>
      </c>
      <c r="I4" s="82">
        <v>6900</v>
      </c>
      <c r="J4" t="s">
        <v>95</v>
      </c>
    </row>
    <row r="5" spans="1:13">
      <c r="A5" t="s">
        <v>83</v>
      </c>
      <c r="B5" s="80">
        <f t="shared" si="0"/>
        <v>17298524.16</v>
      </c>
      <c r="C5" t="s">
        <v>80</v>
      </c>
      <c r="D5" s="35">
        <f>'Table B2'!G11</f>
        <v>1.52</v>
      </c>
      <c r="E5" s="102">
        <f>'Table B2'!G16</f>
        <v>39.265186549682987</v>
      </c>
      <c r="F5" t="s">
        <v>88</v>
      </c>
      <c r="G5" s="31">
        <v>680</v>
      </c>
      <c r="H5" s="31">
        <v>980</v>
      </c>
      <c r="I5" s="31">
        <v>1800</v>
      </c>
      <c r="J5" t="s">
        <v>95</v>
      </c>
    </row>
    <row r="6" spans="1:13">
      <c r="A6" t="s">
        <v>81</v>
      </c>
      <c r="B6" s="80">
        <f t="shared" si="0"/>
        <v>3072764.16</v>
      </c>
      <c r="C6" t="s">
        <v>80</v>
      </c>
      <c r="D6" s="35">
        <f>'Table B2'!G12</f>
        <v>0.27</v>
      </c>
      <c r="E6" s="102">
        <f>'Table B2'!G17</f>
        <v>59.757766449274982</v>
      </c>
      <c r="F6" t="s">
        <v>88</v>
      </c>
      <c r="G6" s="31">
        <v>140</v>
      </c>
      <c r="H6" s="31">
        <v>240</v>
      </c>
      <c r="I6" s="31">
        <v>490</v>
      </c>
      <c r="J6" t="s">
        <v>95</v>
      </c>
    </row>
    <row r="7" spans="1:13">
      <c r="A7" t="s">
        <v>82</v>
      </c>
      <c r="B7" s="80">
        <f>$B$8*D7</f>
        <v>1934703.36</v>
      </c>
      <c r="C7" t="s">
        <v>80</v>
      </c>
      <c r="D7" s="35">
        <f>'Table B2'!G13</f>
        <v>0.17</v>
      </c>
      <c r="E7" s="102">
        <f>'Table B2'!G18</f>
        <v>52.315819547406726</v>
      </c>
      <c r="F7" t="s">
        <v>88</v>
      </c>
      <c r="G7" s="83">
        <v>2600</v>
      </c>
      <c r="H7" s="84">
        <v>4700</v>
      </c>
      <c r="I7" s="84">
        <v>10000</v>
      </c>
      <c r="J7" t="s">
        <v>95</v>
      </c>
    </row>
    <row r="8" spans="1:13">
      <c r="A8" t="s">
        <v>84</v>
      </c>
      <c r="B8" s="80">
        <f>'All stations'!P15</f>
        <v>11380608</v>
      </c>
      <c r="C8" t="s">
        <v>85</v>
      </c>
      <c r="D8" s="120"/>
    </row>
    <row r="10" spans="1:13">
      <c r="A10" s="64" t="s">
        <v>136</v>
      </c>
    </row>
    <row r="11" spans="1:13">
      <c r="A11" t="s">
        <v>78</v>
      </c>
      <c r="G11" s="66">
        <f>G4/$L$1</f>
        <v>1.9845644983461963</v>
      </c>
      <c r="H11" s="66">
        <f t="shared" ref="H11:I11" si="1">H4/$L$1</f>
        <v>4.0793825799338475</v>
      </c>
      <c r="I11" s="66">
        <f t="shared" si="1"/>
        <v>7.6074972436604194</v>
      </c>
      <c r="J11" t="s">
        <v>159</v>
      </c>
    </row>
    <row r="12" spans="1:13">
      <c r="A12" t="s">
        <v>83</v>
      </c>
      <c r="G12" s="66">
        <f t="shared" ref="G12:I14" si="2">G5/$L$1</f>
        <v>0.74972436604189641</v>
      </c>
      <c r="H12" s="66">
        <f t="shared" si="2"/>
        <v>1.0804851157662625</v>
      </c>
      <c r="I12" s="66">
        <f t="shared" si="2"/>
        <v>1.9845644983461963</v>
      </c>
      <c r="J12" t="s">
        <v>159</v>
      </c>
    </row>
    <row r="13" spans="1:13">
      <c r="A13" t="s">
        <v>81</v>
      </c>
      <c r="G13" s="66">
        <f t="shared" si="2"/>
        <v>0.15435501653803749</v>
      </c>
      <c r="H13" s="66">
        <f t="shared" si="2"/>
        <v>0.26460859977949286</v>
      </c>
      <c r="I13" s="66">
        <f t="shared" si="2"/>
        <v>0.54024255788313125</v>
      </c>
      <c r="J13" t="s">
        <v>159</v>
      </c>
    </row>
    <row r="14" spans="1:13">
      <c r="A14" t="s">
        <v>82</v>
      </c>
      <c r="G14" s="66">
        <f t="shared" si="2"/>
        <v>2.8665931642778388</v>
      </c>
      <c r="H14" s="66">
        <f t="shared" si="2"/>
        <v>5.1819184123484012</v>
      </c>
      <c r="I14" s="66">
        <f t="shared" si="2"/>
        <v>11.025358324145534</v>
      </c>
      <c r="J14" t="s">
        <v>159</v>
      </c>
    </row>
    <row r="15" spans="1:13">
      <c r="M15" s="64" t="s">
        <v>102</v>
      </c>
    </row>
    <row r="16" spans="1:13" ht="15" customHeight="1">
      <c r="A16" s="64" t="s">
        <v>160</v>
      </c>
      <c r="E16" t="s">
        <v>97</v>
      </c>
      <c r="G16">
        <v>5</v>
      </c>
      <c r="H16">
        <v>25</v>
      </c>
      <c r="I16">
        <v>75</v>
      </c>
      <c r="K16" s="64" t="s">
        <v>163</v>
      </c>
      <c r="L16" s="64" t="s">
        <v>164</v>
      </c>
      <c r="M16" s="65" t="s">
        <v>161</v>
      </c>
    </row>
    <row r="17" spans="1:13">
      <c r="A17" t="s">
        <v>78</v>
      </c>
      <c r="E17" s="102">
        <f>E4</f>
        <v>15.684562733169496</v>
      </c>
      <c r="F17" t="s">
        <v>78</v>
      </c>
      <c r="G17" s="66">
        <f t="shared" ref="G17:I20" si="3">$D4*G11</f>
        <v>3.3539140022050717</v>
      </c>
      <c r="H17" s="66">
        <f t="shared" si="3"/>
        <v>6.8941565600882022</v>
      </c>
      <c r="I17" s="66">
        <f t="shared" si="3"/>
        <v>12.856670341786108</v>
      </c>
      <c r="J17" t="s">
        <v>162</v>
      </c>
      <c r="K17" s="92">
        <f>SLOPE(G17:I17,$G$16:$I$16)</f>
        <v>0.13257993384785008</v>
      </c>
      <c r="L17">
        <f>INTERCEPT(G17:I17,$G$16:$I$16)</f>
        <v>3.0612826166850411</v>
      </c>
      <c r="M17" s="141">
        <f>E17*K17+L17</f>
        <v>5.140740906281108</v>
      </c>
    </row>
    <row r="18" spans="1:13">
      <c r="A18" t="s">
        <v>83</v>
      </c>
      <c r="E18" s="102">
        <f>E5</f>
        <v>39.265186549682987</v>
      </c>
      <c r="F18" t="s">
        <v>83</v>
      </c>
      <c r="G18" s="66">
        <f t="shared" si="3"/>
        <v>1.1395810363836825</v>
      </c>
      <c r="H18" s="66">
        <f t="shared" si="3"/>
        <v>1.6423373759647191</v>
      </c>
      <c r="I18" s="66">
        <f t="shared" si="3"/>
        <v>3.0165380374862183</v>
      </c>
      <c r="J18" t="s">
        <v>162</v>
      </c>
      <c r="K18" s="92">
        <f t="shared" ref="K18:K20" si="4">SLOPE(G18:I18,$G$16:$I$16)</f>
        <v>2.6942583326265791E-2</v>
      </c>
      <c r="L18">
        <f t="shared" ref="L18:L20" si="5">INTERCEPT(G18:I18,$G$16:$I$16)</f>
        <v>0.98982840019223739</v>
      </c>
      <c r="M18" s="141">
        <f t="shared" ref="M18:M20" si="6">E18*K18+L18</f>
        <v>2.0477339606284422</v>
      </c>
    </row>
    <row r="19" spans="1:13">
      <c r="A19" t="s">
        <v>81</v>
      </c>
      <c r="E19" s="102">
        <f>E6</f>
        <v>59.757766449274982</v>
      </c>
      <c r="F19" t="s">
        <v>81</v>
      </c>
      <c r="G19" s="66">
        <f t="shared" si="3"/>
        <v>4.1675854465270126E-2</v>
      </c>
      <c r="H19" s="66">
        <f t="shared" si="3"/>
        <v>7.1444321940463074E-2</v>
      </c>
      <c r="I19" s="66">
        <f t="shared" si="3"/>
        <v>0.14586549062844545</v>
      </c>
      <c r="J19" t="s">
        <v>162</v>
      </c>
      <c r="K19" s="92">
        <f t="shared" si="4"/>
        <v>1.4884233737596474E-3</v>
      </c>
      <c r="L19">
        <f t="shared" si="5"/>
        <v>3.4233737596471886E-2</v>
      </c>
      <c r="M19" s="141">
        <f t="shared" si="6"/>
        <v>0.12317859394324282</v>
      </c>
    </row>
    <row r="20" spans="1:13">
      <c r="A20" t="s">
        <v>82</v>
      </c>
      <c r="E20" s="102">
        <f>E7</f>
        <v>52.315819547406726</v>
      </c>
      <c r="F20" t="s">
        <v>82</v>
      </c>
      <c r="G20" s="66">
        <f t="shared" si="3"/>
        <v>0.48732083792723263</v>
      </c>
      <c r="H20" s="66">
        <f t="shared" si="3"/>
        <v>0.88092613009922827</v>
      </c>
      <c r="I20" s="66">
        <f t="shared" si="3"/>
        <v>1.874310915104741</v>
      </c>
      <c r="J20" t="s">
        <v>162</v>
      </c>
      <c r="K20" s="92">
        <f t="shared" si="4"/>
        <v>1.9824442371300148E-2</v>
      </c>
      <c r="L20">
        <f t="shared" si="5"/>
        <v>0.38699714471489532</v>
      </c>
      <c r="M20" s="141">
        <f t="shared" si="6"/>
        <v>1.424129094439798</v>
      </c>
    </row>
    <row r="21" spans="1:13">
      <c r="A21" t="s">
        <v>96</v>
      </c>
      <c r="G21" s="66">
        <f>SUM(G17:G20)</f>
        <v>5.0224917309812573</v>
      </c>
      <c r="H21" s="66">
        <f t="shared" ref="H21:I21" si="7">SUM(H17:H20)</f>
        <v>9.4888643880926118</v>
      </c>
      <c r="I21" s="66">
        <f t="shared" si="7"/>
        <v>17.893384785005512</v>
      </c>
      <c r="J21" t="s">
        <v>162</v>
      </c>
      <c r="M21" s="90">
        <f>SUM(M17:M20)</f>
        <v>8.735782555292591</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6"/>
  <sheetViews>
    <sheetView workbookViewId="0">
      <selection activeCell="T6" sqref="T6"/>
    </sheetView>
  </sheetViews>
  <sheetFormatPr defaultRowHeight="12.75"/>
  <cols>
    <col min="3" max="3" width="9.33203125" customWidth="1"/>
    <col min="10" max="10" width="5.83203125" customWidth="1"/>
    <col min="11" max="11" width="6" customWidth="1"/>
    <col min="12" max="12" width="12.83203125" customWidth="1"/>
    <col min="13" max="13" width="14.1640625" customWidth="1"/>
    <col min="15" max="15" width="18.6640625" customWidth="1"/>
    <col min="16" max="16" width="17" customWidth="1"/>
    <col min="17" max="17" width="9.33203125" customWidth="1"/>
    <col min="18" max="18" width="4.83203125" customWidth="1"/>
    <col min="19" max="19" width="10" bestFit="1" customWidth="1"/>
    <col min="20" max="20" width="18.83203125" customWidth="1"/>
    <col min="21" max="21" width="16.1640625" bestFit="1" customWidth="1"/>
  </cols>
  <sheetData>
    <row r="1" spans="12:22">
      <c r="N1" s="64" t="s">
        <v>208</v>
      </c>
    </row>
    <row r="2" spans="12:22" ht="15">
      <c r="N2" s="171" t="s">
        <v>210</v>
      </c>
      <c r="O2" s="171"/>
      <c r="P2" s="170">
        <v>49288.052348725818</v>
      </c>
      <c r="Q2" s="171" t="s">
        <v>209</v>
      </c>
      <c r="R2" s="64" t="s">
        <v>212</v>
      </c>
    </row>
    <row r="3" spans="12:22" ht="15">
      <c r="N3" s="171" t="s">
        <v>207</v>
      </c>
      <c r="O3" s="171"/>
      <c r="P3" s="170">
        <v>38312.672192261278</v>
      </c>
      <c r="Q3" s="171" t="s">
        <v>209</v>
      </c>
      <c r="R3" s="64" t="s">
        <v>213</v>
      </c>
    </row>
    <row r="4" spans="12:22">
      <c r="N4" s="64" t="s">
        <v>211</v>
      </c>
      <c r="P4" s="169">
        <f>P3/P2</f>
        <v>0.77732169088746161</v>
      </c>
    </row>
    <row r="5" spans="12:22">
      <c r="N5" s="64" t="s">
        <v>214</v>
      </c>
      <c r="P5">
        <v>0.96230000000000004</v>
      </c>
    </row>
    <row r="10" spans="12:22">
      <c r="M10" s="94" t="s">
        <v>201</v>
      </c>
      <c r="S10" s="118" t="s">
        <v>202</v>
      </c>
      <c r="T10" s="118"/>
      <c r="U10" s="72"/>
    </row>
    <row r="11" spans="12:22">
      <c r="M11" s="64" t="s">
        <v>102</v>
      </c>
      <c r="N11" s="64" t="s">
        <v>100</v>
      </c>
      <c r="O11" s="64" t="s">
        <v>101</v>
      </c>
      <c r="P11" s="64" t="s">
        <v>140</v>
      </c>
      <c r="Q11" s="64" t="s">
        <v>103</v>
      </c>
      <c r="S11" s="73" t="s">
        <v>139</v>
      </c>
      <c r="T11" s="72"/>
      <c r="U11" s="73" t="s">
        <v>107</v>
      </c>
    </row>
    <row r="12" spans="12:22">
      <c r="N12" s="31"/>
      <c r="O12" s="32"/>
      <c r="P12" s="89"/>
      <c r="S12" s="142"/>
      <c r="T12" s="73"/>
      <c r="U12" s="72"/>
      <c r="V12" s="64"/>
    </row>
    <row r="13" spans="12:22">
      <c r="L13" s="64" t="s">
        <v>106</v>
      </c>
      <c r="M13" s="119">
        <v>304700000</v>
      </c>
      <c r="N13" s="31">
        <v>2180</v>
      </c>
      <c r="O13" s="32">
        <v>0.9</v>
      </c>
      <c r="P13" s="89">
        <f>N13*O13*356*24</f>
        <v>16763328</v>
      </c>
      <c r="Q13" s="90">
        <f>M13/P13</f>
        <v>18.17658164297686</v>
      </c>
      <c r="S13" s="91">
        <f>'Loy Yang A'!M21</f>
        <v>17.092895241691956</v>
      </c>
      <c r="T13" s="91"/>
      <c r="U13" s="122">
        <f t="shared" ref="U13:U14" si="0">S13*P13</f>
        <v>286533809.40612155</v>
      </c>
      <c r="V13" s="125"/>
    </row>
    <row r="14" spans="12:22">
      <c r="L14" s="64" t="s">
        <v>105</v>
      </c>
      <c r="M14" s="119">
        <v>125000000</v>
      </c>
      <c r="N14" s="31">
        <v>1000</v>
      </c>
      <c r="O14" s="32">
        <v>0.9</v>
      </c>
      <c r="P14" s="89">
        <f>N14*O14*356*24</f>
        <v>7689600</v>
      </c>
      <c r="Q14" s="90">
        <f>M14/P14</f>
        <v>16.255722014148979</v>
      </c>
      <c r="S14" s="91">
        <f>'Loy Yang B'!M21</f>
        <v>14.199900569871232</v>
      </c>
      <c r="T14" s="91"/>
      <c r="U14" s="122">
        <f t="shared" si="0"/>
        <v>109191555.42208183</v>
      </c>
      <c r="V14" s="125"/>
    </row>
    <row r="15" spans="12:22">
      <c r="L15" s="64" t="s">
        <v>199</v>
      </c>
      <c r="M15" s="119">
        <v>130800000</v>
      </c>
      <c r="N15" s="31">
        <v>1480</v>
      </c>
      <c r="O15" s="32">
        <v>0.9</v>
      </c>
      <c r="P15" s="89">
        <f>N15*O15*356*24</f>
        <v>11380608</v>
      </c>
      <c r="Q15" s="90">
        <f>M15/P15</f>
        <v>11.493234807841549</v>
      </c>
      <c r="S15" s="158">
        <f>Yallourn!M21</f>
        <v>8.735782555292591</v>
      </c>
      <c r="T15" s="143"/>
      <c r="U15" s="122">
        <f>S15*P15</f>
        <v>99418516.835023299</v>
      </c>
      <c r="V15" s="125"/>
    </row>
    <row r="16" spans="12:22">
      <c r="M16" s="150">
        <f>SUM(M13:M15)</f>
        <v>560500000</v>
      </c>
      <c r="N16" s="64"/>
      <c r="O16" s="64"/>
      <c r="P16" s="149">
        <f>SUM(P13:P15)</f>
        <v>35833536</v>
      </c>
      <c r="Q16" s="64"/>
      <c r="R16" s="64"/>
      <c r="S16" s="73"/>
      <c r="T16" s="73"/>
      <c r="U16" s="148">
        <f>SUM(U13:U15)</f>
        <v>495143881.66322666</v>
      </c>
    </row>
    <row r="17" spans="1:21">
      <c r="M17" s="64"/>
      <c r="N17" s="64"/>
      <c r="O17" s="64"/>
      <c r="P17" s="64" t="s">
        <v>108</v>
      </c>
      <c r="Q17" s="147">
        <f>M16/P16</f>
        <v>15.641771998163955</v>
      </c>
      <c r="R17" s="64"/>
      <c r="S17" s="73"/>
      <c r="T17" s="73" t="s">
        <v>200</v>
      </c>
      <c r="U17" s="144">
        <f>U16/P16</f>
        <v>13.817890639182989</v>
      </c>
    </row>
    <row r="18" spans="1:21">
      <c r="M18" s="64"/>
      <c r="N18" s="64"/>
      <c r="O18" s="64"/>
      <c r="P18" s="64" t="s">
        <v>203</v>
      </c>
      <c r="Q18" s="162">
        <f>Q17/10</f>
        <v>1.5641771998163956</v>
      </c>
      <c r="R18" s="64"/>
      <c r="S18" s="73"/>
      <c r="T18" s="73" t="s">
        <v>167</v>
      </c>
      <c r="U18" s="163">
        <f>U17/10</f>
        <v>1.381789063918299</v>
      </c>
    </row>
    <row r="19" spans="1:21">
      <c r="P19" s="64" t="s">
        <v>204</v>
      </c>
      <c r="Q19">
        <v>1.6819999999999999</v>
      </c>
      <c r="S19" s="72"/>
      <c r="T19" s="73" t="s">
        <v>205</v>
      </c>
      <c r="U19" s="164">
        <v>1.28</v>
      </c>
    </row>
    <row r="20" spans="1:21">
      <c r="P20" s="64" t="s">
        <v>203</v>
      </c>
      <c r="Q20" s="126">
        <f>Q18*Q19</f>
        <v>2.6309460500911772</v>
      </c>
      <c r="S20" s="72"/>
      <c r="T20" s="73" t="s">
        <v>165</v>
      </c>
      <c r="U20" s="165">
        <v>1.42</v>
      </c>
    </row>
    <row r="21" spans="1:21">
      <c r="S21" s="72"/>
      <c r="T21" s="118" t="s">
        <v>166</v>
      </c>
      <c r="U21" s="166">
        <f>U18*U19*U20</f>
        <v>2.5115398025779001</v>
      </c>
    </row>
    <row r="26" spans="1:21">
      <c r="A26" s="64" t="s">
        <v>206</v>
      </c>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
  <sheetViews>
    <sheetView topLeftCell="A2" zoomScale="115" zoomScaleNormal="115" workbookViewId="0">
      <selection activeCell="F31" sqref="F31"/>
    </sheetView>
  </sheetViews>
  <sheetFormatPr defaultRowHeight="12.75"/>
  <cols>
    <col min="2" max="2" width="10.6640625" customWidth="1"/>
    <col min="3" max="3" width="12.5" bestFit="1" customWidth="1"/>
    <col min="4" max="4" width="12.1640625" customWidth="1"/>
    <col min="5" max="5" width="11.33203125" customWidth="1"/>
    <col min="6" max="6" width="17.1640625" customWidth="1"/>
  </cols>
  <sheetData>
    <row r="1" spans="2:6">
      <c r="B1" t="s">
        <v>146</v>
      </c>
      <c r="C1" t="s">
        <v>147</v>
      </c>
      <c r="D1" t="s">
        <v>148</v>
      </c>
      <c r="E1" t="s">
        <v>149</v>
      </c>
      <c r="F1" t="s">
        <v>150</v>
      </c>
    </row>
    <row r="3" spans="2:6">
      <c r="C3" s="72" t="s">
        <v>106</v>
      </c>
      <c r="D3" s="133" t="s">
        <v>105</v>
      </c>
      <c r="E3" s="128" t="s">
        <v>104</v>
      </c>
      <c r="F3" s="64" t="s">
        <v>156</v>
      </c>
    </row>
    <row r="4" spans="2:6">
      <c r="B4" s="64" t="s">
        <v>144</v>
      </c>
      <c r="F4" s="64" t="s">
        <v>153</v>
      </c>
    </row>
    <row r="5" spans="2:6">
      <c r="B5" t="s">
        <v>78</v>
      </c>
      <c r="C5" s="72">
        <v>3.17</v>
      </c>
      <c r="D5" s="133">
        <v>2.72</v>
      </c>
      <c r="E5" s="128">
        <v>1.69</v>
      </c>
    </row>
    <row r="6" spans="2:6">
      <c r="B6" t="s">
        <v>83</v>
      </c>
      <c r="C6" s="72">
        <v>1.32</v>
      </c>
      <c r="D6" s="133">
        <v>1.66</v>
      </c>
      <c r="E6" s="128">
        <v>1.52</v>
      </c>
    </row>
    <row r="7" spans="2:6">
      <c r="B7" t="s">
        <v>81</v>
      </c>
      <c r="C7" s="72">
        <v>0.23</v>
      </c>
      <c r="D7" s="133">
        <v>0.18</v>
      </c>
      <c r="E7" s="128">
        <v>0.27</v>
      </c>
    </row>
    <row r="8" spans="2:6">
      <c r="B8" t="s">
        <v>82</v>
      </c>
      <c r="C8" s="72">
        <v>0.12</v>
      </c>
      <c r="D8" s="133">
        <v>0.1</v>
      </c>
      <c r="E8" s="128">
        <v>0.17</v>
      </c>
    </row>
    <row r="9" spans="2:6">
      <c r="B9" s="64" t="s">
        <v>143</v>
      </c>
      <c r="F9" s="64" t="s">
        <v>153</v>
      </c>
    </row>
    <row r="10" spans="2:6">
      <c r="B10" t="s">
        <v>78</v>
      </c>
      <c r="C10" s="107">
        <v>35.738540431853778</v>
      </c>
      <c r="D10" s="134">
        <v>28.761976028907664</v>
      </c>
      <c r="E10" s="129">
        <v>15.684562733169496</v>
      </c>
    </row>
    <row r="11" spans="2:6">
      <c r="B11" t="s">
        <v>83</v>
      </c>
      <c r="C11" s="107">
        <v>30.122603024393204</v>
      </c>
      <c r="D11" s="134">
        <v>48.3083819123704</v>
      </c>
      <c r="E11" s="129">
        <v>39.265186549682987</v>
      </c>
    </row>
    <row r="12" spans="2:6">
      <c r="B12" t="s">
        <v>81</v>
      </c>
      <c r="C12" s="107">
        <v>52.515637185957182</v>
      </c>
      <c r="D12" s="134">
        <v>39.320226775060696</v>
      </c>
      <c r="E12" s="129">
        <v>59.757766449274982</v>
      </c>
    </row>
    <row r="13" spans="2:6">
      <c r="B13" t="s">
        <v>82</v>
      </c>
      <c r="C13" s="107">
        <v>37.857536051638178</v>
      </c>
      <c r="D13" s="134">
        <v>29.467437018235195</v>
      </c>
      <c r="E13" s="129">
        <v>52.315819547406726</v>
      </c>
    </row>
    <row r="14" spans="2:6">
      <c r="B14" s="64" t="s">
        <v>145</v>
      </c>
      <c r="F14" t="s">
        <v>128</v>
      </c>
    </row>
    <row r="15" spans="2:6">
      <c r="B15" t="s">
        <v>78</v>
      </c>
      <c r="C15" s="91">
        <f>'Loy Yang A'!M17</f>
        <v>14.629823750993969</v>
      </c>
      <c r="D15" s="135">
        <f>'Loy Yang B'!M17</f>
        <v>11.064354028954149</v>
      </c>
      <c r="E15" s="130">
        <f>Yallourn!M17</f>
        <v>5.140740906281108</v>
      </c>
    </row>
    <row r="16" spans="2:6">
      <c r="B16" t="s">
        <v>83</v>
      </c>
      <c r="C16" s="91">
        <f>'Loy Yang A'!M18</f>
        <v>1.5643816234729537</v>
      </c>
      <c r="D16" s="135">
        <f>'Loy Yang B'!M18</f>
        <v>2.5024292557044459</v>
      </c>
      <c r="E16" s="130">
        <f>Yallourn!M18</f>
        <v>2.0477339606284422</v>
      </c>
    </row>
    <row r="17" spans="2:12">
      <c r="B17" t="s">
        <v>81</v>
      </c>
      <c r="C17" s="91">
        <f>'Loy Yang A'!M19</f>
        <v>9.5747500290904924E-2</v>
      </c>
      <c r="D17" s="135">
        <f>'Loy Yang B'!M19</f>
        <v>6.1839254793334762E-2</v>
      </c>
      <c r="E17" s="130">
        <f>Yallourn!M19</f>
        <v>0.12317859394324282</v>
      </c>
    </row>
    <row r="18" spans="2:12">
      <c r="B18" t="s">
        <v>82</v>
      </c>
      <c r="C18" s="91">
        <f>'Loy Yang A'!M20</f>
        <v>0.80294236693412768</v>
      </c>
      <c r="D18" s="135">
        <f>'Loy Yang B'!M20</f>
        <v>0.57127803041930347</v>
      </c>
      <c r="E18" s="130">
        <f>Yallourn!M20</f>
        <v>1.424129094439798</v>
      </c>
    </row>
    <row r="19" spans="2:12">
      <c r="B19" s="94" t="s">
        <v>96</v>
      </c>
      <c r="C19" s="127">
        <f>SUM(C15:C18)</f>
        <v>17.092895241691956</v>
      </c>
      <c r="D19" s="136">
        <f t="shared" ref="D19:E19" si="0">SUM(D15:D18)</f>
        <v>14.199900569871232</v>
      </c>
      <c r="E19" s="131">
        <f t="shared" si="0"/>
        <v>8.735782555292591</v>
      </c>
    </row>
    <row r="20" spans="2:12">
      <c r="B20" s="64" t="s">
        <v>152</v>
      </c>
      <c r="F20" s="64" t="s">
        <v>154</v>
      </c>
    </row>
    <row r="21" spans="2:12">
      <c r="C21" s="75">
        <f>'All stations'!P13/1000</f>
        <v>16763.328000000001</v>
      </c>
      <c r="D21" s="137">
        <f>'All stations'!P14/1000</f>
        <v>7689.6</v>
      </c>
      <c r="E21" s="132">
        <f>'All stations'!P15/1000</f>
        <v>11380.608</v>
      </c>
      <c r="F21" s="138">
        <f>SUM(C21:E21)</f>
        <v>35833.536</v>
      </c>
    </row>
    <row r="22" spans="2:12">
      <c r="C22" s="72"/>
      <c r="D22" s="133"/>
      <c r="E22" s="128"/>
      <c r="F22" s="64" t="s">
        <v>155</v>
      </c>
    </row>
    <row r="23" spans="2:12">
      <c r="C23" s="64" t="s">
        <v>197</v>
      </c>
      <c r="F23" s="64"/>
    </row>
    <row r="24" spans="2:12" ht="15">
      <c r="C24" s="75">
        <f>C19*C21/1000</f>
        <v>286.53380940612158</v>
      </c>
      <c r="D24" s="137">
        <f>D19*D21/1000</f>
        <v>109.19155542208183</v>
      </c>
      <c r="E24" s="132">
        <f>E19*E21/1000</f>
        <v>99.418516835023297</v>
      </c>
      <c r="F24" s="139">
        <f>SUM(C24:E24)</f>
        <v>495.14388166322669</v>
      </c>
      <c r="H24" s="146">
        <v>8</v>
      </c>
      <c r="I24">
        <v>0.4</v>
      </c>
    </row>
    <row r="25" spans="2:12">
      <c r="F25" s="64" t="s">
        <v>155</v>
      </c>
      <c r="I25">
        <v>2.5</v>
      </c>
      <c r="L25">
        <v>8</v>
      </c>
    </row>
    <row r="26" spans="2:12">
      <c r="B26" s="64" t="s">
        <v>151</v>
      </c>
      <c r="C26" s="64"/>
      <c r="D26" s="64"/>
      <c r="E26" s="64"/>
      <c r="F26" s="140">
        <f>'All stations'!U21</f>
        <v>2.5115398025779001</v>
      </c>
    </row>
    <row r="27" spans="2:12">
      <c r="B27" s="64" t="s">
        <v>157</v>
      </c>
      <c r="E27" s="66">
        <f>'PV generation vs export'!C31</f>
        <v>1.4875679997498805</v>
      </c>
      <c r="F27" s="66">
        <f>F26*Table2[[#This Row],[Column4]]</f>
        <v>3.7360862404130168</v>
      </c>
      <c r="L27">
        <v>0.1</v>
      </c>
    </row>
    <row r="28" spans="2:12">
      <c r="B28" s="64" t="s">
        <v>158</v>
      </c>
      <c r="E28" s="168">
        <f>'All stations'!P4</f>
        <v>0.77732169088746161</v>
      </c>
      <c r="F28" s="66">
        <f>F27*Table2[[#This Row],[Column4]]</f>
        <v>2.9041408736992258</v>
      </c>
    </row>
    <row r="29" spans="2:12">
      <c r="B29" s="94" t="s">
        <v>198</v>
      </c>
      <c r="C29" s="94"/>
      <c r="D29" s="94"/>
      <c r="E29" s="94"/>
      <c r="F29" s="126">
        <f>F28</f>
        <v>2.9041408736992258</v>
      </c>
      <c r="K29">
        <v>0.4</v>
      </c>
      <c r="L29">
        <f t="shared" ref="L29" si="1">K29*1.5</f>
        <v>0.60000000000000009</v>
      </c>
    </row>
    <row r="31" spans="2:12">
      <c r="K31">
        <v>2.5</v>
      </c>
      <c r="L31">
        <v>3.8</v>
      </c>
    </row>
    <row r="32" spans="2:12">
      <c r="L32" s="66">
        <f>F29</f>
        <v>2.9041408736992258</v>
      </c>
    </row>
    <row r="33" spans="12:12">
      <c r="L33" s="102">
        <f>SUM(L25:L32)</f>
        <v>15.404140873699227</v>
      </c>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topLeftCell="A4" workbookViewId="0">
      <selection activeCell="J37" sqref="J37"/>
    </sheetView>
  </sheetViews>
  <sheetFormatPr defaultRowHeight="12.75"/>
  <cols>
    <col min="1" max="1" width="11" customWidth="1"/>
    <col min="2" max="2" width="14.6640625" customWidth="1"/>
    <col min="3" max="4" width="12.6640625" customWidth="1"/>
    <col min="5" max="5" width="15.1640625" customWidth="1"/>
    <col min="6" max="6" width="15" customWidth="1"/>
    <col min="7" max="7" width="16.6640625" customWidth="1"/>
    <col min="8" max="8" width="16.1640625" customWidth="1"/>
    <col min="9" max="9" width="14.83203125" customWidth="1"/>
    <col min="10" max="10" width="15.83203125" customWidth="1"/>
  </cols>
  <sheetData>
    <row r="1" spans="1:11">
      <c r="A1" t="s">
        <v>110</v>
      </c>
      <c r="G1" s="64" t="s">
        <v>215</v>
      </c>
    </row>
    <row r="2" spans="1:11">
      <c r="A2" t="s">
        <v>187</v>
      </c>
      <c r="G2" s="64" t="s">
        <v>216</v>
      </c>
      <c r="K2" t="s">
        <v>193</v>
      </c>
    </row>
    <row r="3" spans="1:11" ht="38.25">
      <c r="A3" s="157" t="s">
        <v>169</v>
      </c>
      <c r="B3" s="157" t="s">
        <v>170</v>
      </c>
      <c r="C3" s="157" t="s">
        <v>171</v>
      </c>
      <c r="D3" s="157" t="s">
        <v>172</v>
      </c>
      <c r="E3" s="157" t="s">
        <v>173</v>
      </c>
      <c r="F3" s="157" t="s">
        <v>174</v>
      </c>
      <c r="G3" s="157" t="s">
        <v>175</v>
      </c>
      <c r="H3" s="157" t="s">
        <v>176</v>
      </c>
      <c r="I3" s="157" t="s">
        <v>177</v>
      </c>
      <c r="J3" s="157" t="s">
        <v>178</v>
      </c>
    </row>
    <row r="4" spans="1:11">
      <c r="A4" s="156" t="s">
        <v>179</v>
      </c>
      <c r="B4" s="156">
        <v>579133</v>
      </c>
      <c r="C4" s="156">
        <v>32.6</v>
      </c>
      <c r="D4" s="156">
        <v>3536352</v>
      </c>
      <c r="E4" s="156">
        <v>1935.4</v>
      </c>
      <c r="F4" s="156">
        <v>285.39999999999998</v>
      </c>
      <c r="G4" s="156">
        <v>1315.5</v>
      </c>
      <c r="H4" s="156">
        <v>565642</v>
      </c>
      <c r="I4" s="156">
        <v>13391</v>
      </c>
      <c r="J4" s="156">
        <v>100</v>
      </c>
    </row>
    <row r="5" spans="1:11">
      <c r="A5" s="156" t="s">
        <v>180</v>
      </c>
      <c r="B5" s="156">
        <v>235619</v>
      </c>
      <c r="C5" s="156">
        <v>32.1</v>
      </c>
      <c r="D5" s="156">
        <v>1263787</v>
      </c>
      <c r="E5" s="156">
        <v>754.1</v>
      </c>
      <c r="F5" s="156">
        <v>186.9</v>
      </c>
      <c r="G5" s="156">
        <v>322.8</v>
      </c>
      <c r="H5" s="156">
        <v>226110</v>
      </c>
      <c r="I5" s="156">
        <v>9427</v>
      </c>
      <c r="J5" s="156">
        <v>82</v>
      </c>
    </row>
    <row r="6" spans="1:11">
      <c r="A6" s="156" t="s">
        <v>181</v>
      </c>
      <c r="B6" s="156">
        <v>273262</v>
      </c>
      <c r="C6" s="156">
        <v>26.1</v>
      </c>
      <c r="D6" s="156">
        <v>1044635</v>
      </c>
      <c r="E6" s="156">
        <v>843.7</v>
      </c>
      <c r="F6" s="156">
        <v>147</v>
      </c>
      <c r="G6" s="156">
        <v>53.9</v>
      </c>
      <c r="H6" s="156">
        <v>267495</v>
      </c>
      <c r="I6" s="156">
        <v>5708</v>
      </c>
      <c r="J6" s="156">
        <v>59</v>
      </c>
    </row>
    <row r="7" spans="1:11">
      <c r="A7" s="156" t="s">
        <v>182</v>
      </c>
      <c r="B7" s="156">
        <v>441223</v>
      </c>
      <c r="C7" s="156">
        <v>17.8</v>
      </c>
      <c r="D7" s="156">
        <v>2342365</v>
      </c>
      <c r="E7" s="156">
        <v>1311.1</v>
      </c>
      <c r="F7" s="156">
        <v>388.1</v>
      </c>
      <c r="G7" s="156">
        <v>643.1</v>
      </c>
      <c r="H7" s="156">
        <v>422642</v>
      </c>
      <c r="I7" s="156">
        <v>18456</v>
      </c>
      <c r="J7" s="156">
        <v>125</v>
      </c>
    </row>
    <row r="8" spans="1:11">
      <c r="A8" s="145" t="s">
        <v>183</v>
      </c>
      <c r="B8" s="145">
        <v>358092</v>
      </c>
      <c r="C8" s="145">
        <v>15.6</v>
      </c>
      <c r="D8" s="145">
        <v>1613882</v>
      </c>
      <c r="E8" s="145">
        <v>1111.3</v>
      </c>
      <c r="F8" s="145">
        <v>264.8</v>
      </c>
      <c r="G8" s="145">
        <v>237.8</v>
      </c>
      <c r="H8" s="145">
        <v>346419</v>
      </c>
      <c r="I8" s="145">
        <v>11554</v>
      </c>
      <c r="J8" s="145">
        <v>119</v>
      </c>
    </row>
    <row r="9" spans="1:11">
      <c r="A9" s="156" t="s">
        <v>184</v>
      </c>
      <c r="B9" s="156">
        <v>21395</v>
      </c>
      <c r="C9" s="156">
        <v>14.2</v>
      </c>
      <c r="D9" s="156">
        <v>131879</v>
      </c>
      <c r="E9" s="156">
        <v>68.900000000000006</v>
      </c>
      <c r="F9" s="156">
        <v>13</v>
      </c>
      <c r="G9" s="156">
        <v>49.9</v>
      </c>
      <c r="H9" s="156">
        <v>20819</v>
      </c>
      <c r="I9" s="156">
        <v>560</v>
      </c>
      <c r="J9" s="156">
        <v>16</v>
      </c>
    </row>
    <row r="10" spans="1:11">
      <c r="A10" s="156" t="s">
        <v>185</v>
      </c>
      <c r="B10" s="156">
        <v>10139</v>
      </c>
      <c r="C10" s="156">
        <v>14.2</v>
      </c>
      <c r="D10" s="156">
        <v>82051</v>
      </c>
      <c r="E10" s="156">
        <v>44</v>
      </c>
      <c r="F10" s="156">
        <v>19.8</v>
      </c>
      <c r="G10" s="156">
        <v>18.3</v>
      </c>
      <c r="H10" s="156">
        <v>9605</v>
      </c>
      <c r="I10" s="156">
        <v>510</v>
      </c>
      <c r="J10" s="156">
        <v>24</v>
      </c>
    </row>
    <row r="11" spans="1:11">
      <c r="A11" s="156" t="s">
        <v>186</v>
      </c>
      <c r="B11" s="156">
        <v>32823</v>
      </c>
      <c r="C11" s="156">
        <v>14.1</v>
      </c>
      <c r="D11" s="156">
        <v>133831</v>
      </c>
      <c r="E11" s="156">
        <v>107.9</v>
      </c>
      <c r="F11" s="156">
        <v>20.399999999999999</v>
      </c>
      <c r="G11" s="156">
        <v>5.6</v>
      </c>
      <c r="H11" s="156">
        <v>31759</v>
      </c>
      <c r="I11" s="156">
        <v>1058</v>
      </c>
      <c r="J11" s="156">
        <v>6</v>
      </c>
    </row>
    <row r="13" spans="1:11">
      <c r="A13" s="64" t="s">
        <v>196</v>
      </c>
      <c r="D13">
        <f>E8+F8</f>
        <v>1376.1</v>
      </c>
    </row>
    <row r="14" spans="1:11">
      <c r="A14" s="64" t="s">
        <v>188</v>
      </c>
      <c r="D14">
        <f>H8+I8</f>
        <v>357973</v>
      </c>
    </row>
    <row r="15" spans="1:11">
      <c r="A15" s="94" t="s">
        <v>195</v>
      </c>
      <c r="B15" s="94"/>
      <c r="C15" s="94"/>
      <c r="D15" s="126">
        <f>D13/D14*1000</f>
        <v>3.8441446701287521</v>
      </c>
    </row>
    <row r="17" spans="1:11">
      <c r="A17" s="156" t="s">
        <v>189</v>
      </c>
      <c r="B17" s="156" t="s">
        <v>190</v>
      </c>
      <c r="C17" s="156" t="s">
        <v>191</v>
      </c>
      <c r="D17" s="156" t="s">
        <v>192</v>
      </c>
      <c r="E17" s="156"/>
      <c r="F17" s="156"/>
      <c r="G17" s="156"/>
      <c r="H17" s="156"/>
      <c r="I17" s="156"/>
      <c r="J17" s="156"/>
      <c r="K17" s="156"/>
    </row>
    <row r="18" spans="1:11">
      <c r="A18" s="156">
        <v>1</v>
      </c>
      <c r="B18" s="155">
        <v>28</v>
      </c>
      <c r="C18" s="155"/>
      <c r="D18" s="156">
        <v>-2.5022000000000002</v>
      </c>
      <c r="E18" s="156"/>
      <c r="F18" s="156"/>
      <c r="G18" s="156"/>
      <c r="H18" s="156"/>
      <c r="I18" s="156"/>
      <c r="J18" s="156"/>
      <c r="K18" s="156"/>
    </row>
    <row r="19" spans="1:11">
      <c r="A19" s="156">
        <v>1.5</v>
      </c>
      <c r="B19" s="155">
        <v>37</v>
      </c>
      <c r="C19" s="155"/>
      <c r="D19" s="156">
        <v>25.745999999999999</v>
      </c>
      <c r="E19" s="156"/>
      <c r="F19" s="156"/>
      <c r="G19" s="156"/>
      <c r="H19" s="156"/>
      <c r="I19" s="156"/>
      <c r="J19" s="156"/>
      <c r="K19" s="156"/>
    </row>
    <row r="20" spans="1:11">
      <c r="A20" s="156">
        <v>2</v>
      </c>
      <c r="B20" s="155">
        <v>49</v>
      </c>
      <c r="C20" s="155"/>
      <c r="D20" s="156">
        <v>5.2286000000000001</v>
      </c>
      <c r="E20" s="156"/>
      <c r="F20" s="156"/>
      <c r="G20" s="156"/>
      <c r="H20" s="156"/>
      <c r="I20" s="156"/>
      <c r="J20" s="156"/>
      <c r="K20" s="156"/>
    </row>
    <row r="21" spans="1:11">
      <c r="A21" s="156">
        <v>2.5</v>
      </c>
      <c r="B21" s="155">
        <v>54</v>
      </c>
      <c r="C21" s="155"/>
      <c r="D21" s="156"/>
      <c r="E21" s="156"/>
      <c r="F21" s="156"/>
      <c r="G21" s="156"/>
      <c r="H21" s="156"/>
      <c r="I21" s="156"/>
      <c r="J21" s="156"/>
      <c r="K21" s="156"/>
    </row>
    <row r="22" spans="1:11">
      <c r="A22" s="156">
        <v>3</v>
      </c>
      <c r="B22" s="155">
        <v>60</v>
      </c>
      <c r="C22" s="155"/>
      <c r="D22" s="156"/>
      <c r="E22" s="156"/>
      <c r="F22" s="156"/>
      <c r="G22" s="156"/>
      <c r="H22" s="156"/>
      <c r="I22" s="156"/>
      <c r="J22" s="156"/>
      <c r="K22" s="156"/>
    </row>
    <row r="23" spans="1:11">
      <c r="A23" s="156">
        <v>3.5</v>
      </c>
      <c r="B23" s="155">
        <v>67</v>
      </c>
      <c r="C23" s="155"/>
      <c r="D23" s="156"/>
      <c r="E23" s="156"/>
      <c r="F23" s="156"/>
      <c r="G23" s="156"/>
      <c r="H23" s="156"/>
      <c r="I23" s="156"/>
      <c r="J23" s="156"/>
      <c r="K23" s="156"/>
    </row>
    <row r="24" spans="1:11">
      <c r="A24" s="156">
        <v>4</v>
      </c>
      <c r="B24" s="155">
        <v>65</v>
      </c>
      <c r="C24" s="155"/>
      <c r="D24" s="156"/>
      <c r="E24" s="156"/>
      <c r="F24" s="156"/>
      <c r="G24" s="156"/>
      <c r="H24" s="156"/>
      <c r="I24" s="156"/>
      <c r="J24" s="156"/>
      <c r="K24" s="156"/>
    </row>
    <row r="25" spans="1:11">
      <c r="A25" s="156">
        <v>4.5</v>
      </c>
      <c r="B25" s="155">
        <v>68</v>
      </c>
      <c r="C25" s="155"/>
      <c r="D25" s="156"/>
      <c r="E25" s="156"/>
      <c r="F25" s="156"/>
      <c r="G25" s="156"/>
      <c r="H25" s="156"/>
      <c r="I25" s="156"/>
      <c r="J25" s="156"/>
      <c r="K25" s="156"/>
    </row>
    <row r="26" spans="1:11">
      <c r="A26" s="156">
        <v>5</v>
      </c>
      <c r="B26" s="155">
        <v>74</v>
      </c>
      <c r="C26" s="155"/>
      <c r="D26" s="156"/>
      <c r="E26" s="156"/>
      <c r="F26" s="156"/>
      <c r="G26" s="156"/>
      <c r="H26" s="156"/>
      <c r="I26" s="156"/>
      <c r="J26" s="156"/>
      <c r="K26" s="156"/>
    </row>
    <row r="27" spans="1:11">
      <c r="A27" s="154">
        <f>D15</f>
        <v>3.8441446701287521</v>
      </c>
      <c r="B27" s="153"/>
      <c r="C27" s="155">
        <f>$D$18*A27^2 + A27*$D$19 + $D$20</f>
        <v>67.223817678797872</v>
      </c>
      <c r="D27" s="152"/>
      <c r="E27" s="156"/>
      <c r="F27" s="156"/>
      <c r="G27" s="156"/>
      <c r="H27" s="156"/>
      <c r="I27" s="156"/>
      <c r="J27" s="156"/>
      <c r="K27" s="156"/>
    </row>
    <row r="28" spans="1:11">
      <c r="A28" s="64"/>
      <c r="B28" s="156"/>
      <c r="C28" s="156"/>
      <c r="D28" s="156"/>
      <c r="E28" s="156"/>
      <c r="F28" s="156"/>
      <c r="G28" s="156"/>
      <c r="H28" s="156"/>
      <c r="I28" s="156"/>
      <c r="J28" s="156"/>
      <c r="K28" s="156"/>
    </row>
    <row r="29" spans="1:11">
      <c r="A29" s="64"/>
      <c r="B29" s="156"/>
      <c r="C29" s="156"/>
      <c r="D29" s="156"/>
      <c r="E29" s="156"/>
      <c r="F29" s="156"/>
      <c r="G29" s="156"/>
      <c r="H29" s="156"/>
      <c r="I29" s="156"/>
      <c r="J29" s="156"/>
      <c r="K29" s="156"/>
    </row>
    <row r="30" spans="1:11">
      <c r="E30" s="156"/>
      <c r="F30" s="156"/>
      <c r="G30" s="156"/>
      <c r="H30" s="156"/>
      <c r="I30" s="156"/>
      <c r="J30" s="156"/>
      <c r="K30" s="156"/>
    </row>
    <row r="31" spans="1:11">
      <c r="A31" s="94" t="s">
        <v>194</v>
      </c>
      <c r="B31" s="151"/>
      <c r="C31" s="167">
        <f>100/C27</f>
        <v>1.4875679997498805</v>
      </c>
      <c r="D31" s="156"/>
      <c r="E31" s="156"/>
      <c r="F31" s="156"/>
      <c r="G31" s="156"/>
      <c r="H31" s="156"/>
      <c r="I31" s="156"/>
      <c r="J31" s="156"/>
      <c r="K31" s="156"/>
    </row>
    <row r="32" spans="1:11">
      <c r="A32" s="156"/>
      <c r="B32" s="156"/>
      <c r="C32" s="156"/>
      <c r="D32" s="156"/>
      <c r="E32" s="156"/>
      <c r="F32" s="156"/>
      <c r="G32" s="156"/>
      <c r="H32" s="156"/>
      <c r="I32" s="156"/>
      <c r="J32" s="156"/>
      <c r="K32" s="156"/>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Revised Table B7</vt:lpstr>
      <vt:lpstr>Pop density</vt:lpstr>
      <vt:lpstr>Table B2</vt:lpstr>
      <vt:lpstr>Loy Yang A</vt:lpstr>
      <vt:lpstr>Loy Yang B</vt:lpstr>
      <vt:lpstr>Yallourn</vt:lpstr>
      <vt:lpstr>All stations</vt:lpstr>
      <vt:lpstr>Summary</vt:lpstr>
      <vt:lpstr>PV generation vs export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Hazelwood Report_Social cost of carbon.pdf</dc:title>
  <dc:creator>seligmanp</dc:creator>
  <cp:lastModifiedBy>Sam Ryan</cp:lastModifiedBy>
  <dcterms:created xsi:type="dcterms:W3CDTF">2017-04-08T23:57:59Z</dcterms:created>
  <dcterms:modified xsi:type="dcterms:W3CDTF">2019-02-22T00:43:28Z</dcterms:modified>
</cp:coreProperties>
</file>