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escvic.sharepoint.com/teams/LocalGovernment-ESC-/Shared Documents/Higher caps/2025-26/Indigo/RFI response/"/>
    </mc:Choice>
  </mc:AlternateContent>
  <xr:revisionPtr revIDLastSave="33" documentId="8_{B1252B14-1700-4263-99E0-CD8724EAAF3B}" xr6:coauthVersionLast="47" xr6:coauthVersionMax="47" xr10:uidLastSave="{B39D23F1-1F07-4DE8-89D6-85FCB4341F28}"/>
  <workbookProtection workbookAlgorithmName="SHA-512" workbookHashValue="i8asq1nRKjbLyIVCu5RvC0M7HbH2GqJPcV/NppkK5lv6TBLQ6/rqgHX8Zi48YSpYXqTk+FX6ADJnSPG89aX4Kg==" workbookSaltValue="5lI6yduTPqKwG+nIYMBi2g==" workbookSpinCount="100000" lockStructure="1"/>
  <bookViews>
    <workbookView minimized="1" xWindow="9855" yWindow="1755" windowWidth="14685" windowHeight="10980" tabRatio="1000" firstSheet="1" activeTab="1" xr2:uid="{00000000-000D-0000-FFFF-FFFF00000000}"/>
  </bookViews>
  <sheets>
    <sheet name="1. Coversheet and instructions" sheetId="12" r:id="rId1"/>
    <sheet name="2. LTFP" sheetId="5" r:id="rId2"/>
    <sheet name="3. Service impacts" sheetId="6" r:id="rId3"/>
    <sheet name="4. Higher cap calculation" sheetId="10" r:id="rId4"/>
    <sheet name="5. Financial indicators" sheetId="9" r:id="rId5"/>
    <sheet name="6. Summary" sheetId="7" r:id="rId6"/>
    <sheet name="7. Charts" sheetId="13" r:id="rId7"/>
    <sheet name="8. Supp_waste - detailed" sheetId="15" r:id="rId8"/>
    <sheet name="9. Supp_waste - Long term" sheetId="16" r:id="rId9"/>
    <sheet name="A. Ref_hidden" sheetId="11" state="hidden" r:id="rId10"/>
    <sheet name="Information &amp; Instructions" sheetId="2" state="hidden" r:id="rId11"/>
  </sheets>
  <externalReferences>
    <externalReference r:id="rId12"/>
  </externalReferences>
  <definedNames>
    <definedName name="App_years">'1. Coversheet and instructions'!$C$11</definedName>
    <definedName name="AUD">#REF!</definedName>
    <definedName name="Capex_cat">'A. Ref_hidden'!$E$149:$E$153</definedName>
    <definedName name="Council">'1. Coversheet and instructions'!$C$7</definedName>
    <definedName name="DiY">#REF!</definedName>
    <definedName name="MdlTtl">[1]GEN_A!$E$11</definedName>
    <definedName name="MiP">#REF!</definedName>
    <definedName name="MiQ">#REF!</definedName>
    <definedName name="MiY">#REF!</definedName>
    <definedName name="NA">[1]GEN_A!$E$67</definedName>
    <definedName name="One">[1]GEN_A!$E$41</definedName>
    <definedName name="period" localSheetId="7">[1]GEN_A!$E$17</definedName>
    <definedName name="period" localSheetId="8">[1]GEN_A!$E$17</definedName>
    <definedName name="period">'A. Ref_hidden'!$E$10</definedName>
    <definedName name="Sbsxn">[1]GEN_A!$E$48</definedName>
    <definedName name="Select_Council">'A. Ref_hidden'!$E$64:$E$143</definedName>
    <definedName name="Sht">[1]GEN_A!$E$46</definedName>
    <definedName name="Start">#REF!</definedName>
    <definedName name="Sxn">[1]GEN_A!$E$47</definedName>
    <definedName name="title">'A. Ref_hidden'!$E$6</definedName>
    <definedName name="Wi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1" i="15" l="1"/>
  <c r="G61" i="15"/>
  <c r="F61" i="15"/>
  <c r="E61" i="15"/>
  <c r="D61" i="15"/>
  <c r="D38" i="5" l="1"/>
  <c r="D30" i="5"/>
  <c r="E125" i="5"/>
  <c r="N139" i="5" l="1"/>
  <c r="N140" i="5"/>
  <c r="N141" i="5"/>
  <c r="N142" i="5"/>
  <c r="N143" i="5"/>
  <c r="F139" i="5"/>
  <c r="G139" i="5"/>
  <c r="H139" i="5"/>
  <c r="I139" i="5"/>
  <c r="J139" i="5"/>
  <c r="K139" i="5"/>
  <c r="L139" i="5"/>
  <c r="M139" i="5"/>
  <c r="F140" i="5"/>
  <c r="G140" i="5"/>
  <c r="H140" i="5"/>
  <c r="I140" i="5"/>
  <c r="J140" i="5"/>
  <c r="K140" i="5"/>
  <c r="L140" i="5"/>
  <c r="M140" i="5"/>
  <c r="F141" i="5"/>
  <c r="G141" i="5"/>
  <c r="H141" i="5"/>
  <c r="I141" i="5"/>
  <c r="J141" i="5"/>
  <c r="K141" i="5"/>
  <c r="L141" i="5"/>
  <c r="M141" i="5"/>
  <c r="F142" i="5"/>
  <c r="G142" i="5"/>
  <c r="H142" i="5"/>
  <c r="I142" i="5"/>
  <c r="J142" i="5"/>
  <c r="K142" i="5"/>
  <c r="L142" i="5"/>
  <c r="M142" i="5"/>
  <c r="F143" i="5"/>
  <c r="G143" i="5"/>
  <c r="H143" i="5"/>
  <c r="I143" i="5"/>
  <c r="J143" i="5"/>
  <c r="K143" i="5"/>
  <c r="L143" i="5"/>
  <c r="M143" i="5"/>
  <c r="E140" i="5"/>
  <c r="E141" i="5"/>
  <c r="E142" i="5"/>
  <c r="E143" i="5"/>
  <c r="E139" i="5"/>
  <c r="N26" i="5"/>
  <c r="M26" i="5"/>
  <c r="M152" i="5" s="1"/>
  <c r="L26" i="5"/>
  <c r="L152" i="5" s="1"/>
  <c r="K26" i="5"/>
  <c r="K152" i="5" s="1"/>
  <c r="J26" i="5"/>
  <c r="I26" i="5"/>
  <c r="H26" i="5"/>
  <c r="H152" i="5" s="1"/>
  <c r="G26" i="5"/>
  <c r="F26" i="5"/>
  <c r="F152" i="5" s="1"/>
  <c r="E26" i="5"/>
  <c r="D26" i="5"/>
  <c r="N252" i="5"/>
  <c r="M252" i="5"/>
  <c r="L252" i="5"/>
  <c r="K252" i="5"/>
  <c r="J252" i="5"/>
  <c r="I252" i="5"/>
  <c r="H252" i="5"/>
  <c r="G252" i="5"/>
  <c r="F252" i="5"/>
  <c r="N251" i="5"/>
  <c r="M251" i="5"/>
  <c r="L251" i="5"/>
  <c r="K251" i="5"/>
  <c r="J251" i="5"/>
  <c r="I251" i="5"/>
  <c r="H251" i="5"/>
  <c r="G251" i="5"/>
  <c r="F251" i="5"/>
  <c r="N250" i="5"/>
  <c r="M250" i="5"/>
  <c r="L250" i="5"/>
  <c r="K250" i="5"/>
  <c r="J250" i="5"/>
  <c r="I250" i="5"/>
  <c r="H250" i="5"/>
  <c r="G250" i="5"/>
  <c r="F250" i="5"/>
  <c r="N249" i="5"/>
  <c r="M249" i="5"/>
  <c r="L249" i="5"/>
  <c r="K249" i="5"/>
  <c r="J249" i="5"/>
  <c r="I249" i="5"/>
  <c r="H249" i="5"/>
  <c r="G249" i="5"/>
  <c r="F249" i="5"/>
  <c r="E252" i="5"/>
  <c r="E251" i="5"/>
  <c r="E250" i="5"/>
  <c r="E249" i="5"/>
  <c r="E191" i="5"/>
  <c r="F242" i="5"/>
  <c r="G242" i="5"/>
  <c r="H242" i="5"/>
  <c r="I242" i="5"/>
  <c r="J242" i="5"/>
  <c r="K242" i="5"/>
  <c r="L242" i="5"/>
  <c r="M242" i="5"/>
  <c r="N242" i="5"/>
  <c r="F243" i="5"/>
  <c r="G243" i="5"/>
  <c r="H243" i="5"/>
  <c r="I243" i="5"/>
  <c r="J243" i="5"/>
  <c r="K243" i="5"/>
  <c r="L243" i="5"/>
  <c r="M243" i="5"/>
  <c r="N243" i="5"/>
  <c r="F244" i="5"/>
  <c r="G244" i="5"/>
  <c r="H244" i="5"/>
  <c r="I244" i="5"/>
  <c r="J244" i="5"/>
  <c r="K244" i="5"/>
  <c r="L244" i="5"/>
  <c r="M244" i="5"/>
  <c r="N244" i="5"/>
  <c r="F245" i="5"/>
  <c r="G245" i="5"/>
  <c r="H245" i="5"/>
  <c r="I245" i="5"/>
  <c r="J245" i="5"/>
  <c r="K245" i="5"/>
  <c r="L245" i="5"/>
  <c r="M245" i="5"/>
  <c r="N245" i="5"/>
  <c r="E243" i="5"/>
  <c r="E244" i="5"/>
  <c r="E245" i="5"/>
  <c r="E242" i="5"/>
  <c r="F234" i="5"/>
  <c r="G234" i="5"/>
  <c r="H234" i="5"/>
  <c r="I234" i="5"/>
  <c r="J234" i="5"/>
  <c r="K234" i="5"/>
  <c r="L234" i="5"/>
  <c r="M234" i="5"/>
  <c r="N234" i="5"/>
  <c r="F235" i="5"/>
  <c r="G235" i="5"/>
  <c r="H235" i="5"/>
  <c r="I235" i="5"/>
  <c r="J235" i="5"/>
  <c r="K235" i="5"/>
  <c r="L235" i="5"/>
  <c r="M235" i="5"/>
  <c r="N235" i="5"/>
  <c r="F236" i="5"/>
  <c r="G236" i="5"/>
  <c r="H236" i="5"/>
  <c r="I236" i="5"/>
  <c r="J236" i="5"/>
  <c r="K236" i="5"/>
  <c r="L236" i="5"/>
  <c r="M236" i="5"/>
  <c r="N236" i="5"/>
  <c r="E235" i="5"/>
  <c r="E236" i="5"/>
  <c r="E234" i="5"/>
  <c r="F232" i="5"/>
  <c r="G232" i="5"/>
  <c r="H232" i="5"/>
  <c r="I232" i="5"/>
  <c r="J232" i="5"/>
  <c r="K232" i="5"/>
  <c r="L232" i="5"/>
  <c r="M232" i="5"/>
  <c r="N232" i="5"/>
  <c r="E232" i="5"/>
  <c r="F222" i="5"/>
  <c r="G222" i="5"/>
  <c r="H222" i="5"/>
  <c r="I222" i="5"/>
  <c r="J222" i="5"/>
  <c r="K222" i="5"/>
  <c r="L222" i="5"/>
  <c r="M222" i="5"/>
  <c r="N222" i="5"/>
  <c r="F223" i="5"/>
  <c r="G223" i="5"/>
  <c r="H223" i="5"/>
  <c r="I223" i="5"/>
  <c r="J223" i="5"/>
  <c r="K223" i="5"/>
  <c r="L223" i="5"/>
  <c r="M223" i="5"/>
  <c r="N223" i="5"/>
  <c r="F224" i="5"/>
  <c r="G224" i="5"/>
  <c r="H224" i="5"/>
  <c r="I224" i="5"/>
  <c r="J224" i="5"/>
  <c r="K224" i="5"/>
  <c r="L224" i="5"/>
  <c r="M224" i="5"/>
  <c r="N224" i="5"/>
  <c r="F225" i="5"/>
  <c r="G225" i="5"/>
  <c r="H225" i="5"/>
  <c r="I225" i="5"/>
  <c r="J225" i="5"/>
  <c r="K225" i="5"/>
  <c r="L225" i="5"/>
  <c r="M225" i="5"/>
  <c r="N225" i="5"/>
  <c r="E223" i="5"/>
  <c r="E224" i="5"/>
  <c r="E225" i="5"/>
  <c r="E222" i="5"/>
  <c r="F213" i="5"/>
  <c r="G213" i="5"/>
  <c r="H213" i="5"/>
  <c r="I213" i="5"/>
  <c r="J213" i="5"/>
  <c r="K213" i="5"/>
  <c r="L213" i="5"/>
  <c r="M213" i="5"/>
  <c r="N213" i="5"/>
  <c r="F214" i="5"/>
  <c r="G214" i="5"/>
  <c r="H214" i="5"/>
  <c r="I214" i="5"/>
  <c r="J214" i="5"/>
  <c r="K214" i="5"/>
  <c r="L214" i="5"/>
  <c r="M214" i="5"/>
  <c r="N214" i="5"/>
  <c r="F215" i="5"/>
  <c r="G215" i="5"/>
  <c r="H215" i="5"/>
  <c r="I215" i="5"/>
  <c r="J215" i="5"/>
  <c r="K215" i="5"/>
  <c r="L215" i="5"/>
  <c r="M215" i="5"/>
  <c r="N215" i="5"/>
  <c r="F216" i="5"/>
  <c r="G216" i="5"/>
  <c r="H216" i="5"/>
  <c r="I216" i="5"/>
  <c r="J216" i="5"/>
  <c r="K216" i="5"/>
  <c r="L216" i="5"/>
  <c r="M216" i="5"/>
  <c r="N216" i="5"/>
  <c r="F217" i="5"/>
  <c r="G217" i="5"/>
  <c r="H217" i="5"/>
  <c r="I217" i="5"/>
  <c r="J217" i="5"/>
  <c r="K217" i="5"/>
  <c r="L217" i="5"/>
  <c r="M217" i="5"/>
  <c r="N217" i="5"/>
  <c r="F218" i="5"/>
  <c r="G218" i="5"/>
  <c r="H218" i="5"/>
  <c r="I218" i="5"/>
  <c r="J218" i="5"/>
  <c r="K218" i="5"/>
  <c r="L218" i="5"/>
  <c r="M218" i="5"/>
  <c r="N218" i="5"/>
  <c r="E214" i="5"/>
  <c r="E215" i="5"/>
  <c r="E216" i="5"/>
  <c r="E217" i="5"/>
  <c r="E218" i="5"/>
  <c r="E213" i="5"/>
  <c r="F202" i="5"/>
  <c r="G202" i="5"/>
  <c r="H202" i="5"/>
  <c r="I202" i="5"/>
  <c r="J202" i="5"/>
  <c r="K202" i="5"/>
  <c r="L202" i="5"/>
  <c r="M202" i="5"/>
  <c r="N202" i="5"/>
  <c r="F203" i="5"/>
  <c r="G203" i="5"/>
  <c r="H203" i="5"/>
  <c r="I203" i="5"/>
  <c r="J203" i="5"/>
  <c r="K203" i="5"/>
  <c r="L203" i="5"/>
  <c r="M203" i="5"/>
  <c r="N203" i="5"/>
  <c r="F204" i="5"/>
  <c r="G204" i="5"/>
  <c r="H204" i="5"/>
  <c r="I204" i="5"/>
  <c r="J204" i="5"/>
  <c r="K204" i="5"/>
  <c r="L204" i="5"/>
  <c r="M204" i="5"/>
  <c r="N204" i="5"/>
  <c r="F206" i="5"/>
  <c r="G206" i="5"/>
  <c r="H206" i="5"/>
  <c r="I206" i="5"/>
  <c r="J206" i="5"/>
  <c r="K206" i="5"/>
  <c r="L206" i="5"/>
  <c r="M206" i="5"/>
  <c r="N206" i="5"/>
  <c r="F207" i="5"/>
  <c r="G207" i="5"/>
  <c r="H207" i="5"/>
  <c r="I207" i="5"/>
  <c r="J207" i="5"/>
  <c r="K207" i="5"/>
  <c r="L207" i="5"/>
  <c r="M207" i="5"/>
  <c r="N207" i="5"/>
  <c r="F208" i="5"/>
  <c r="G208" i="5"/>
  <c r="H208" i="5"/>
  <c r="I208" i="5"/>
  <c r="J208" i="5"/>
  <c r="K208" i="5"/>
  <c r="L208" i="5"/>
  <c r="M208" i="5"/>
  <c r="N208" i="5"/>
  <c r="E203" i="5"/>
  <c r="E204" i="5"/>
  <c r="E206" i="5"/>
  <c r="E207" i="5"/>
  <c r="E208" i="5"/>
  <c r="E202" i="5"/>
  <c r="F188" i="5"/>
  <c r="G188" i="5"/>
  <c r="H188" i="5"/>
  <c r="I188" i="5"/>
  <c r="J188" i="5"/>
  <c r="K188" i="5"/>
  <c r="L188" i="5"/>
  <c r="M188" i="5"/>
  <c r="N188" i="5"/>
  <c r="F189" i="5"/>
  <c r="G189" i="5"/>
  <c r="H189" i="5"/>
  <c r="I189" i="5"/>
  <c r="J189" i="5"/>
  <c r="K189" i="5"/>
  <c r="L189" i="5"/>
  <c r="M189" i="5"/>
  <c r="N189" i="5"/>
  <c r="F190" i="5"/>
  <c r="G190" i="5"/>
  <c r="H190" i="5"/>
  <c r="I190" i="5"/>
  <c r="J190" i="5"/>
  <c r="K190" i="5"/>
  <c r="L190" i="5"/>
  <c r="M190" i="5"/>
  <c r="N190" i="5"/>
  <c r="F191" i="5"/>
  <c r="G191" i="5"/>
  <c r="H191" i="5"/>
  <c r="I191" i="5"/>
  <c r="J191" i="5"/>
  <c r="K191" i="5"/>
  <c r="L191" i="5"/>
  <c r="M191" i="5"/>
  <c r="N191" i="5"/>
  <c r="F192" i="5"/>
  <c r="G192" i="5"/>
  <c r="H192" i="5"/>
  <c r="I192" i="5"/>
  <c r="J192" i="5"/>
  <c r="K192" i="5"/>
  <c r="L192" i="5"/>
  <c r="M192" i="5"/>
  <c r="N192" i="5"/>
  <c r="F193" i="5"/>
  <c r="G193" i="5"/>
  <c r="H193" i="5"/>
  <c r="I193" i="5"/>
  <c r="J193" i="5"/>
  <c r="K193" i="5"/>
  <c r="L193" i="5"/>
  <c r="M193" i="5"/>
  <c r="N193" i="5"/>
  <c r="F194" i="5"/>
  <c r="G194" i="5"/>
  <c r="H194" i="5"/>
  <c r="I194" i="5"/>
  <c r="J194" i="5"/>
  <c r="K194" i="5"/>
  <c r="L194" i="5"/>
  <c r="M194" i="5"/>
  <c r="N194" i="5"/>
  <c r="F195" i="5"/>
  <c r="G195" i="5"/>
  <c r="H195" i="5"/>
  <c r="I195" i="5"/>
  <c r="J195" i="5"/>
  <c r="K195" i="5"/>
  <c r="L195" i="5"/>
  <c r="M195" i="5"/>
  <c r="N195" i="5"/>
  <c r="F196" i="5"/>
  <c r="G196" i="5"/>
  <c r="H196" i="5"/>
  <c r="I196" i="5"/>
  <c r="J196" i="5"/>
  <c r="K196" i="5"/>
  <c r="L196" i="5"/>
  <c r="M196" i="5"/>
  <c r="N196" i="5"/>
  <c r="F197" i="5"/>
  <c r="G197" i="5"/>
  <c r="H197" i="5"/>
  <c r="I197" i="5"/>
  <c r="J197" i="5"/>
  <c r="K197" i="5"/>
  <c r="L197" i="5"/>
  <c r="M197" i="5"/>
  <c r="N197" i="5"/>
  <c r="F198" i="5"/>
  <c r="G198" i="5"/>
  <c r="H198" i="5"/>
  <c r="I198" i="5"/>
  <c r="J198" i="5"/>
  <c r="K198" i="5"/>
  <c r="L198" i="5"/>
  <c r="M198" i="5"/>
  <c r="N198" i="5"/>
  <c r="E189" i="5"/>
  <c r="E190" i="5"/>
  <c r="E192" i="5"/>
  <c r="E193" i="5"/>
  <c r="E194" i="5"/>
  <c r="E195" i="5"/>
  <c r="E196" i="5"/>
  <c r="E197" i="5"/>
  <c r="E198" i="5"/>
  <c r="E188" i="5"/>
  <c r="E174" i="5"/>
  <c r="F174" i="5"/>
  <c r="G174" i="5"/>
  <c r="H174" i="5"/>
  <c r="I174" i="5"/>
  <c r="J174" i="5"/>
  <c r="K174" i="5"/>
  <c r="L174" i="5"/>
  <c r="M174" i="5"/>
  <c r="N174" i="5"/>
  <c r="E175" i="5"/>
  <c r="F175" i="5"/>
  <c r="G175" i="5"/>
  <c r="H175" i="5"/>
  <c r="I175" i="5"/>
  <c r="J175" i="5"/>
  <c r="K175" i="5"/>
  <c r="L175" i="5"/>
  <c r="M175" i="5"/>
  <c r="N175" i="5"/>
  <c r="E176" i="5"/>
  <c r="F176" i="5"/>
  <c r="G176" i="5"/>
  <c r="H176" i="5"/>
  <c r="I176" i="5"/>
  <c r="J176" i="5"/>
  <c r="K176" i="5"/>
  <c r="L176" i="5"/>
  <c r="M176" i="5"/>
  <c r="N176" i="5"/>
  <c r="E177" i="5"/>
  <c r="F177" i="5"/>
  <c r="G177" i="5"/>
  <c r="H177" i="5"/>
  <c r="I177" i="5"/>
  <c r="J177" i="5"/>
  <c r="K177" i="5"/>
  <c r="L177" i="5"/>
  <c r="M177" i="5"/>
  <c r="N177" i="5"/>
  <c r="E178" i="5"/>
  <c r="F178" i="5"/>
  <c r="G178" i="5"/>
  <c r="H178" i="5"/>
  <c r="I178" i="5"/>
  <c r="J178" i="5"/>
  <c r="K178" i="5"/>
  <c r="L178" i="5"/>
  <c r="M178" i="5"/>
  <c r="N178" i="5"/>
  <c r="N173" i="5"/>
  <c r="M173" i="5"/>
  <c r="L173" i="5"/>
  <c r="K173" i="5"/>
  <c r="J173" i="5"/>
  <c r="I173" i="5"/>
  <c r="H173" i="5"/>
  <c r="G173" i="5"/>
  <c r="F173" i="5"/>
  <c r="E173" i="5"/>
  <c r="N172" i="5"/>
  <c r="M172" i="5"/>
  <c r="L172" i="5"/>
  <c r="K172" i="5"/>
  <c r="J172" i="5"/>
  <c r="I172" i="5"/>
  <c r="H172" i="5"/>
  <c r="G172" i="5"/>
  <c r="F172" i="5"/>
  <c r="E172" i="5"/>
  <c r="N171" i="5"/>
  <c r="M171" i="5"/>
  <c r="L171" i="5"/>
  <c r="K171" i="5"/>
  <c r="J171" i="5"/>
  <c r="I171" i="5"/>
  <c r="H171" i="5"/>
  <c r="G171" i="5"/>
  <c r="F171" i="5"/>
  <c r="E171" i="5"/>
  <c r="F167" i="5"/>
  <c r="G167" i="5"/>
  <c r="H167" i="5"/>
  <c r="I167" i="5"/>
  <c r="J167" i="5"/>
  <c r="K167" i="5"/>
  <c r="L167" i="5"/>
  <c r="M167" i="5"/>
  <c r="N167" i="5"/>
  <c r="F168" i="5"/>
  <c r="G168" i="5"/>
  <c r="H168" i="5"/>
  <c r="I168" i="5"/>
  <c r="J168" i="5"/>
  <c r="K168" i="5"/>
  <c r="L168" i="5"/>
  <c r="M168" i="5"/>
  <c r="N168" i="5"/>
  <c r="F169" i="5"/>
  <c r="G169" i="5"/>
  <c r="H169" i="5"/>
  <c r="I169" i="5"/>
  <c r="J169" i="5"/>
  <c r="K169" i="5"/>
  <c r="L169" i="5"/>
  <c r="M169" i="5"/>
  <c r="N169" i="5"/>
  <c r="E168" i="5"/>
  <c r="E169" i="5"/>
  <c r="E167" i="5"/>
  <c r="F158" i="5"/>
  <c r="G158" i="5"/>
  <c r="H158" i="5"/>
  <c r="I158" i="5"/>
  <c r="J158" i="5"/>
  <c r="K158" i="5"/>
  <c r="L158" i="5"/>
  <c r="M158" i="5"/>
  <c r="N158" i="5"/>
  <c r="F159" i="5"/>
  <c r="G159" i="5"/>
  <c r="H159" i="5"/>
  <c r="I159" i="5"/>
  <c r="J159" i="5"/>
  <c r="K159" i="5"/>
  <c r="L159" i="5"/>
  <c r="M159" i="5"/>
  <c r="N159" i="5"/>
  <c r="F160" i="5"/>
  <c r="G160" i="5"/>
  <c r="H160" i="5"/>
  <c r="I160" i="5"/>
  <c r="J160" i="5"/>
  <c r="K160" i="5"/>
  <c r="L160" i="5"/>
  <c r="M160" i="5"/>
  <c r="N160" i="5"/>
  <c r="F161" i="5"/>
  <c r="G161" i="5"/>
  <c r="H161" i="5"/>
  <c r="I161" i="5"/>
  <c r="J161" i="5"/>
  <c r="K161" i="5"/>
  <c r="L161" i="5"/>
  <c r="M161" i="5"/>
  <c r="N161" i="5"/>
  <c r="F162" i="5"/>
  <c r="G162" i="5"/>
  <c r="H162" i="5"/>
  <c r="I162" i="5"/>
  <c r="J162" i="5"/>
  <c r="K162" i="5"/>
  <c r="L162" i="5"/>
  <c r="M162" i="5"/>
  <c r="N162" i="5"/>
  <c r="F163" i="5"/>
  <c r="G163" i="5"/>
  <c r="H163" i="5"/>
  <c r="I163" i="5"/>
  <c r="J163" i="5"/>
  <c r="K163" i="5"/>
  <c r="L163" i="5"/>
  <c r="M163" i="5"/>
  <c r="N163" i="5"/>
  <c r="F164" i="5"/>
  <c r="G164" i="5"/>
  <c r="H164" i="5"/>
  <c r="I164" i="5"/>
  <c r="J164" i="5"/>
  <c r="K164" i="5"/>
  <c r="L164" i="5"/>
  <c r="M164" i="5"/>
  <c r="N164" i="5"/>
  <c r="E159" i="5"/>
  <c r="E160" i="5"/>
  <c r="E161" i="5"/>
  <c r="E162" i="5"/>
  <c r="E163" i="5"/>
  <c r="E164" i="5"/>
  <c r="E158" i="5"/>
  <c r="G155" i="5"/>
  <c r="H155" i="5"/>
  <c r="I155" i="5"/>
  <c r="J155" i="5"/>
  <c r="K155" i="5"/>
  <c r="L155" i="5"/>
  <c r="M155" i="5"/>
  <c r="N155" i="5"/>
  <c r="G156" i="5"/>
  <c r="H156" i="5"/>
  <c r="I156" i="5"/>
  <c r="J156" i="5"/>
  <c r="K156" i="5"/>
  <c r="L156" i="5"/>
  <c r="M156" i="5"/>
  <c r="N156" i="5"/>
  <c r="F155" i="5"/>
  <c r="F156" i="5"/>
  <c r="G152" i="5"/>
  <c r="I152" i="5"/>
  <c r="J152" i="5"/>
  <c r="N152" i="5"/>
  <c r="F153" i="5"/>
  <c r="G153" i="5"/>
  <c r="H153" i="5"/>
  <c r="I153" i="5"/>
  <c r="J153" i="5"/>
  <c r="K153" i="5"/>
  <c r="L153" i="5"/>
  <c r="M153" i="5"/>
  <c r="N153" i="5"/>
  <c r="E153" i="5"/>
  <c r="E152" i="5"/>
  <c r="F149" i="5"/>
  <c r="G149" i="5"/>
  <c r="H149" i="5"/>
  <c r="I149" i="5"/>
  <c r="J149" i="5"/>
  <c r="K149" i="5"/>
  <c r="L149" i="5"/>
  <c r="M149" i="5"/>
  <c r="N149" i="5"/>
  <c r="F150" i="5"/>
  <c r="G150" i="5"/>
  <c r="H150" i="5"/>
  <c r="I150" i="5"/>
  <c r="J150" i="5"/>
  <c r="K150" i="5"/>
  <c r="L150" i="5"/>
  <c r="M150" i="5"/>
  <c r="N150" i="5"/>
  <c r="E150" i="5"/>
  <c r="E149" i="5"/>
  <c r="E45" i="5" l="1"/>
  <c r="M38" i="5"/>
  <c r="L38" i="5"/>
  <c r="K38" i="5"/>
  <c r="J38" i="5"/>
  <c r="I38" i="5"/>
  <c r="H38" i="5"/>
  <c r="G38" i="5"/>
  <c r="F38" i="5"/>
  <c r="E38" i="5"/>
  <c r="D19" i="10" l="1"/>
  <c r="N378" i="5"/>
  <c r="M378" i="5"/>
  <c r="L378" i="5"/>
  <c r="K378" i="5"/>
  <c r="J378" i="5"/>
  <c r="I378" i="5"/>
  <c r="H378" i="5"/>
  <c r="G378" i="5"/>
  <c r="F378" i="5"/>
  <c r="E378" i="5"/>
  <c r="N377" i="5"/>
  <c r="M377" i="5"/>
  <c r="L377" i="5"/>
  <c r="K377" i="5"/>
  <c r="J377" i="5"/>
  <c r="I377" i="5"/>
  <c r="H377" i="5"/>
  <c r="G377" i="5"/>
  <c r="F377" i="5"/>
  <c r="E377" i="5"/>
  <c r="N376" i="5"/>
  <c r="M376" i="5"/>
  <c r="L376" i="5"/>
  <c r="K376" i="5"/>
  <c r="J376" i="5"/>
  <c r="I376" i="5"/>
  <c r="H376" i="5"/>
  <c r="G376" i="5"/>
  <c r="F376" i="5"/>
  <c r="E376" i="5"/>
  <c r="N375" i="5"/>
  <c r="M375" i="5"/>
  <c r="L375" i="5"/>
  <c r="K375" i="5"/>
  <c r="J375" i="5"/>
  <c r="I375" i="5"/>
  <c r="H375" i="5"/>
  <c r="G375" i="5"/>
  <c r="F375" i="5"/>
  <c r="E375" i="5"/>
  <c r="N371" i="5"/>
  <c r="M371" i="5"/>
  <c r="L371" i="5"/>
  <c r="K371" i="5"/>
  <c r="J371" i="5"/>
  <c r="I371" i="5"/>
  <c r="H371" i="5"/>
  <c r="G371" i="5"/>
  <c r="F371" i="5"/>
  <c r="E371" i="5"/>
  <c r="N370" i="5"/>
  <c r="M370" i="5"/>
  <c r="L370" i="5"/>
  <c r="K370" i="5"/>
  <c r="J370" i="5"/>
  <c r="I370" i="5"/>
  <c r="H370" i="5"/>
  <c r="G370" i="5"/>
  <c r="F370" i="5"/>
  <c r="E370" i="5"/>
  <c r="N369" i="5"/>
  <c r="M369" i="5"/>
  <c r="L369" i="5"/>
  <c r="K369" i="5"/>
  <c r="J369" i="5"/>
  <c r="I369" i="5"/>
  <c r="H369" i="5"/>
  <c r="G369" i="5"/>
  <c r="F369" i="5"/>
  <c r="E369" i="5"/>
  <c r="N368" i="5"/>
  <c r="M368" i="5"/>
  <c r="L368" i="5"/>
  <c r="K368" i="5"/>
  <c r="J368" i="5"/>
  <c r="I368" i="5"/>
  <c r="H368" i="5"/>
  <c r="G368" i="5"/>
  <c r="F368" i="5"/>
  <c r="E368" i="5"/>
  <c r="N362" i="5"/>
  <c r="M362" i="5"/>
  <c r="L362" i="5"/>
  <c r="K362" i="5"/>
  <c r="J362" i="5"/>
  <c r="I362" i="5"/>
  <c r="H362" i="5"/>
  <c r="G362" i="5"/>
  <c r="F362" i="5"/>
  <c r="E362" i="5"/>
  <c r="N361" i="5"/>
  <c r="M361" i="5"/>
  <c r="L361" i="5"/>
  <c r="K361" i="5"/>
  <c r="J361" i="5"/>
  <c r="I361" i="5"/>
  <c r="H361" i="5"/>
  <c r="G361" i="5"/>
  <c r="F361" i="5"/>
  <c r="E361" i="5"/>
  <c r="N360" i="5"/>
  <c r="M360" i="5"/>
  <c r="L360" i="5"/>
  <c r="K360" i="5"/>
  <c r="J360" i="5"/>
  <c r="I360" i="5"/>
  <c r="H360" i="5"/>
  <c r="G360" i="5"/>
  <c r="F360" i="5"/>
  <c r="E360" i="5"/>
  <c r="N358" i="5"/>
  <c r="M358" i="5"/>
  <c r="L358" i="5"/>
  <c r="K358" i="5"/>
  <c r="J358" i="5"/>
  <c r="I358" i="5"/>
  <c r="H358" i="5"/>
  <c r="G358" i="5"/>
  <c r="F358" i="5"/>
  <c r="E358" i="5"/>
  <c r="N351" i="5"/>
  <c r="M351" i="5"/>
  <c r="L351" i="5"/>
  <c r="K351" i="5"/>
  <c r="J351" i="5"/>
  <c r="I351" i="5"/>
  <c r="H351" i="5"/>
  <c r="G351" i="5"/>
  <c r="F351" i="5"/>
  <c r="E351" i="5"/>
  <c r="N350" i="5"/>
  <c r="M350" i="5"/>
  <c r="L350" i="5"/>
  <c r="K350" i="5"/>
  <c r="J350" i="5"/>
  <c r="I350" i="5"/>
  <c r="H350" i="5"/>
  <c r="G350" i="5"/>
  <c r="F350" i="5"/>
  <c r="E350" i="5"/>
  <c r="N349" i="5"/>
  <c r="M349" i="5"/>
  <c r="L349" i="5"/>
  <c r="K349" i="5"/>
  <c r="J349" i="5"/>
  <c r="I349" i="5"/>
  <c r="H349" i="5"/>
  <c r="G349" i="5"/>
  <c r="F349" i="5"/>
  <c r="E349" i="5"/>
  <c r="N348" i="5"/>
  <c r="M348" i="5"/>
  <c r="L348" i="5"/>
  <c r="K348" i="5"/>
  <c r="J348" i="5"/>
  <c r="I348" i="5"/>
  <c r="H348" i="5"/>
  <c r="G348" i="5"/>
  <c r="F348" i="5"/>
  <c r="E348" i="5"/>
  <c r="N344" i="5"/>
  <c r="M344" i="5"/>
  <c r="L344" i="5"/>
  <c r="K344" i="5"/>
  <c r="J344" i="5"/>
  <c r="I344" i="5"/>
  <c r="H344" i="5"/>
  <c r="G344" i="5"/>
  <c r="F344" i="5"/>
  <c r="E344" i="5"/>
  <c r="N343" i="5"/>
  <c r="M343" i="5"/>
  <c r="L343" i="5"/>
  <c r="K343" i="5"/>
  <c r="J343" i="5"/>
  <c r="I343" i="5"/>
  <c r="H343" i="5"/>
  <c r="G343" i="5"/>
  <c r="F343" i="5"/>
  <c r="E343" i="5"/>
  <c r="N342" i="5"/>
  <c r="M342" i="5"/>
  <c r="L342" i="5"/>
  <c r="K342" i="5"/>
  <c r="J342" i="5"/>
  <c r="I342" i="5"/>
  <c r="H342" i="5"/>
  <c r="G342" i="5"/>
  <c r="F342" i="5"/>
  <c r="E342" i="5"/>
  <c r="N341" i="5"/>
  <c r="M341" i="5"/>
  <c r="L341" i="5"/>
  <c r="K341" i="5"/>
  <c r="J341" i="5"/>
  <c r="I341" i="5"/>
  <c r="H341" i="5"/>
  <c r="G341" i="5"/>
  <c r="F341" i="5"/>
  <c r="E341" i="5"/>
  <c r="N340" i="5"/>
  <c r="M340" i="5"/>
  <c r="L340" i="5"/>
  <c r="K340" i="5"/>
  <c r="J340" i="5"/>
  <c r="I340" i="5"/>
  <c r="H340" i="5"/>
  <c r="G340" i="5"/>
  <c r="F340" i="5"/>
  <c r="E340" i="5"/>
  <c r="N339" i="5"/>
  <c r="M339" i="5"/>
  <c r="L339" i="5"/>
  <c r="K339" i="5"/>
  <c r="J339" i="5"/>
  <c r="I339" i="5"/>
  <c r="H339" i="5"/>
  <c r="G339" i="5"/>
  <c r="F339" i="5"/>
  <c r="E339" i="5"/>
  <c r="N334" i="5"/>
  <c r="M334" i="5"/>
  <c r="L334" i="5"/>
  <c r="K334" i="5"/>
  <c r="J334" i="5"/>
  <c r="I334" i="5"/>
  <c r="H334" i="5"/>
  <c r="G334" i="5"/>
  <c r="F334" i="5"/>
  <c r="E334" i="5"/>
  <c r="N333" i="5"/>
  <c r="M333" i="5"/>
  <c r="L333" i="5"/>
  <c r="K333" i="5"/>
  <c r="J333" i="5"/>
  <c r="I333" i="5"/>
  <c r="H333" i="5"/>
  <c r="G333" i="5"/>
  <c r="F333" i="5"/>
  <c r="E333" i="5"/>
  <c r="N332" i="5"/>
  <c r="M332" i="5"/>
  <c r="L332" i="5"/>
  <c r="K332" i="5"/>
  <c r="J332" i="5"/>
  <c r="I332" i="5"/>
  <c r="H332" i="5"/>
  <c r="G332" i="5"/>
  <c r="F332" i="5"/>
  <c r="E332" i="5"/>
  <c r="N330" i="5"/>
  <c r="M330" i="5"/>
  <c r="L330" i="5"/>
  <c r="K330" i="5"/>
  <c r="J330" i="5"/>
  <c r="I330" i="5"/>
  <c r="H330" i="5"/>
  <c r="G330" i="5"/>
  <c r="F330" i="5"/>
  <c r="E330" i="5"/>
  <c r="N329" i="5"/>
  <c r="M329" i="5"/>
  <c r="L329" i="5"/>
  <c r="K329" i="5"/>
  <c r="J329" i="5"/>
  <c r="I329" i="5"/>
  <c r="H329" i="5"/>
  <c r="G329" i="5"/>
  <c r="F329" i="5"/>
  <c r="E329" i="5"/>
  <c r="N328" i="5"/>
  <c r="M328" i="5"/>
  <c r="L328" i="5"/>
  <c r="K328" i="5"/>
  <c r="J328" i="5"/>
  <c r="I328" i="5"/>
  <c r="H328" i="5"/>
  <c r="G328" i="5"/>
  <c r="F328" i="5"/>
  <c r="E328" i="5"/>
  <c r="N324" i="5"/>
  <c r="M324" i="5"/>
  <c r="L324" i="5"/>
  <c r="K324" i="5"/>
  <c r="J324" i="5"/>
  <c r="I324" i="5"/>
  <c r="H324" i="5"/>
  <c r="G324" i="5"/>
  <c r="F324" i="5"/>
  <c r="E324" i="5"/>
  <c r="N323" i="5"/>
  <c r="M323" i="5"/>
  <c r="L323" i="5"/>
  <c r="K323" i="5"/>
  <c r="J323" i="5"/>
  <c r="I323" i="5"/>
  <c r="H323" i="5"/>
  <c r="G323" i="5"/>
  <c r="F323" i="5"/>
  <c r="E323" i="5"/>
  <c r="N322" i="5"/>
  <c r="M322" i="5"/>
  <c r="L322" i="5"/>
  <c r="K322" i="5"/>
  <c r="J322" i="5"/>
  <c r="I322" i="5"/>
  <c r="H322" i="5"/>
  <c r="G322" i="5"/>
  <c r="F322" i="5"/>
  <c r="E322" i="5"/>
  <c r="N321" i="5"/>
  <c r="M321" i="5"/>
  <c r="L321" i="5"/>
  <c r="K321" i="5"/>
  <c r="J321" i="5"/>
  <c r="I321" i="5"/>
  <c r="H321" i="5"/>
  <c r="G321" i="5"/>
  <c r="F321" i="5"/>
  <c r="E321" i="5"/>
  <c r="N320" i="5"/>
  <c r="M320" i="5"/>
  <c r="L320" i="5"/>
  <c r="K320" i="5"/>
  <c r="J320" i="5"/>
  <c r="I320" i="5"/>
  <c r="H320" i="5"/>
  <c r="G320" i="5"/>
  <c r="F320" i="5"/>
  <c r="E320" i="5"/>
  <c r="N319" i="5"/>
  <c r="M319" i="5"/>
  <c r="L319" i="5"/>
  <c r="K319" i="5"/>
  <c r="J319" i="5"/>
  <c r="I319" i="5"/>
  <c r="H319" i="5"/>
  <c r="G319" i="5"/>
  <c r="F319" i="5"/>
  <c r="E319" i="5"/>
  <c r="N318" i="5"/>
  <c r="M318" i="5"/>
  <c r="L318" i="5"/>
  <c r="K318" i="5"/>
  <c r="J318" i="5"/>
  <c r="I318" i="5"/>
  <c r="H318" i="5"/>
  <c r="G318" i="5"/>
  <c r="F318" i="5"/>
  <c r="E318" i="5"/>
  <c r="N317" i="5"/>
  <c r="M317" i="5"/>
  <c r="L317" i="5"/>
  <c r="K317" i="5"/>
  <c r="J317" i="5"/>
  <c r="I317" i="5"/>
  <c r="H317" i="5"/>
  <c r="G317" i="5"/>
  <c r="F317" i="5"/>
  <c r="E317" i="5"/>
  <c r="N316" i="5"/>
  <c r="M316" i="5"/>
  <c r="L316" i="5"/>
  <c r="K316" i="5"/>
  <c r="J316" i="5"/>
  <c r="I316" i="5"/>
  <c r="H316" i="5"/>
  <c r="G316" i="5"/>
  <c r="F316" i="5"/>
  <c r="E316" i="5"/>
  <c r="N315" i="5"/>
  <c r="M315" i="5"/>
  <c r="L315" i="5"/>
  <c r="K315" i="5"/>
  <c r="J315" i="5"/>
  <c r="I315" i="5"/>
  <c r="H315" i="5"/>
  <c r="G315" i="5"/>
  <c r="F315" i="5"/>
  <c r="E315" i="5"/>
  <c r="N314" i="5"/>
  <c r="M314" i="5"/>
  <c r="L314" i="5"/>
  <c r="K314" i="5"/>
  <c r="J314" i="5"/>
  <c r="I314" i="5"/>
  <c r="H314" i="5"/>
  <c r="G314" i="5"/>
  <c r="F314" i="5"/>
  <c r="E314" i="5"/>
  <c r="N304" i="5"/>
  <c r="M304" i="5"/>
  <c r="L304" i="5"/>
  <c r="K304" i="5"/>
  <c r="J304" i="5"/>
  <c r="I304" i="5"/>
  <c r="H304" i="5"/>
  <c r="G304" i="5"/>
  <c r="F304" i="5"/>
  <c r="E304" i="5"/>
  <c r="N303" i="5"/>
  <c r="M303" i="5"/>
  <c r="L303" i="5"/>
  <c r="K303" i="5"/>
  <c r="J303" i="5"/>
  <c r="I303" i="5"/>
  <c r="H303" i="5"/>
  <c r="G303" i="5"/>
  <c r="F303" i="5"/>
  <c r="E303" i="5"/>
  <c r="N302" i="5"/>
  <c r="M302" i="5"/>
  <c r="L302" i="5"/>
  <c r="K302" i="5"/>
  <c r="J302" i="5"/>
  <c r="I302" i="5"/>
  <c r="H302" i="5"/>
  <c r="G302" i="5"/>
  <c r="F302" i="5"/>
  <c r="E302" i="5"/>
  <c r="N301" i="5"/>
  <c r="M301" i="5"/>
  <c r="L301" i="5"/>
  <c r="K301" i="5"/>
  <c r="J301" i="5"/>
  <c r="I301" i="5"/>
  <c r="H301" i="5"/>
  <c r="G301" i="5"/>
  <c r="F301" i="5"/>
  <c r="E301" i="5"/>
  <c r="N300" i="5"/>
  <c r="M300" i="5"/>
  <c r="L300" i="5"/>
  <c r="K300" i="5"/>
  <c r="J300" i="5"/>
  <c r="I300" i="5"/>
  <c r="H300" i="5"/>
  <c r="G300" i="5"/>
  <c r="F300" i="5"/>
  <c r="E300" i="5"/>
  <c r="N299" i="5"/>
  <c r="M299" i="5"/>
  <c r="L299" i="5"/>
  <c r="K299" i="5"/>
  <c r="J299" i="5"/>
  <c r="I299" i="5"/>
  <c r="H299" i="5"/>
  <c r="G299" i="5"/>
  <c r="F299" i="5"/>
  <c r="E299" i="5"/>
  <c r="N298" i="5"/>
  <c r="M298" i="5"/>
  <c r="L298" i="5"/>
  <c r="K298" i="5"/>
  <c r="J298" i="5"/>
  <c r="I298" i="5"/>
  <c r="H298" i="5"/>
  <c r="G298" i="5"/>
  <c r="F298" i="5"/>
  <c r="E298" i="5"/>
  <c r="N297" i="5"/>
  <c r="M297" i="5"/>
  <c r="L297" i="5"/>
  <c r="K297" i="5"/>
  <c r="J297" i="5"/>
  <c r="I297" i="5"/>
  <c r="H297" i="5"/>
  <c r="G297" i="5"/>
  <c r="F297" i="5"/>
  <c r="E297" i="5"/>
  <c r="N295" i="5"/>
  <c r="M295" i="5"/>
  <c r="L295" i="5"/>
  <c r="K295" i="5"/>
  <c r="J295" i="5"/>
  <c r="I295" i="5"/>
  <c r="H295" i="5"/>
  <c r="G295" i="5"/>
  <c r="F295" i="5"/>
  <c r="E295" i="5"/>
  <c r="N294" i="5"/>
  <c r="M294" i="5"/>
  <c r="L294" i="5"/>
  <c r="K294" i="5"/>
  <c r="J294" i="5"/>
  <c r="I294" i="5"/>
  <c r="H294" i="5"/>
  <c r="G294" i="5"/>
  <c r="F294" i="5"/>
  <c r="E294" i="5"/>
  <c r="N293" i="5"/>
  <c r="M293" i="5"/>
  <c r="L293" i="5"/>
  <c r="K293" i="5"/>
  <c r="J293" i="5"/>
  <c r="I293" i="5"/>
  <c r="H293" i="5"/>
  <c r="G293" i="5"/>
  <c r="F293" i="5"/>
  <c r="E293" i="5"/>
  <c r="N290" i="5"/>
  <c r="M290" i="5"/>
  <c r="L290" i="5"/>
  <c r="K290" i="5"/>
  <c r="J290" i="5"/>
  <c r="I290" i="5"/>
  <c r="H290" i="5"/>
  <c r="G290" i="5"/>
  <c r="F290" i="5"/>
  <c r="E290" i="5"/>
  <c r="N289" i="5"/>
  <c r="M289" i="5"/>
  <c r="L289" i="5"/>
  <c r="K289" i="5"/>
  <c r="J289" i="5"/>
  <c r="I289" i="5"/>
  <c r="H289" i="5"/>
  <c r="G289" i="5"/>
  <c r="F289" i="5"/>
  <c r="E289" i="5"/>
  <c r="N288" i="5"/>
  <c r="M288" i="5"/>
  <c r="L288" i="5"/>
  <c r="K288" i="5"/>
  <c r="J288" i="5"/>
  <c r="I288" i="5"/>
  <c r="H288" i="5"/>
  <c r="G288" i="5"/>
  <c r="F288" i="5"/>
  <c r="E288" i="5"/>
  <c r="N287" i="5"/>
  <c r="M287" i="5"/>
  <c r="L287" i="5"/>
  <c r="K287" i="5"/>
  <c r="J287" i="5"/>
  <c r="I287" i="5"/>
  <c r="H287" i="5"/>
  <c r="G287" i="5"/>
  <c r="F287" i="5"/>
  <c r="E287" i="5"/>
  <c r="N286" i="5"/>
  <c r="M286" i="5"/>
  <c r="L286" i="5"/>
  <c r="K286" i="5"/>
  <c r="J286" i="5"/>
  <c r="I286" i="5"/>
  <c r="H286" i="5"/>
  <c r="G286" i="5"/>
  <c r="F286" i="5"/>
  <c r="E286" i="5"/>
  <c r="N285" i="5"/>
  <c r="M285" i="5"/>
  <c r="L285" i="5"/>
  <c r="K285" i="5"/>
  <c r="J285" i="5"/>
  <c r="I285" i="5"/>
  <c r="H285" i="5"/>
  <c r="G285" i="5"/>
  <c r="F285" i="5"/>
  <c r="E285" i="5"/>
  <c r="N284" i="5"/>
  <c r="M284" i="5"/>
  <c r="L284" i="5"/>
  <c r="K284" i="5"/>
  <c r="J284" i="5"/>
  <c r="I284" i="5"/>
  <c r="H284" i="5"/>
  <c r="G284" i="5"/>
  <c r="F284" i="5"/>
  <c r="E284" i="5"/>
  <c r="N282" i="5"/>
  <c r="M282" i="5"/>
  <c r="L282" i="5"/>
  <c r="K282" i="5"/>
  <c r="J282" i="5"/>
  <c r="I282" i="5"/>
  <c r="H282" i="5"/>
  <c r="G282" i="5"/>
  <c r="F282" i="5"/>
  <c r="E282" i="5"/>
  <c r="N281" i="5"/>
  <c r="M281" i="5"/>
  <c r="L281" i="5"/>
  <c r="K281" i="5"/>
  <c r="J281" i="5"/>
  <c r="I281" i="5"/>
  <c r="H281" i="5"/>
  <c r="G281" i="5"/>
  <c r="F281" i="5"/>
  <c r="E281" i="5"/>
  <c r="N279" i="5"/>
  <c r="M279" i="5"/>
  <c r="L279" i="5"/>
  <c r="K279" i="5"/>
  <c r="J279" i="5"/>
  <c r="I279" i="5"/>
  <c r="H279" i="5"/>
  <c r="G279" i="5"/>
  <c r="F279" i="5"/>
  <c r="E279" i="5"/>
  <c r="N278" i="5"/>
  <c r="M278" i="5"/>
  <c r="L278" i="5"/>
  <c r="K278" i="5"/>
  <c r="J278" i="5"/>
  <c r="I278" i="5"/>
  <c r="H278" i="5"/>
  <c r="G278" i="5"/>
  <c r="F278" i="5"/>
  <c r="E278" i="5"/>
  <c r="N276" i="5"/>
  <c r="M276" i="5"/>
  <c r="L276" i="5"/>
  <c r="K276" i="5"/>
  <c r="J276" i="5"/>
  <c r="I276" i="5"/>
  <c r="H276" i="5"/>
  <c r="G276" i="5"/>
  <c r="F276" i="5"/>
  <c r="E276" i="5"/>
  <c r="N275" i="5"/>
  <c r="M275" i="5"/>
  <c r="L275" i="5"/>
  <c r="K275" i="5"/>
  <c r="J275" i="5"/>
  <c r="I275" i="5"/>
  <c r="H275" i="5"/>
  <c r="G275" i="5"/>
  <c r="F275" i="5"/>
  <c r="E275" i="5"/>
  <c r="N269" i="5"/>
  <c r="M269" i="5"/>
  <c r="L269" i="5"/>
  <c r="K269" i="5"/>
  <c r="J269" i="5"/>
  <c r="I269" i="5"/>
  <c r="H269" i="5"/>
  <c r="G269" i="5"/>
  <c r="F269" i="5"/>
  <c r="E269" i="5"/>
  <c r="N268" i="5"/>
  <c r="M268" i="5"/>
  <c r="L268" i="5"/>
  <c r="K268" i="5"/>
  <c r="J268" i="5"/>
  <c r="I268" i="5"/>
  <c r="H268" i="5"/>
  <c r="G268" i="5"/>
  <c r="F268" i="5"/>
  <c r="E268" i="5"/>
  <c r="N267" i="5"/>
  <c r="M267" i="5"/>
  <c r="L267" i="5"/>
  <c r="K267" i="5"/>
  <c r="J267" i="5"/>
  <c r="I267" i="5"/>
  <c r="H267" i="5"/>
  <c r="G267" i="5"/>
  <c r="F267" i="5"/>
  <c r="E267" i="5"/>
  <c r="N266" i="5"/>
  <c r="M266" i="5"/>
  <c r="L266" i="5"/>
  <c r="K266" i="5"/>
  <c r="J266" i="5"/>
  <c r="I266" i="5"/>
  <c r="H266" i="5"/>
  <c r="G266" i="5"/>
  <c r="F266" i="5"/>
  <c r="E266" i="5"/>
  <c r="N265" i="5"/>
  <c r="M265" i="5"/>
  <c r="L265" i="5"/>
  <c r="K265" i="5"/>
  <c r="J265" i="5"/>
  <c r="I265" i="5"/>
  <c r="H265" i="5"/>
  <c r="G265" i="5"/>
  <c r="F265" i="5"/>
  <c r="E265" i="5"/>
  <c r="N264" i="5"/>
  <c r="M264" i="5"/>
  <c r="L264" i="5"/>
  <c r="K264" i="5"/>
  <c r="J264" i="5"/>
  <c r="I264" i="5"/>
  <c r="H264" i="5"/>
  <c r="G264" i="5"/>
  <c r="F264" i="5"/>
  <c r="E264" i="5"/>
  <c r="N263" i="5"/>
  <c r="M263" i="5"/>
  <c r="L263" i="5"/>
  <c r="K263" i="5"/>
  <c r="J263" i="5"/>
  <c r="I263" i="5"/>
  <c r="H263" i="5"/>
  <c r="G263" i="5"/>
  <c r="F263" i="5"/>
  <c r="E263" i="5"/>
  <c r="N261" i="5"/>
  <c r="M261" i="5"/>
  <c r="L261" i="5"/>
  <c r="K261" i="5"/>
  <c r="J261" i="5"/>
  <c r="I261" i="5"/>
  <c r="H261" i="5"/>
  <c r="G261" i="5"/>
  <c r="F261" i="5"/>
  <c r="E261" i="5"/>
  <c r="N260" i="5"/>
  <c r="M260" i="5"/>
  <c r="L260" i="5"/>
  <c r="K260" i="5"/>
  <c r="J260" i="5"/>
  <c r="I260" i="5"/>
  <c r="H260" i="5"/>
  <c r="G260" i="5"/>
  <c r="F260" i="5"/>
  <c r="E260" i="5"/>
  <c r="E16" i="10"/>
  <c r="C8" i="12"/>
  <c r="C6" i="10"/>
  <c r="I132" i="15"/>
  <c r="H132" i="15"/>
  <c r="G132" i="15"/>
  <c r="F132" i="15"/>
  <c r="E132" i="15"/>
  <c r="D132" i="15"/>
  <c r="I131" i="15"/>
  <c r="H131" i="15"/>
  <c r="G131" i="15"/>
  <c r="F131" i="15"/>
  <c r="E131" i="15"/>
  <c r="D131" i="15"/>
  <c r="I130" i="15"/>
  <c r="H130" i="15"/>
  <c r="G130" i="15"/>
  <c r="F130" i="15"/>
  <c r="E130" i="15"/>
  <c r="D130" i="15"/>
  <c r="I129" i="15"/>
  <c r="H129" i="15"/>
  <c r="G129" i="15"/>
  <c r="F129" i="15"/>
  <c r="E129" i="15"/>
  <c r="D129" i="15"/>
  <c r="I128" i="15"/>
  <c r="H128" i="15"/>
  <c r="G128" i="15"/>
  <c r="F128" i="15"/>
  <c r="E128" i="15"/>
  <c r="D128" i="15"/>
  <c r="I127" i="15"/>
  <c r="H127" i="15"/>
  <c r="G127" i="15"/>
  <c r="F127" i="15"/>
  <c r="E127" i="15"/>
  <c r="D127" i="15"/>
  <c r="I126" i="15"/>
  <c r="H126" i="15"/>
  <c r="G126" i="15"/>
  <c r="F126" i="15"/>
  <c r="E126" i="15"/>
  <c r="D126" i="15"/>
  <c r="I125" i="15"/>
  <c r="H125" i="15"/>
  <c r="G125" i="15"/>
  <c r="F125" i="15"/>
  <c r="E125" i="15"/>
  <c r="D125" i="15"/>
  <c r="I124" i="15"/>
  <c r="H124" i="15"/>
  <c r="G124" i="15"/>
  <c r="F124" i="15"/>
  <c r="E124" i="15"/>
  <c r="D124" i="15"/>
  <c r="I123" i="15"/>
  <c r="H123" i="15"/>
  <c r="G123" i="15"/>
  <c r="F123" i="15"/>
  <c r="E123" i="15"/>
  <c r="D123" i="15"/>
  <c r="I122" i="15"/>
  <c r="H122" i="15"/>
  <c r="G122" i="15"/>
  <c r="F122" i="15"/>
  <c r="E122" i="15"/>
  <c r="D122" i="15"/>
  <c r="I121" i="15"/>
  <c r="H121" i="15"/>
  <c r="G121" i="15"/>
  <c r="F121" i="15"/>
  <c r="E121" i="15"/>
  <c r="D121" i="15"/>
  <c r="I120" i="15"/>
  <c r="H120" i="15"/>
  <c r="G120" i="15"/>
  <c r="F120" i="15"/>
  <c r="E120" i="15"/>
  <c r="D120" i="15"/>
  <c r="C76" i="15"/>
  <c r="C104" i="15" s="1"/>
  <c r="C132" i="15" s="1"/>
  <c r="C75" i="15"/>
  <c r="C103" i="15" s="1"/>
  <c r="C131" i="15" s="1"/>
  <c r="C74" i="15"/>
  <c r="C102" i="15" s="1"/>
  <c r="C130" i="15" s="1"/>
  <c r="C73" i="15"/>
  <c r="C101" i="15" s="1"/>
  <c r="C129" i="15" s="1"/>
  <c r="C72" i="15"/>
  <c r="C100" i="15" s="1"/>
  <c r="C128" i="15" s="1"/>
  <c r="C71" i="15"/>
  <c r="C99" i="15" s="1"/>
  <c r="C127" i="15" s="1"/>
  <c r="C70" i="15"/>
  <c r="C98" i="15" s="1"/>
  <c r="C126" i="15" s="1"/>
  <c r="C69" i="15"/>
  <c r="C97" i="15" s="1"/>
  <c r="C125" i="15" s="1"/>
  <c r="C68" i="15"/>
  <c r="C96" i="15" s="1"/>
  <c r="C124" i="15" s="1"/>
  <c r="C67" i="15"/>
  <c r="C95" i="15" s="1"/>
  <c r="C123" i="15" s="1"/>
  <c r="C66" i="15"/>
  <c r="C94" i="15" s="1"/>
  <c r="C122" i="15" s="1"/>
  <c r="C65" i="15"/>
  <c r="C93" i="15" s="1"/>
  <c r="C121" i="15" s="1"/>
  <c r="C64" i="15"/>
  <c r="C92" i="15" s="1"/>
  <c r="C120" i="15" s="1"/>
  <c r="D10" i="16"/>
  <c r="D9" i="16"/>
  <c r="D107" i="15"/>
  <c r="E107" i="15"/>
  <c r="F107" i="15"/>
  <c r="G107" i="15"/>
  <c r="H107" i="15"/>
  <c r="I107" i="15"/>
  <c r="D79" i="15"/>
  <c r="E79" i="15"/>
  <c r="F79" i="15"/>
  <c r="G79" i="15"/>
  <c r="H79" i="15"/>
  <c r="I79" i="15"/>
  <c r="D51" i="15"/>
  <c r="E51" i="15"/>
  <c r="F51" i="15"/>
  <c r="G51" i="15"/>
  <c r="H51" i="15"/>
  <c r="I51" i="15"/>
  <c r="C1" i="16"/>
  <c r="C1" i="15"/>
  <c r="N16" i="16"/>
  <c r="M16" i="16"/>
  <c r="L16" i="16"/>
  <c r="K16" i="16"/>
  <c r="J16" i="16"/>
  <c r="I16" i="16"/>
  <c r="H16" i="16"/>
  <c r="G16" i="16"/>
  <c r="F16" i="16"/>
  <c r="B2" i="16"/>
  <c r="E9" i="16" l="1"/>
  <c r="E10" i="16"/>
  <c r="B4" i="16"/>
  <c r="B18" i="16" l="1"/>
  <c r="I119" i="15" l="1"/>
  <c r="H119" i="15"/>
  <c r="G119" i="15"/>
  <c r="F119" i="15"/>
  <c r="E119" i="15"/>
  <c r="D119" i="15"/>
  <c r="I118" i="15"/>
  <c r="H118" i="15"/>
  <c r="G118" i="15"/>
  <c r="F118" i="15"/>
  <c r="E118" i="15"/>
  <c r="D118" i="15"/>
  <c r="I117" i="15"/>
  <c r="H117" i="15"/>
  <c r="G117" i="15"/>
  <c r="F117" i="15"/>
  <c r="E117" i="15"/>
  <c r="D117" i="15"/>
  <c r="I116" i="15"/>
  <c r="H116" i="15"/>
  <c r="G116" i="15"/>
  <c r="F116" i="15"/>
  <c r="E116" i="15"/>
  <c r="D116" i="15"/>
  <c r="I115" i="15"/>
  <c r="H115" i="15"/>
  <c r="G115" i="15"/>
  <c r="F115" i="15"/>
  <c r="E115" i="15"/>
  <c r="D115" i="15"/>
  <c r="I114" i="15"/>
  <c r="H114" i="15"/>
  <c r="G114" i="15"/>
  <c r="F114" i="15"/>
  <c r="E114" i="15"/>
  <c r="D114" i="15"/>
  <c r="I113" i="15"/>
  <c r="H113" i="15"/>
  <c r="G113" i="15"/>
  <c r="F113" i="15"/>
  <c r="E113" i="15"/>
  <c r="D113" i="15"/>
  <c r="I112" i="15"/>
  <c r="H112" i="15"/>
  <c r="G112" i="15"/>
  <c r="F112" i="15"/>
  <c r="E112" i="15"/>
  <c r="D112" i="15"/>
  <c r="I111" i="15"/>
  <c r="H111" i="15"/>
  <c r="G111" i="15"/>
  <c r="F111" i="15"/>
  <c r="E111" i="15"/>
  <c r="D111" i="15"/>
  <c r="I110" i="15"/>
  <c r="H110" i="15"/>
  <c r="G110" i="15"/>
  <c r="F110" i="15"/>
  <c r="E110" i="15"/>
  <c r="D110" i="15"/>
  <c r="I109" i="15"/>
  <c r="H109" i="15"/>
  <c r="G109" i="15"/>
  <c r="F109" i="15"/>
  <c r="E109" i="15"/>
  <c r="D109" i="15"/>
  <c r="I105" i="15"/>
  <c r="H105" i="15"/>
  <c r="G105" i="15"/>
  <c r="F105" i="15"/>
  <c r="E105" i="15"/>
  <c r="D105" i="15"/>
  <c r="I77" i="15"/>
  <c r="I39" i="15" s="1"/>
  <c r="H77" i="15"/>
  <c r="H39" i="15" s="1"/>
  <c r="G77" i="15"/>
  <c r="G39" i="15" s="1"/>
  <c r="G45" i="15" s="1"/>
  <c r="F77" i="15"/>
  <c r="F39" i="15" s="1"/>
  <c r="F45" i="15" s="1"/>
  <c r="E77" i="15"/>
  <c r="E39" i="15" s="1"/>
  <c r="E45" i="15" s="1"/>
  <c r="D77" i="15"/>
  <c r="D39" i="15" s="1"/>
  <c r="C63" i="15"/>
  <c r="C91" i="15" s="1"/>
  <c r="C119" i="15" s="1"/>
  <c r="C62" i="15"/>
  <c r="C90" i="15" s="1"/>
  <c r="C118" i="15" s="1"/>
  <c r="C61" i="15"/>
  <c r="C89" i="15" s="1"/>
  <c r="C117" i="15" s="1"/>
  <c r="C60" i="15"/>
  <c r="C88" i="15" s="1"/>
  <c r="C116" i="15" s="1"/>
  <c r="C59" i="15"/>
  <c r="C87" i="15" s="1"/>
  <c r="C115" i="15" s="1"/>
  <c r="C58" i="15"/>
  <c r="C86" i="15" s="1"/>
  <c r="C114" i="15" s="1"/>
  <c r="C57" i="15"/>
  <c r="C85" i="15" s="1"/>
  <c r="C113" i="15" s="1"/>
  <c r="C56" i="15"/>
  <c r="C84" i="15" s="1"/>
  <c r="C112" i="15" s="1"/>
  <c r="C55" i="15"/>
  <c r="C83" i="15" s="1"/>
  <c r="C111" i="15" s="1"/>
  <c r="C54" i="15"/>
  <c r="C82" i="15" s="1"/>
  <c r="C110" i="15" s="1"/>
  <c r="C53" i="15"/>
  <c r="C81" i="15" s="1"/>
  <c r="C109" i="15" s="1"/>
  <c r="B2" i="15"/>
  <c r="H45" i="15" l="1"/>
  <c r="D11" i="16" s="1"/>
  <c r="D8" i="16"/>
  <c r="E8" i="16"/>
  <c r="I45" i="15"/>
  <c r="E11" i="16" s="1"/>
  <c r="F133" i="15"/>
  <c r="E133" i="15"/>
  <c r="G133" i="15"/>
  <c r="I133" i="15"/>
  <c r="E13" i="16" s="1"/>
  <c r="H133" i="15"/>
  <c r="D13" i="16" s="1"/>
  <c r="D133" i="15"/>
  <c r="B4" i="15"/>
  <c r="E16" i="16" l="1"/>
  <c r="D16" i="16"/>
  <c r="B34" i="15"/>
  <c r="B49" i="15" s="1"/>
  <c r="D2" i="5" l="1"/>
  <c r="D28" i="9" s="1"/>
  <c r="C9" i="10"/>
  <c r="D9" i="10"/>
  <c r="D24" i="10" s="1"/>
  <c r="N2" i="5"/>
  <c r="N366" i="5" s="1"/>
  <c r="M2" i="5"/>
  <c r="M50" i="7" s="1"/>
  <c r="L2" i="5"/>
  <c r="K103" i="6" s="1"/>
  <c r="K2" i="5"/>
  <c r="K23" i="7" s="1"/>
  <c r="J2" i="5"/>
  <c r="J8" i="7" s="1"/>
  <c r="I2" i="5"/>
  <c r="I8" i="7" s="1"/>
  <c r="H2" i="5"/>
  <c r="H28" i="9" s="1"/>
  <c r="G2" i="5"/>
  <c r="G28" i="9" s="1"/>
  <c r="F2" i="5"/>
  <c r="F50" i="7" s="1"/>
  <c r="E2" i="5"/>
  <c r="E50" i="7" s="1"/>
  <c r="D252" i="5"/>
  <c r="D378" i="5" s="1"/>
  <c r="D251" i="5"/>
  <c r="D377" i="5" s="1"/>
  <c r="D250" i="5"/>
  <c r="D376" i="5" s="1"/>
  <c r="D249" i="5"/>
  <c r="D375" i="5" s="1"/>
  <c r="D245" i="5"/>
  <c r="D371" i="5" s="1"/>
  <c r="D244" i="5"/>
  <c r="D370" i="5" s="1"/>
  <c r="D243" i="5"/>
  <c r="D369" i="5" s="1"/>
  <c r="D242" i="5"/>
  <c r="D368" i="5" s="1"/>
  <c r="D236" i="5"/>
  <c r="D362" i="5" s="1"/>
  <c r="D235" i="5"/>
  <c r="D361" i="5" s="1"/>
  <c r="D234" i="5"/>
  <c r="D360" i="5" s="1"/>
  <c r="D232" i="5"/>
  <c r="D358" i="5" s="1"/>
  <c r="D225" i="5"/>
  <c r="D351" i="5" s="1"/>
  <c r="D224" i="5"/>
  <c r="D350" i="5" s="1"/>
  <c r="D223" i="5"/>
  <c r="D349" i="5" s="1"/>
  <c r="D222" i="5"/>
  <c r="D348" i="5" s="1"/>
  <c r="D218" i="5"/>
  <c r="D344" i="5" s="1"/>
  <c r="D217" i="5"/>
  <c r="D343" i="5" s="1"/>
  <c r="D216" i="5"/>
  <c r="D342" i="5" s="1"/>
  <c r="D215" i="5"/>
  <c r="D341" i="5" s="1"/>
  <c r="D214" i="5"/>
  <c r="D340" i="5" s="1"/>
  <c r="D213" i="5"/>
  <c r="D339" i="5" s="1"/>
  <c r="D208" i="5"/>
  <c r="D334" i="5" s="1"/>
  <c r="D207" i="5"/>
  <c r="D333" i="5" s="1"/>
  <c r="D206" i="5"/>
  <c r="D332" i="5" s="1"/>
  <c r="D205" i="5"/>
  <c r="D331" i="5" s="1"/>
  <c r="D204" i="5"/>
  <c r="D330" i="5" s="1"/>
  <c r="D203" i="5"/>
  <c r="D329" i="5" s="1"/>
  <c r="D202" i="5"/>
  <c r="D328" i="5" s="1"/>
  <c r="D198" i="5"/>
  <c r="D324" i="5" s="1"/>
  <c r="D197" i="5"/>
  <c r="D323" i="5" s="1"/>
  <c r="D196" i="5"/>
  <c r="D322" i="5" s="1"/>
  <c r="D195" i="5"/>
  <c r="D321" i="5" s="1"/>
  <c r="D194" i="5"/>
  <c r="D320" i="5" s="1"/>
  <c r="D193" i="5"/>
  <c r="D319" i="5" s="1"/>
  <c r="D192" i="5"/>
  <c r="D318" i="5" s="1"/>
  <c r="D191" i="5"/>
  <c r="D317" i="5" s="1"/>
  <c r="D190" i="5"/>
  <c r="D316" i="5" s="1"/>
  <c r="D189" i="5"/>
  <c r="D315" i="5" s="1"/>
  <c r="D188" i="5"/>
  <c r="D314" i="5" s="1"/>
  <c r="D178" i="5"/>
  <c r="D304" i="5" s="1"/>
  <c r="D177" i="5"/>
  <c r="D303" i="5" s="1"/>
  <c r="D176" i="5"/>
  <c r="D302" i="5" s="1"/>
  <c r="D175" i="5"/>
  <c r="D301" i="5" s="1"/>
  <c r="D174" i="5"/>
  <c r="D300" i="5" s="1"/>
  <c r="D173" i="5"/>
  <c r="D299" i="5" s="1"/>
  <c r="D172" i="5"/>
  <c r="D298" i="5" s="1"/>
  <c r="D171" i="5"/>
  <c r="D169" i="5"/>
  <c r="D295" i="5" s="1"/>
  <c r="D168" i="5"/>
  <c r="D294" i="5" s="1"/>
  <c r="D167" i="5"/>
  <c r="D293" i="5" s="1"/>
  <c r="D164" i="5"/>
  <c r="D290" i="5" s="1"/>
  <c r="D163" i="5"/>
  <c r="D289" i="5" s="1"/>
  <c r="D162" i="5"/>
  <c r="D288" i="5" s="1"/>
  <c r="D161" i="5"/>
  <c r="D287" i="5" s="1"/>
  <c r="D160" i="5"/>
  <c r="D286" i="5" s="1"/>
  <c r="D159" i="5"/>
  <c r="D285" i="5" s="1"/>
  <c r="D158" i="5"/>
  <c r="D284" i="5" s="1"/>
  <c r="D156" i="5"/>
  <c r="D282" i="5" s="1"/>
  <c r="D155" i="5"/>
  <c r="D281" i="5" s="1"/>
  <c r="D153" i="5"/>
  <c r="D279" i="5" s="1"/>
  <c r="D152" i="5"/>
  <c r="D278" i="5" s="1"/>
  <c r="D150" i="5"/>
  <c r="D276" i="5" s="1"/>
  <c r="D149" i="5"/>
  <c r="D275" i="5" s="1"/>
  <c r="D143" i="5"/>
  <c r="D269" i="5" s="1"/>
  <c r="D142" i="5"/>
  <c r="D268" i="5" s="1"/>
  <c r="D141" i="5"/>
  <c r="D267" i="5" s="1"/>
  <c r="D140" i="5"/>
  <c r="D266" i="5" s="1"/>
  <c r="D139" i="5"/>
  <c r="D265" i="5" s="1"/>
  <c r="D138" i="5"/>
  <c r="D264" i="5" s="1"/>
  <c r="D137" i="5"/>
  <c r="D263" i="5" s="1"/>
  <c r="D135" i="5"/>
  <c r="D261" i="5" s="1"/>
  <c r="D134" i="5"/>
  <c r="D260" i="5" s="1"/>
  <c r="N30" i="9"/>
  <c r="M30" i="9"/>
  <c r="L30" i="9"/>
  <c r="K30" i="9"/>
  <c r="J30" i="9"/>
  <c r="I30" i="9"/>
  <c r="H30" i="9"/>
  <c r="G30" i="9"/>
  <c r="F30" i="9"/>
  <c r="E30" i="9"/>
  <c r="N29" i="9"/>
  <c r="M29" i="9"/>
  <c r="L29" i="9"/>
  <c r="K29" i="9"/>
  <c r="J29" i="9"/>
  <c r="I29" i="9"/>
  <c r="H29" i="9"/>
  <c r="G29" i="9"/>
  <c r="F29" i="9"/>
  <c r="E29" i="9"/>
  <c r="D29" i="9"/>
  <c r="K7" i="5" l="1"/>
  <c r="K133" i="5"/>
  <c r="K259" i="5"/>
  <c r="P30" i="9"/>
  <c r="O30" i="9"/>
  <c r="O29" i="9"/>
  <c r="P29" i="9"/>
  <c r="D30" i="9"/>
  <c r="D297" i="5"/>
  <c r="H21" i="5"/>
  <c r="H147" i="5"/>
  <c r="I147" i="5"/>
  <c r="I273" i="5"/>
  <c r="I21" i="6"/>
  <c r="J21" i="5"/>
  <c r="J147" i="5"/>
  <c r="J273" i="5"/>
  <c r="F57" i="6"/>
  <c r="I21" i="5"/>
  <c r="F59" i="5"/>
  <c r="F185" i="5"/>
  <c r="G311" i="5"/>
  <c r="G57" i="6"/>
  <c r="G59" i="5"/>
  <c r="G185" i="5"/>
  <c r="H311" i="5"/>
  <c r="I103" i="6"/>
  <c r="H273" i="5"/>
  <c r="H59" i="5"/>
  <c r="H185" i="5"/>
  <c r="I7" i="6"/>
  <c r="J103" i="6"/>
  <c r="H21" i="6"/>
  <c r="J7" i="5"/>
  <c r="J133" i="5"/>
  <c r="J259" i="5"/>
  <c r="J7" i="6"/>
  <c r="I9" i="10"/>
  <c r="I24" i="10" s="1"/>
  <c r="G21" i="6"/>
  <c r="L114" i="5"/>
  <c r="N185" i="5"/>
  <c r="E80" i="6"/>
  <c r="E7" i="5"/>
  <c r="M7" i="5"/>
  <c r="K21" i="5"/>
  <c r="I59" i="5"/>
  <c r="G114" i="5"/>
  <c r="E133" i="5"/>
  <c r="M133" i="5"/>
  <c r="K147" i="5"/>
  <c r="I185" i="5"/>
  <c r="G240" i="5"/>
  <c r="E259" i="5"/>
  <c r="M259" i="5"/>
  <c r="K273" i="5"/>
  <c r="I311" i="5"/>
  <c r="G366" i="5"/>
  <c r="D7" i="6"/>
  <c r="L7" i="6"/>
  <c r="J21" i="6"/>
  <c r="H57" i="6"/>
  <c r="F80" i="6"/>
  <c r="D103" i="6"/>
  <c r="L103" i="6"/>
  <c r="L6" i="9"/>
  <c r="N17" i="9"/>
  <c r="F17" i="9"/>
  <c r="H8" i="7"/>
  <c r="J23" i="7"/>
  <c r="L50" i="7"/>
  <c r="N28" i="9"/>
  <c r="F28" i="9"/>
  <c r="L133" i="5"/>
  <c r="M80" i="6"/>
  <c r="F7" i="5"/>
  <c r="N7" i="5"/>
  <c r="L21" i="5"/>
  <c r="J59" i="5"/>
  <c r="H114" i="5"/>
  <c r="F133" i="5"/>
  <c r="N133" i="5"/>
  <c r="L147" i="5"/>
  <c r="J185" i="5"/>
  <c r="H240" i="5"/>
  <c r="F259" i="5"/>
  <c r="N259" i="5"/>
  <c r="L273" i="5"/>
  <c r="J311" i="5"/>
  <c r="H366" i="5"/>
  <c r="E7" i="6"/>
  <c r="M7" i="6"/>
  <c r="K21" i="6"/>
  <c r="I57" i="6"/>
  <c r="G80" i="6"/>
  <c r="E103" i="6"/>
  <c r="M103" i="6"/>
  <c r="K6" i="9"/>
  <c r="M17" i="9"/>
  <c r="E17" i="9"/>
  <c r="G8" i="7"/>
  <c r="I23" i="7"/>
  <c r="K50" i="7"/>
  <c r="M28" i="9"/>
  <c r="E28" i="9"/>
  <c r="N114" i="5"/>
  <c r="N240" i="5"/>
  <c r="G7" i="5"/>
  <c r="E21" i="5"/>
  <c r="M21" i="5"/>
  <c r="K59" i="5"/>
  <c r="I114" i="5"/>
  <c r="G133" i="5"/>
  <c r="E147" i="5"/>
  <c r="M147" i="5"/>
  <c r="K185" i="5"/>
  <c r="I240" i="5"/>
  <c r="G259" i="5"/>
  <c r="E273" i="5"/>
  <c r="M273" i="5"/>
  <c r="K311" i="5"/>
  <c r="I366" i="5"/>
  <c r="F7" i="6"/>
  <c r="D21" i="6"/>
  <c r="L21" i="6"/>
  <c r="J57" i="6"/>
  <c r="H80" i="6"/>
  <c r="F103" i="6"/>
  <c r="F9" i="10"/>
  <c r="F24" i="10" s="1"/>
  <c r="J6" i="9"/>
  <c r="L17" i="9"/>
  <c r="N8" i="7"/>
  <c r="F8" i="7"/>
  <c r="H23" i="7"/>
  <c r="J50" i="7"/>
  <c r="L28" i="9"/>
  <c r="E114" i="5"/>
  <c r="M240" i="5"/>
  <c r="F240" i="5"/>
  <c r="L259" i="5"/>
  <c r="H7" i="5"/>
  <c r="F21" i="5"/>
  <c r="N21" i="5"/>
  <c r="L59" i="5"/>
  <c r="J114" i="5"/>
  <c r="H133" i="5"/>
  <c r="F147" i="5"/>
  <c r="N147" i="5"/>
  <c r="L185" i="5"/>
  <c r="J240" i="5"/>
  <c r="H259" i="5"/>
  <c r="F273" i="5"/>
  <c r="N273" i="5"/>
  <c r="L311" i="5"/>
  <c r="J366" i="5"/>
  <c r="G7" i="6"/>
  <c r="E21" i="6"/>
  <c r="M21" i="6"/>
  <c r="K57" i="6"/>
  <c r="I80" i="6"/>
  <c r="G103" i="6"/>
  <c r="G9" i="10"/>
  <c r="G24" i="10" s="1"/>
  <c r="I6" i="9"/>
  <c r="K17" i="9"/>
  <c r="M8" i="7"/>
  <c r="E8" i="7"/>
  <c r="G23" i="7"/>
  <c r="I50" i="7"/>
  <c r="K28" i="9"/>
  <c r="L7" i="5"/>
  <c r="F114" i="5"/>
  <c r="F366" i="5"/>
  <c r="K7" i="6"/>
  <c r="I7" i="5"/>
  <c r="G21" i="5"/>
  <c r="E59" i="5"/>
  <c r="M59" i="5"/>
  <c r="K114" i="5"/>
  <c r="I133" i="5"/>
  <c r="G147" i="5"/>
  <c r="E185" i="5"/>
  <c r="M185" i="5"/>
  <c r="K240" i="5"/>
  <c r="I259" i="5"/>
  <c r="G273" i="5"/>
  <c r="E311" i="5"/>
  <c r="M311" i="5"/>
  <c r="K366" i="5"/>
  <c r="H7" i="6"/>
  <c r="F21" i="6"/>
  <c r="D57" i="6"/>
  <c r="L57" i="6"/>
  <c r="J80" i="6"/>
  <c r="H103" i="6"/>
  <c r="H9" i="10"/>
  <c r="H24" i="10" s="1"/>
  <c r="H6" i="9"/>
  <c r="J17" i="9"/>
  <c r="L8" i="7"/>
  <c r="N23" i="7"/>
  <c r="F23" i="7"/>
  <c r="H50" i="7"/>
  <c r="J28" i="9"/>
  <c r="F311" i="5"/>
  <c r="N311" i="5"/>
  <c r="L366" i="5"/>
  <c r="E57" i="6"/>
  <c r="M57" i="6"/>
  <c r="K80" i="6"/>
  <c r="G6" i="9"/>
  <c r="I17" i="9"/>
  <c r="K8" i="7"/>
  <c r="M23" i="7"/>
  <c r="E23" i="7"/>
  <c r="G50" i="7"/>
  <c r="I28" i="9"/>
  <c r="E240" i="5"/>
  <c r="E366" i="5"/>
  <c r="M366" i="5"/>
  <c r="D80" i="6"/>
  <c r="L80" i="6"/>
  <c r="N6" i="9"/>
  <c r="F6" i="9"/>
  <c r="H17" i="9"/>
  <c r="L23" i="7"/>
  <c r="N50" i="7"/>
  <c r="N59" i="5"/>
  <c r="L240" i="5"/>
  <c r="M114" i="5"/>
  <c r="M6" i="9"/>
  <c r="E6" i="9"/>
  <c r="G17" i="9"/>
  <c r="E9" i="10"/>
  <c r="E24" i="10" s="1"/>
  <c r="D147" i="5"/>
  <c r="D6" i="9"/>
  <c r="D23" i="7"/>
  <c r="D366" i="5"/>
  <c r="D133" i="5"/>
  <c r="D8" i="7"/>
  <c r="D259" i="5"/>
  <c r="D114" i="5"/>
  <c r="D185" i="5"/>
  <c r="D17" i="9"/>
  <c r="D240" i="5"/>
  <c r="D59" i="5"/>
  <c r="D311" i="5"/>
  <c r="D7" i="5"/>
  <c r="D21" i="5"/>
  <c r="D273" i="5"/>
  <c r="D50" i="7"/>
  <c r="P31" i="9" l="1"/>
  <c r="O31" i="9"/>
  <c r="B19" i="7" l="1"/>
  <c r="F43" i="7" l="1"/>
  <c r="J43" i="7" s="1"/>
  <c r="D43" i="7" l="1"/>
  <c r="H43" i="7" s="1"/>
  <c r="I25" i="10" l="1"/>
  <c r="I26" i="10"/>
  <c r="A2" i="13"/>
  <c r="A4" i="13" s="1"/>
  <c r="B1" i="13"/>
  <c r="B1" i="12"/>
  <c r="B1" i="7"/>
  <c r="B1" i="5"/>
  <c r="B1" i="6"/>
  <c r="B1" i="9"/>
  <c r="B1" i="10"/>
  <c r="B1" i="11"/>
  <c r="B4" i="7"/>
  <c r="C6" i="7"/>
  <c r="C11" i="7"/>
  <c r="E18" i="11"/>
  <c r="E16" i="11"/>
  <c r="A41" i="13" l="1"/>
  <c r="A2" i="12" l="1"/>
  <c r="A2" i="11"/>
  <c r="A4" i="12" l="1"/>
  <c r="A18" i="12" s="1"/>
  <c r="A4" i="11"/>
  <c r="A8" i="11" s="1"/>
  <c r="A31" i="12" l="1"/>
  <c r="A12" i="11"/>
  <c r="A23" i="11" s="1"/>
  <c r="A53" i="12" l="1"/>
  <c r="A60" i="12" s="1"/>
  <c r="A114" i="12" s="1"/>
  <c r="A43" i="11"/>
  <c r="A62" i="11" s="1"/>
  <c r="A147" i="11" l="1"/>
  <c r="I30" i="10" l="1"/>
  <c r="I29" i="10"/>
  <c r="D127" i="5"/>
  <c r="I31" i="10" l="1"/>
  <c r="E25" i="10"/>
  <c r="D25" i="10"/>
  <c r="I20" i="10"/>
  <c r="H20" i="10"/>
  <c r="G20" i="10"/>
  <c r="F20" i="10"/>
  <c r="E20" i="10"/>
  <c r="D20" i="10"/>
  <c r="I16" i="10"/>
  <c r="H16" i="10"/>
  <c r="G16" i="10"/>
  <c r="F16" i="10"/>
  <c r="D16" i="10"/>
  <c r="D26" i="10" s="1"/>
  <c r="I11" i="10"/>
  <c r="H11" i="10"/>
  <c r="G11" i="10"/>
  <c r="F11" i="10"/>
  <c r="E11" i="10"/>
  <c r="I10" i="10"/>
  <c r="H10" i="10"/>
  <c r="G10" i="10"/>
  <c r="F10" i="10"/>
  <c r="E10" i="10"/>
  <c r="A2" i="10"/>
  <c r="A2" i="9"/>
  <c r="A4" i="9" l="1"/>
  <c r="A15" i="9" s="1"/>
  <c r="A26" i="9" s="1"/>
  <c r="A4" i="10"/>
  <c r="A22" i="10" s="1"/>
  <c r="M107" i="6" l="1"/>
  <c r="L107" i="6"/>
  <c r="K107" i="6"/>
  <c r="J107" i="6"/>
  <c r="I107" i="6"/>
  <c r="H107" i="6"/>
  <c r="G107" i="6"/>
  <c r="F107" i="6"/>
  <c r="E107" i="6"/>
  <c r="D107" i="6"/>
  <c r="M106" i="6"/>
  <c r="L106" i="6"/>
  <c r="K106" i="6"/>
  <c r="J106" i="6"/>
  <c r="I106" i="6"/>
  <c r="H106" i="6"/>
  <c r="G106" i="6"/>
  <c r="F106" i="6"/>
  <c r="E106" i="6"/>
  <c r="D106" i="6"/>
  <c r="M105" i="6"/>
  <c r="L105" i="6"/>
  <c r="K105" i="6"/>
  <c r="J105" i="6"/>
  <c r="I105" i="6"/>
  <c r="H105" i="6"/>
  <c r="G105" i="6"/>
  <c r="F105" i="6"/>
  <c r="E105" i="6"/>
  <c r="D105" i="6"/>
  <c r="A2" i="7"/>
  <c r="A4" i="7" s="1"/>
  <c r="N253" i="5"/>
  <c r="M253" i="5"/>
  <c r="L253" i="5"/>
  <c r="K253" i="5"/>
  <c r="J253" i="5"/>
  <c r="I253" i="5"/>
  <c r="H253" i="5"/>
  <c r="G253" i="5"/>
  <c r="F253" i="5"/>
  <c r="E253" i="5"/>
  <c r="D253" i="5"/>
  <c r="D379" i="5" s="1"/>
  <c r="N246" i="5"/>
  <c r="N63" i="7" s="1"/>
  <c r="M246" i="5"/>
  <c r="M63" i="7" s="1"/>
  <c r="L246" i="5"/>
  <c r="L63" i="7" s="1"/>
  <c r="K246" i="5"/>
  <c r="K63" i="7" s="1"/>
  <c r="J246" i="5"/>
  <c r="J63" i="7" s="1"/>
  <c r="I246" i="5"/>
  <c r="I63" i="7" s="1"/>
  <c r="H246" i="5"/>
  <c r="H63" i="7" s="1"/>
  <c r="G246" i="5"/>
  <c r="G63" i="7" s="1"/>
  <c r="F246" i="5"/>
  <c r="F63" i="7" s="1"/>
  <c r="E246" i="5"/>
  <c r="E63" i="7" s="1"/>
  <c r="D246" i="5"/>
  <c r="D63" i="7" s="1"/>
  <c r="N233" i="5"/>
  <c r="N237" i="5" s="1"/>
  <c r="M233" i="5"/>
  <c r="M237" i="5" s="1"/>
  <c r="L233" i="5"/>
  <c r="L237" i="5" s="1"/>
  <c r="K233" i="5"/>
  <c r="K237" i="5" s="1"/>
  <c r="J233" i="5"/>
  <c r="J237" i="5" s="1"/>
  <c r="I233" i="5"/>
  <c r="I237" i="5" s="1"/>
  <c r="H233" i="5"/>
  <c r="H237" i="5" s="1"/>
  <c r="G233" i="5"/>
  <c r="G237" i="5" s="1"/>
  <c r="F233" i="5"/>
  <c r="F237" i="5" s="1"/>
  <c r="E233" i="5"/>
  <c r="E237" i="5" s="1"/>
  <c r="D233" i="5"/>
  <c r="D237" i="5" s="1"/>
  <c r="N226" i="5"/>
  <c r="M226" i="5"/>
  <c r="L226" i="5"/>
  <c r="K226" i="5"/>
  <c r="J226" i="5"/>
  <c r="I226" i="5"/>
  <c r="H226" i="5"/>
  <c r="G226" i="5"/>
  <c r="F226" i="5"/>
  <c r="E226" i="5"/>
  <c r="D226" i="5"/>
  <c r="N219" i="5"/>
  <c r="N23" i="9" s="1"/>
  <c r="N31" i="7" s="1"/>
  <c r="M219" i="5"/>
  <c r="M23" i="9" s="1"/>
  <c r="M31" i="7" s="1"/>
  <c r="L219" i="5"/>
  <c r="L23" i="9" s="1"/>
  <c r="L31" i="7" s="1"/>
  <c r="K219" i="5"/>
  <c r="K23" i="9" s="1"/>
  <c r="K31" i="7" s="1"/>
  <c r="J219" i="5"/>
  <c r="J23" i="9" s="1"/>
  <c r="J31" i="7" s="1"/>
  <c r="I219" i="5"/>
  <c r="I23" i="9" s="1"/>
  <c r="I31" i="7" s="1"/>
  <c r="H219" i="5"/>
  <c r="H23" i="9" s="1"/>
  <c r="H31" i="7" s="1"/>
  <c r="G219" i="5"/>
  <c r="G23" i="9" s="1"/>
  <c r="G31" i="7" s="1"/>
  <c r="F219" i="5"/>
  <c r="F23" i="9" s="1"/>
  <c r="F31" i="7" s="1"/>
  <c r="E219" i="5"/>
  <c r="E23" i="9" s="1"/>
  <c r="D219" i="5"/>
  <c r="D23" i="9" s="1"/>
  <c r="D31" i="7" s="1"/>
  <c r="D209" i="5"/>
  <c r="N187" i="5"/>
  <c r="N199" i="5" s="1"/>
  <c r="M187" i="5"/>
  <c r="M199" i="5" s="1"/>
  <c r="L187" i="5"/>
  <c r="L199" i="5" s="1"/>
  <c r="K187" i="5"/>
  <c r="K199" i="5" s="1"/>
  <c r="J187" i="5"/>
  <c r="J199" i="5" s="1"/>
  <c r="I187" i="5"/>
  <c r="I199" i="5" s="1"/>
  <c r="H187" i="5"/>
  <c r="H199" i="5" s="1"/>
  <c r="G187" i="5"/>
  <c r="G199" i="5" s="1"/>
  <c r="F187" i="5"/>
  <c r="F199" i="5" s="1"/>
  <c r="E187" i="5"/>
  <c r="E199" i="5" s="1"/>
  <c r="D187" i="5"/>
  <c r="D199" i="5" s="1"/>
  <c r="N170" i="5"/>
  <c r="N179" i="5" s="1"/>
  <c r="N60" i="7" s="1"/>
  <c r="M170" i="5"/>
  <c r="M179" i="5" s="1"/>
  <c r="M60" i="7" s="1"/>
  <c r="L170" i="5"/>
  <c r="L179" i="5" s="1"/>
  <c r="L60" i="7" s="1"/>
  <c r="K170" i="5"/>
  <c r="K179" i="5" s="1"/>
  <c r="K60" i="7" s="1"/>
  <c r="J170" i="5"/>
  <c r="J179" i="5" s="1"/>
  <c r="J60" i="7" s="1"/>
  <c r="I170" i="5"/>
  <c r="I179" i="5" s="1"/>
  <c r="I60" i="7" s="1"/>
  <c r="H170" i="5"/>
  <c r="H179" i="5" s="1"/>
  <c r="H60" i="7" s="1"/>
  <c r="G170" i="5"/>
  <c r="G179" i="5" s="1"/>
  <c r="G60" i="7" s="1"/>
  <c r="F170" i="5"/>
  <c r="F179" i="5" s="1"/>
  <c r="F60" i="7" s="1"/>
  <c r="E170" i="5"/>
  <c r="E179" i="5" s="1"/>
  <c r="E60" i="7" s="1"/>
  <c r="D170" i="5"/>
  <c r="D179" i="5" s="1"/>
  <c r="D60" i="7" s="1"/>
  <c r="N157" i="5"/>
  <c r="M157" i="5"/>
  <c r="L157" i="5"/>
  <c r="K157" i="5"/>
  <c r="J157" i="5"/>
  <c r="I157" i="5"/>
  <c r="H157" i="5"/>
  <c r="G157" i="5"/>
  <c r="F157" i="5"/>
  <c r="E157" i="5"/>
  <c r="D157" i="5"/>
  <c r="N154" i="5"/>
  <c r="M154" i="5"/>
  <c r="L154" i="5"/>
  <c r="K154" i="5"/>
  <c r="J154" i="5"/>
  <c r="I154" i="5"/>
  <c r="H154" i="5"/>
  <c r="G154" i="5"/>
  <c r="F154" i="5"/>
  <c r="E154" i="5"/>
  <c r="D154" i="5"/>
  <c r="N151" i="5"/>
  <c r="M151" i="5"/>
  <c r="L151" i="5"/>
  <c r="K151" i="5"/>
  <c r="J151" i="5"/>
  <c r="I151" i="5"/>
  <c r="H151" i="5"/>
  <c r="G151" i="5"/>
  <c r="F151" i="5"/>
  <c r="E151" i="5"/>
  <c r="D151" i="5"/>
  <c r="N136" i="5"/>
  <c r="N144" i="5" s="1"/>
  <c r="M136" i="5"/>
  <c r="M144" i="5" s="1"/>
  <c r="L136" i="5"/>
  <c r="L144" i="5" s="1"/>
  <c r="K136" i="5"/>
  <c r="K144" i="5" s="1"/>
  <c r="J136" i="5"/>
  <c r="J144" i="5" s="1"/>
  <c r="I136" i="5"/>
  <c r="I144" i="5" s="1"/>
  <c r="H136" i="5"/>
  <c r="G136" i="5"/>
  <c r="F136" i="5"/>
  <c r="G30" i="10" s="1"/>
  <c r="E136" i="5"/>
  <c r="D136" i="5"/>
  <c r="D144" i="5" s="1"/>
  <c r="N127" i="5"/>
  <c r="M127" i="5"/>
  <c r="L127" i="5"/>
  <c r="K127" i="5"/>
  <c r="J127" i="5"/>
  <c r="I127" i="5"/>
  <c r="I379" i="5" s="1"/>
  <c r="H127" i="5"/>
  <c r="H379" i="5" s="1"/>
  <c r="G127" i="5"/>
  <c r="G379" i="5" s="1"/>
  <c r="F127" i="5"/>
  <c r="F379" i="5" s="1"/>
  <c r="E127" i="5"/>
  <c r="N120" i="5"/>
  <c r="M120" i="5"/>
  <c r="L120" i="5"/>
  <c r="K120" i="5"/>
  <c r="J120" i="5"/>
  <c r="I120" i="5"/>
  <c r="H120" i="5"/>
  <c r="G120" i="5"/>
  <c r="F120" i="5"/>
  <c r="E120" i="5"/>
  <c r="D120" i="5"/>
  <c r="N107" i="5"/>
  <c r="M107" i="5"/>
  <c r="L107" i="5"/>
  <c r="K107" i="5"/>
  <c r="J107" i="5"/>
  <c r="I107" i="5"/>
  <c r="H107" i="5"/>
  <c r="G107" i="5"/>
  <c r="F107" i="5"/>
  <c r="E107" i="5"/>
  <c r="D107" i="5"/>
  <c r="N100" i="5"/>
  <c r="M100" i="5"/>
  <c r="L100" i="5"/>
  <c r="K100" i="5"/>
  <c r="J100" i="5"/>
  <c r="I100" i="5"/>
  <c r="H100" i="5"/>
  <c r="G100" i="5"/>
  <c r="F100" i="5"/>
  <c r="F352" i="5" s="1"/>
  <c r="E100" i="5"/>
  <c r="D100" i="5"/>
  <c r="N93" i="5"/>
  <c r="M93" i="5"/>
  <c r="L93" i="5"/>
  <c r="K93" i="5"/>
  <c r="J93" i="5"/>
  <c r="I93" i="5"/>
  <c r="H93" i="5"/>
  <c r="G93" i="5"/>
  <c r="F93" i="5"/>
  <c r="F345" i="5" s="1"/>
  <c r="E93" i="5"/>
  <c r="E345" i="5" s="1"/>
  <c r="D93" i="5"/>
  <c r="D83" i="5"/>
  <c r="N61" i="5"/>
  <c r="M61" i="5"/>
  <c r="L61" i="5"/>
  <c r="K61" i="5"/>
  <c r="J61" i="5"/>
  <c r="I61" i="5"/>
  <c r="H61" i="5"/>
  <c r="G61" i="5"/>
  <c r="F61" i="5"/>
  <c r="E61" i="5"/>
  <c r="D61" i="5"/>
  <c r="N44" i="5"/>
  <c r="M44" i="5"/>
  <c r="L44" i="5"/>
  <c r="K44" i="5"/>
  <c r="J44" i="5"/>
  <c r="I44" i="5"/>
  <c r="H44" i="5"/>
  <c r="G44" i="5"/>
  <c r="F44" i="5"/>
  <c r="E44" i="5"/>
  <c r="D44" i="5"/>
  <c r="E83" i="5" s="1"/>
  <c r="N31" i="5"/>
  <c r="M31" i="5"/>
  <c r="M283" i="5" s="1"/>
  <c r="L31" i="5"/>
  <c r="L283" i="5" s="1"/>
  <c r="K31" i="5"/>
  <c r="J31" i="5"/>
  <c r="I31" i="5"/>
  <c r="H31" i="5"/>
  <c r="G31" i="5"/>
  <c r="F31" i="5"/>
  <c r="E31" i="5"/>
  <c r="D31" i="5"/>
  <c r="N28" i="5"/>
  <c r="M28" i="5"/>
  <c r="L28" i="5"/>
  <c r="K28" i="5"/>
  <c r="J28" i="5"/>
  <c r="I28" i="5"/>
  <c r="H28" i="5"/>
  <c r="G28" i="5"/>
  <c r="F28" i="5"/>
  <c r="E28" i="5"/>
  <c r="D28" i="5"/>
  <c r="N25" i="5"/>
  <c r="M25" i="5"/>
  <c r="L25" i="5"/>
  <c r="K25" i="5"/>
  <c r="K277" i="5" s="1"/>
  <c r="J25" i="5"/>
  <c r="I25" i="5"/>
  <c r="H25" i="5"/>
  <c r="G25" i="5"/>
  <c r="F25" i="5"/>
  <c r="E25" i="5"/>
  <c r="D25" i="5"/>
  <c r="N10" i="5"/>
  <c r="M10" i="5"/>
  <c r="L10" i="5"/>
  <c r="K10" i="5"/>
  <c r="J10" i="5"/>
  <c r="I10" i="5"/>
  <c r="H10" i="5"/>
  <c r="G10" i="5"/>
  <c r="F10" i="5"/>
  <c r="E10" i="5"/>
  <c r="D10" i="5"/>
  <c r="L280" i="5" l="1"/>
  <c r="F359" i="5"/>
  <c r="E205" i="5"/>
  <c r="E209" i="5" s="1"/>
  <c r="E335" i="5" s="1"/>
  <c r="D345" i="5"/>
  <c r="D335" i="5"/>
  <c r="K280" i="5"/>
  <c r="K379" i="5"/>
  <c r="J379" i="5"/>
  <c r="M379" i="5"/>
  <c r="L379" i="5"/>
  <c r="N379" i="5"/>
  <c r="E379" i="5"/>
  <c r="G352" i="5"/>
  <c r="E352" i="5"/>
  <c r="J277" i="5"/>
  <c r="N283" i="5"/>
  <c r="M280" i="5"/>
  <c r="L277" i="5"/>
  <c r="G345" i="5"/>
  <c r="I359" i="5"/>
  <c r="N277" i="5"/>
  <c r="H345" i="5"/>
  <c r="J111" i="5"/>
  <c r="J363" i="5" s="1"/>
  <c r="J359" i="5"/>
  <c r="K372" i="5"/>
  <c r="E283" i="5"/>
  <c r="G73" i="5"/>
  <c r="G325" i="5" s="1"/>
  <c r="G313" i="5"/>
  <c r="K111" i="5"/>
  <c r="K363" i="5" s="1"/>
  <c r="K359" i="5"/>
  <c r="D277" i="5"/>
  <c r="G296" i="5"/>
  <c r="J345" i="5"/>
  <c r="M56" i="7"/>
  <c r="M70" i="7" s="1"/>
  <c r="M372" i="5"/>
  <c r="L99" i="6" s="1"/>
  <c r="D262" i="5"/>
  <c r="F280" i="5"/>
  <c r="I73" i="5"/>
  <c r="I325" i="5" s="1"/>
  <c r="I313" i="5"/>
  <c r="K345" i="5"/>
  <c r="M359" i="5"/>
  <c r="F277" i="5"/>
  <c r="H280" i="5"/>
  <c r="M345" i="5"/>
  <c r="L73" i="5"/>
  <c r="L325" i="5" s="1"/>
  <c r="L313" i="5"/>
  <c r="G111" i="5"/>
  <c r="G363" i="5" s="1"/>
  <c r="G359" i="5"/>
  <c r="H56" i="7"/>
  <c r="H70" i="7" s="1"/>
  <c r="H372" i="5"/>
  <c r="G99" i="6" s="1"/>
  <c r="N280" i="5"/>
  <c r="H352" i="5"/>
  <c r="F73" i="5"/>
  <c r="F325" i="5" s="1"/>
  <c r="F313" i="5"/>
  <c r="I352" i="5"/>
  <c r="F283" i="5"/>
  <c r="H73" i="5"/>
  <c r="H325" i="5" s="1"/>
  <c r="H313" i="5"/>
  <c r="K352" i="5"/>
  <c r="E277" i="5"/>
  <c r="L352" i="5"/>
  <c r="H283" i="5"/>
  <c r="L345" i="5"/>
  <c r="F262" i="5"/>
  <c r="I283" i="5"/>
  <c r="N352" i="5"/>
  <c r="H277" i="5"/>
  <c r="J283" i="5"/>
  <c r="D111" i="5"/>
  <c r="D363" i="5" s="1"/>
  <c r="D359" i="5"/>
  <c r="E56" i="7"/>
  <c r="E70" i="7" s="1"/>
  <c r="E372" i="5"/>
  <c r="D99" i="6" s="1"/>
  <c r="I277" i="5"/>
  <c r="K283" i="5"/>
  <c r="M73" i="5"/>
  <c r="M325" i="5" s="1"/>
  <c r="M313" i="5"/>
  <c r="D352" i="5"/>
  <c r="E111" i="5"/>
  <c r="E363" i="5" s="1"/>
  <c r="E359" i="5"/>
  <c r="F56" i="7"/>
  <c r="F70" i="7" s="1"/>
  <c r="F372" i="5"/>
  <c r="E98" i="6" s="1"/>
  <c r="D73" i="5"/>
  <c r="D325" i="5" s="1"/>
  <c r="D313" i="5"/>
  <c r="H111" i="5"/>
  <c r="H363" i="5" s="1"/>
  <c r="H359" i="5"/>
  <c r="I56" i="7"/>
  <c r="I70" i="7" s="1"/>
  <c r="I372" i="5"/>
  <c r="H99" i="6" s="1"/>
  <c r="M277" i="5"/>
  <c r="J56" i="7"/>
  <c r="J70" i="7" s="1"/>
  <c r="J372" i="5"/>
  <c r="I98" i="6" s="1"/>
  <c r="F296" i="5"/>
  <c r="I345" i="5"/>
  <c r="J352" i="5"/>
  <c r="L56" i="7"/>
  <c r="L70" i="7" s="1"/>
  <c r="L372" i="5"/>
  <c r="K98" i="6" s="1"/>
  <c r="E280" i="5"/>
  <c r="L111" i="5"/>
  <c r="L363" i="5" s="1"/>
  <c r="L359" i="5"/>
  <c r="G283" i="5"/>
  <c r="N56" i="7"/>
  <c r="N70" i="7" s="1"/>
  <c r="N372" i="5"/>
  <c r="M99" i="6" s="1"/>
  <c r="E262" i="5"/>
  <c r="G280" i="5"/>
  <c r="J73" i="5"/>
  <c r="J325" i="5" s="1"/>
  <c r="J313" i="5"/>
  <c r="M352" i="5"/>
  <c r="N359" i="5"/>
  <c r="G277" i="5"/>
  <c r="K73" i="5"/>
  <c r="K325" i="5" s="1"/>
  <c r="K313" i="5"/>
  <c r="D372" i="5"/>
  <c r="G262" i="5"/>
  <c r="I280" i="5"/>
  <c r="N345" i="5"/>
  <c r="H262" i="5"/>
  <c r="J280" i="5"/>
  <c r="N73" i="5"/>
  <c r="N325" i="5" s="1"/>
  <c r="N313" i="5"/>
  <c r="G56" i="7"/>
  <c r="G70" i="7" s="1"/>
  <c r="G372" i="5"/>
  <c r="F98" i="6" s="1"/>
  <c r="P23" i="9"/>
  <c r="O23" i="9"/>
  <c r="E73" i="5"/>
  <c r="E325" i="5" s="1"/>
  <c r="E313" i="5"/>
  <c r="D53" i="5"/>
  <c r="D305" i="5" s="1"/>
  <c r="D296" i="5"/>
  <c r="E53" i="5"/>
  <c r="E305" i="5" s="1"/>
  <c r="D97" i="6" s="1"/>
  <c r="E296" i="5"/>
  <c r="H53" i="5"/>
  <c r="H305" i="5" s="1"/>
  <c r="G97" i="6" s="1"/>
  <c r="H296" i="5"/>
  <c r="I53" i="5"/>
  <c r="I53" i="7" s="1"/>
  <c r="I67" i="7" s="1"/>
  <c r="I296" i="5"/>
  <c r="J53" i="5"/>
  <c r="J53" i="7" s="1"/>
  <c r="J67" i="7" s="1"/>
  <c r="J296" i="5"/>
  <c r="K53" i="5"/>
  <c r="K53" i="7" s="1"/>
  <c r="K67" i="7" s="1"/>
  <c r="K296" i="5"/>
  <c r="L53" i="5"/>
  <c r="L305" i="5" s="1"/>
  <c r="K97" i="6" s="1"/>
  <c r="L296" i="5"/>
  <c r="N53" i="5"/>
  <c r="N53" i="7" s="1"/>
  <c r="N67" i="7" s="1"/>
  <c r="N296" i="5"/>
  <c r="M53" i="5"/>
  <c r="M305" i="5" s="1"/>
  <c r="L97" i="6" s="1"/>
  <c r="M296" i="5"/>
  <c r="D283" i="5"/>
  <c r="D280" i="5"/>
  <c r="J18" i="5"/>
  <c r="J270" i="5" s="1"/>
  <c r="J262" i="5"/>
  <c r="J22" i="16" s="1"/>
  <c r="J26" i="16" s="1"/>
  <c r="K18" i="5"/>
  <c r="K270" i="5" s="1"/>
  <c r="K262" i="5"/>
  <c r="L18" i="5"/>
  <c r="L270" i="5" s="1"/>
  <c r="L262" i="5"/>
  <c r="M18" i="5"/>
  <c r="M270" i="5" s="1"/>
  <c r="M262" i="5"/>
  <c r="N18" i="5"/>
  <c r="N270" i="5" s="1"/>
  <c r="N262" i="5"/>
  <c r="N22" i="16" s="1"/>
  <c r="N26" i="16" s="1"/>
  <c r="I18" i="5"/>
  <c r="I270" i="5" s="1"/>
  <c r="I262" i="5"/>
  <c r="I22" i="16" s="1"/>
  <c r="I26" i="16" s="1"/>
  <c r="E31" i="7"/>
  <c r="K148" i="5"/>
  <c r="K165" i="5" s="1"/>
  <c r="K34" i="9"/>
  <c r="I148" i="5"/>
  <c r="I165" i="5" s="1"/>
  <c r="I34" i="9"/>
  <c r="J148" i="5"/>
  <c r="J165" i="5" s="1"/>
  <c r="J34" i="9"/>
  <c r="L148" i="5"/>
  <c r="L34" i="9"/>
  <c r="M148" i="5"/>
  <c r="M165" i="5" s="1"/>
  <c r="M59" i="7" s="1"/>
  <c r="M34" i="9"/>
  <c r="N148" i="5"/>
  <c r="N165" i="5" s="1"/>
  <c r="N34" i="9"/>
  <c r="H30" i="10"/>
  <c r="L18" i="9"/>
  <c r="L35" i="16" s="1"/>
  <c r="K18" i="9"/>
  <c r="K27" i="7" s="1"/>
  <c r="D148" i="5"/>
  <c r="D165" i="5" s="1"/>
  <c r="D34" i="9"/>
  <c r="J48" i="7"/>
  <c r="H48" i="7"/>
  <c r="H45" i="7"/>
  <c r="J45" i="7"/>
  <c r="K56" i="7"/>
  <c r="K70" i="7" s="1"/>
  <c r="D56" i="7"/>
  <c r="D70" i="7" s="1"/>
  <c r="J99" i="6"/>
  <c r="J98" i="6"/>
  <c r="H144" i="5"/>
  <c r="E144" i="5"/>
  <c r="F30" i="10"/>
  <c r="F144" i="5"/>
  <c r="G144" i="5"/>
  <c r="E18" i="5"/>
  <c r="F12" i="10"/>
  <c r="F18" i="5"/>
  <c r="G12" i="10"/>
  <c r="G19" i="10" s="1"/>
  <c r="G18" i="5"/>
  <c r="H12" i="10"/>
  <c r="H19" i="10" s="1"/>
  <c r="H18" i="5"/>
  <c r="I12" i="10"/>
  <c r="I19" i="10" s="1"/>
  <c r="D18" i="5"/>
  <c r="D270" i="5" s="1"/>
  <c r="E12" i="10"/>
  <c r="E19" i="10" s="1"/>
  <c r="G53" i="5"/>
  <c r="G305" i="5" s="1"/>
  <c r="J101" i="5"/>
  <c r="F111" i="5"/>
  <c r="F363" i="5" s="1"/>
  <c r="N111" i="5"/>
  <c r="N363" i="5" s="1"/>
  <c r="J22" i="9"/>
  <c r="J30" i="7" s="1"/>
  <c r="F101" i="5"/>
  <c r="F353" i="5" s="1"/>
  <c r="I111" i="5"/>
  <c r="I363" i="5" s="1"/>
  <c r="I33" i="7"/>
  <c r="H19" i="9"/>
  <c r="F227" i="5"/>
  <c r="N227" i="5"/>
  <c r="G34" i="7"/>
  <c r="G19" i="9"/>
  <c r="F34" i="7"/>
  <c r="F53" i="5"/>
  <c r="F305" i="5" s="1"/>
  <c r="K22" i="9"/>
  <c r="K30" i="7" s="1"/>
  <c r="H101" i="5"/>
  <c r="M111" i="5"/>
  <c r="M363" i="5" s="1"/>
  <c r="J33" i="7"/>
  <c r="I19" i="9"/>
  <c r="G227" i="5"/>
  <c r="H34" i="7"/>
  <c r="D22" i="9"/>
  <c r="D30" i="7" s="1"/>
  <c r="J19" i="9"/>
  <c r="I34" i="7"/>
  <c r="N101" i="5"/>
  <c r="N353" i="5" s="1"/>
  <c r="K33" i="7"/>
  <c r="E22" i="9"/>
  <c r="M22" i="9"/>
  <c r="M30" i="7" s="1"/>
  <c r="D33" i="7"/>
  <c r="L33" i="7"/>
  <c r="K19" i="9"/>
  <c r="J34" i="7"/>
  <c r="H33" i="7"/>
  <c r="I101" i="5"/>
  <c r="F22" i="9"/>
  <c r="F30" i="7" s="1"/>
  <c r="N22" i="9"/>
  <c r="N30" i="7" s="1"/>
  <c r="K101" i="5"/>
  <c r="E33" i="7"/>
  <c r="M33" i="7"/>
  <c r="D19" i="9"/>
  <c r="K34" i="7"/>
  <c r="I22" i="9"/>
  <c r="I30" i="7" s="1"/>
  <c r="G101" i="5"/>
  <c r="G22" i="9"/>
  <c r="G30" i="7" s="1"/>
  <c r="D101" i="5"/>
  <c r="L101" i="5"/>
  <c r="F33" i="7"/>
  <c r="N33" i="7"/>
  <c r="E19" i="9"/>
  <c r="M19" i="9"/>
  <c r="K227" i="5"/>
  <c r="D34" i="7"/>
  <c r="L34" i="7"/>
  <c r="L19" i="9"/>
  <c r="N34" i="7"/>
  <c r="L22" i="9"/>
  <c r="L30" i="7" s="1"/>
  <c r="H22" i="9"/>
  <c r="H30" i="7" s="1"/>
  <c r="E101" i="5"/>
  <c r="M101" i="5"/>
  <c r="M353" i="5" s="1"/>
  <c r="G33" i="7"/>
  <c r="F19" i="9"/>
  <c r="N19" i="9"/>
  <c r="D227" i="5"/>
  <c r="E34" i="7"/>
  <c r="M34" i="7"/>
  <c r="D210" i="5"/>
  <c r="L227" i="5"/>
  <c r="H227" i="5"/>
  <c r="I227" i="5"/>
  <c r="E227" i="5"/>
  <c r="M227" i="5"/>
  <c r="J227" i="5"/>
  <c r="E210" i="5"/>
  <c r="E331" i="5" l="1"/>
  <c r="F205" i="5"/>
  <c r="F209" i="5" s="1"/>
  <c r="F210" i="5" s="1"/>
  <c r="F331" i="5"/>
  <c r="F83" i="5"/>
  <c r="F335" i="5" s="1"/>
  <c r="H18" i="9"/>
  <c r="D84" i="5"/>
  <c r="D336" i="5" s="1"/>
  <c r="I353" i="5"/>
  <c r="G353" i="5"/>
  <c r="E353" i="5"/>
  <c r="G270" i="5"/>
  <c r="F270" i="5"/>
  <c r="E8" i="6" s="1"/>
  <c r="E270" i="5"/>
  <c r="D8" i="6" s="1"/>
  <c r="G18" i="9"/>
  <c r="G27" i="7" s="1"/>
  <c r="M18" i="9"/>
  <c r="M27" i="7" s="1"/>
  <c r="N18" i="9"/>
  <c r="N20" i="9" s="1"/>
  <c r="N305" i="5"/>
  <c r="M97" i="6" s="1"/>
  <c r="D53" i="7"/>
  <c r="D67" i="7" s="1"/>
  <c r="L53" i="7"/>
  <c r="L67" i="7" s="1"/>
  <c r="F18" i="9"/>
  <c r="F84" i="5"/>
  <c r="F336" i="5" s="1"/>
  <c r="E18" i="9"/>
  <c r="E35" i="16" s="1"/>
  <c r="E84" i="5"/>
  <c r="E336" i="5" s="1"/>
  <c r="H353" i="5"/>
  <c r="L353" i="5"/>
  <c r="K353" i="5"/>
  <c r="D48" i="7"/>
  <c r="M48" i="7" s="1"/>
  <c r="N22" i="5"/>
  <c r="N274" i="5" s="1"/>
  <c r="H270" i="5"/>
  <c r="G8" i="6" s="1"/>
  <c r="D18" i="9"/>
  <c r="D35" i="16" s="1"/>
  <c r="J18" i="9"/>
  <c r="J20" i="9" s="1"/>
  <c r="J353" i="5"/>
  <c r="I18" i="9"/>
  <c r="I27" i="7" s="1"/>
  <c r="F48" i="7"/>
  <c r="N48" i="7" s="1"/>
  <c r="D353" i="5"/>
  <c r="M33" i="9"/>
  <c r="M35" i="9" s="1"/>
  <c r="O19" i="9"/>
  <c r="P19" i="9"/>
  <c r="K33" i="9"/>
  <c r="K35" i="9" s="1"/>
  <c r="K22" i="5"/>
  <c r="K274" i="5" s="1"/>
  <c r="M22" i="5"/>
  <c r="M274" i="5" s="1"/>
  <c r="L27" i="7"/>
  <c r="K35" i="16"/>
  <c r="P22" i="9"/>
  <c r="P24" i="9" s="1"/>
  <c r="O22" i="9"/>
  <c r="O24" i="9" s="1"/>
  <c r="E53" i="7"/>
  <c r="E67" i="7" s="1"/>
  <c r="J22" i="5"/>
  <c r="J39" i="5" s="1"/>
  <c r="J291" i="5" s="1"/>
  <c r="L33" i="9"/>
  <c r="L35" i="9" s="1"/>
  <c r="N33" i="9"/>
  <c r="N35" i="9" s="1"/>
  <c r="M53" i="7"/>
  <c r="M67" i="7" s="1"/>
  <c r="K305" i="5"/>
  <c r="J96" i="6" s="1"/>
  <c r="H53" i="7"/>
  <c r="H67" i="7" s="1"/>
  <c r="J305" i="5"/>
  <c r="I97" i="6" s="1"/>
  <c r="I305" i="5"/>
  <c r="H96" i="6" s="1"/>
  <c r="L22" i="5"/>
  <c r="J33" i="9"/>
  <c r="J35" i="9" s="1"/>
  <c r="G25" i="10"/>
  <c r="F19" i="10"/>
  <c r="I33" i="9"/>
  <c r="I35" i="9" s="1"/>
  <c r="I22" i="5"/>
  <c r="F148" i="5"/>
  <c r="F165" i="5" s="1"/>
  <c r="F181" i="5" s="1"/>
  <c r="F61" i="7" s="1"/>
  <c r="F34" i="9"/>
  <c r="G148" i="5"/>
  <c r="G165" i="5" s="1"/>
  <c r="G38" i="9" s="1"/>
  <c r="G34" i="9"/>
  <c r="L165" i="5"/>
  <c r="L181" i="5" s="1"/>
  <c r="E148" i="5"/>
  <c r="E165" i="5" s="1"/>
  <c r="E59" i="7" s="1"/>
  <c r="E34" i="9"/>
  <c r="H148" i="5"/>
  <c r="H165" i="5" s="1"/>
  <c r="H34" i="9"/>
  <c r="G98" i="6"/>
  <c r="H27" i="7"/>
  <c r="H35" i="16"/>
  <c r="E30" i="7"/>
  <c r="M18" i="7"/>
  <c r="M22" i="16"/>
  <c r="M26" i="16" s="1"/>
  <c r="N36" i="16"/>
  <c r="G26" i="10"/>
  <c r="H25" i="10"/>
  <c r="G29" i="10"/>
  <c r="G31" i="10" s="1"/>
  <c r="J36" i="16"/>
  <c r="D22" i="5"/>
  <c r="D274" i="5" s="1"/>
  <c r="D33" i="9"/>
  <c r="D35" i="9" s="1"/>
  <c r="F22" i="5"/>
  <c r="F33" i="9"/>
  <c r="H22" i="5"/>
  <c r="H33" i="9"/>
  <c r="E18" i="7"/>
  <c r="E22" i="16"/>
  <c r="E26" i="16" s="1"/>
  <c r="H26" i="10"/>
  <c r="H29" i="10"/>
  <c r="H31" i="10" s="1"/>
  <c r="F18" i="7"/>
  <c r="F22" i="16"/>
  <c r="F26" i="16" s="1"/>
  <c r="G22" i="5"/>
  <c r="G33" i="9"/>
  <c r="I36" i="16"/>
  <c r="K18" i="7"/>
  <c r="K22" i="16"/>
  <c r="K26" i="16" s="1"/>
  <c r="L18" i="7"/>
  <c r="L22" i="16"/>
  <c r="L26" i="16" s="1"/>
  <c r="H18" i="7"/>
  <c r="H22" i="16"/>
  <c r="H26" i="16" s="1"/>
  <c r="G18" i="7"/>
  <c r="G22" i="16"/>
  <c r="G26" i="16" s="1"/>
  <c r="D22" i="16"/>
  <c r="D26" i="16" s="1"/>
  <c r="D36" i="16" s="1"/>
  <c r="E22" i="5"/>
  <c r="E33" i="9"/>
  <c r="E99" i="6"/>
  <c r="L98" i="6"/>
  <c r="I181" i="5"/>
  <c r="I61" i="7" s="1"/>
  <c r="I59" i="7"/>
  <c r="N181" i="5"/>
  <c r="N61" i="7" s="1"/>
  <c r="N59" i="7"/>
  <c r="D181" i="5"/>
  <c r="D59" i="7"/>
  <c r="M181" i="5"/>
  <c r="M61" i="7" s="1"/>
  <c r="J181" i="5"/>
  <c r="J61" i="7" s="1"/>
  <c r="J59" i="7"/>
  <c r="K181" i="5"/>
  <c r="K61" i="7" s="1"/>
  <c r="K59" i="7"/>
  <c r="M98" i="6"/>
  <c r="K99" i="6"/>
  <c r="I99" i="6"/>
  <c r="F99" i="6"/>
  <c r="D98" i="6"/>
  <c r="H98" i="6"/>
  <c r="L96" i="6"/>
  <c r="K96" i="6"/>
  <c r="D96" i="6"/>
  <c r="F53" i="7"/>
  <c r="G96" i="6"/>
  <c r="G53" i="7"/>
  <c r="G67" i="7" s="1"/>
  <c r="M28" i="7"/>
  <c r="L20" i="9"/>
  <c r="L28" i="7"/>
  <c r="E28" i="7"/>
  <c r="J28" i="7"/>
  <c r="K20" i="9"/>
  <c r="K28" i="7"/>
  <c r="N28" i="7"/>
  <c r="I28" i="7"/>
  <c r="G28" i="7"/>
  <c r="F28" i="7"/>
  <c r="H20" i="9"/>
  <c r="H28" i="7"/>
  <c r="D28" i="7"/>
  <c r="F229" i="5"/>
  <c r="G24" i="9"/>
  <c r="M38" i="9"/>
  <c r="M37" i="7" s="1"/>
  <c r="K38" i="9"/>
  <c r="K37" i="7" s="1"/>
  <c r="J8" i="6"/>
  <c r="F31" i="9"/>
  <c r="M8" i="6"/>
  <c r="N18" i="7"/>
  <c r="F8" i="6"/>
  <c r="H8" i="6"/>
  <c r="I18" i="7"/>
  <c r="I8" i="6"/>
  <c r="J18" i="7"/>
  <c r="E26" i="10"/>
  <c r="F25" i="10"/>
  <c r="F29" i="10"/>
  <c r="F26" i="10"/>
  <c r="L8" i="6"/>
  <c r="K8" i="6"/>
  <c r="N31" i="9"/>
  <c r="D38" i="9"/>
  <c r="D37" i="7" s="1"/>
  <c r="H31" i="9"/>
  <c r="E24" i="9"/>
  <c r="K24" i="9"/>
  <c r="E31" i="9"/>
  <c r="F24" i="9"/>
  <c r="H24" i="9"/>
  <c r="D31" i="9"/>
  <c r="J24" i="9"/>
  <c r="G31" i="9"/>
  <c r="J38" i="9"/>
  <c r="J37" i="7" s="1"/>
  <c r="N38" i="9"/>
  <c r="N37" i="7" s="1"/>
  <c r="J31" i="9"/>
  <c r="I24" i="9"/>
  <c r="I38" i="9"/>
  <c r="I37" i="7" s="1"/>
  <c r="I31" i="9"/>
  <c r="K31" i="9"/>
  <c r="D229" i="5"/>
  <c r="L24" i="9"/>
  <c r="M24" i="9"/>
  <c r="D24" i="9"/>
  <c r="M31" i="9"/>
  <c r="N24" i="9"/>
  <c r="L31" i="9"/>
  <c r="E229" i="5"/>
  <c r="G205" i="5" l="1"/>
  <c r="G209" i="5" s="1"/>
  <c r="G210" i="5" s="1"/>
  <c r="G229" i="5" s="1"/>
  <c r="G83" i="5"/>
  <c r="G20" i="9"/>
  <c r="D103" i="5"/>
  <c r="D355" i="5" s="1"/>
  <c r="N39" i="5"/>
  <c r="N291" i="5" s="1"/>
  <c r="E20" i="9"/>
  <c r="D20" i="9"/>
  <c r="M96" i="6"/>
  <c r="E27" i="7"/>
  <c r="G35" i="16"/>
  <c r="M20" i="9"/>
  <c r="I35" i="16"/>
  <c r="M35" i="16"/>
  <c r="I20" i="9"/>
  <c r="J35" i="16"/>
  <c r="J37" i="16" s="1"/>
  <c r="P18" i="9"/>
  <c r="P20" i="9" s="1"/>
  <c r="F20" i="9"/>
  <c r="N35" i="16"/>
  <c r="N37" i="16" s="1"/>
  <c r="N27" i="7"/>
  <c r="F103" i="5"/>
  <c r="F355" i="5" s="1"/>
  <c r="O18" i="9"/>
  <c r="O20" i="9" s="1"/>
  <c r="J97" i="6"/>
  <c r="E103" i="5"/>
  <c r="E355" i="5" s="1"/>
  <c r="J27" i="7"/>
  <c r="D27" i="7"/>
  <c r="D37" i="16"/>
  <c r="F35" i="16"/>
  <c r="F27" i="7"/>
  <c r="G35" i="9"/>
  <c r="M39" i="5"/>
  <c r="M291" i="5" s="1"/>
  <c r="P34" i="9"/>
  <c r="O34" i="9"/>
  <c r="K39" i="5"/>
  <c r="K291" i="5" s="1"/>
  <c r="J274" i="5"/>
  <c r="I37" i="16"/>
  <c r="I96" i="6"/>
  <c r="H97" i="6"/>
  <c r="J55" i="5"/>
  <c r="J54" i="7" s="1"/>
  <c r="J68" i="7" s="1"/>
  <c r="J52" i="7"/>
  <c r="J66" i="7" s="1"/>
  <c r="J37" i="9"/>
  <c r="J36" i="7" s="1"/>
  <c r="L274" i="5"/>
  <c r="L39" i="5"/>
  <c r="P33" i="9"/>
  <c r="O33" i="9"/>
  <c r="E39" i="5"/>
  <c r="E52" i="7" s="1"/>
  <c r="E66" i="7" s="1"/>
  <c r="E274" i="5"/>
  <c r="G39" i="5"/>
  <c r="G52" i="7" s="1"/>
  <c r="G274" i="5"/>
  <c r="I274" i="5"/>
  <c r="I39" i="5"/>
  <c r="F39" i="5"/>
  <c r="F55" i="5" s="1"/>
  <c r="F274" i="5"/>
  <c r="H39" i="5"/>
  <c r="H37" i="9" s="1"/>
  <c r="H36" i="7" s="1"/>
  <c r="H274" i="5"/>
  <c r="E35" i="9"/>
  <c r="F38" i="9"/>
  <c r="F37" i="7" s="1"/>
  <c r="F59" i="7"/>
  <c r="E38" i="9"/>
  <c r="G181" i="5"/>
  <c r="G61" i="7" s="1"/>
  <c r="N31" i="16"/>
  <c r="G59" i="7"/>
  <c r="H35" i="9"/>
  <c r="L59" i="7"/>
  <c r="F35" i="9"/>
  <c r="L38" i="9"/>
  <c r="L37" i="7" s="1"/>
  <c r="I31" i="16"/>
  <c r="C19" i="7"/>
  <c r="J31" i="16"/>
  <c r="E181" i="5"/>
  <c r="E61" i="7" s="1"/>
  <c r="F36" i="16"/>
  <c r="F31" i="16"/>
  <c r="D12" i="9"/>
  <c r="D31" i="16"/>
  <c r="K36" i="16"/>
  <c r="K37" i="16" s="1"/>
  <c r="K31" i="16"/>
  <c r="G36" i="16"/>
  <c r="G37" i="16" s="1"/>
  <c r="L31" i="16"/>
  <c r="L36" i="16"/>
  <c r="L37" i="16" s="1"/>
  <c r="D39" i="5"/>
  <c r="E36" i="16"/>
  <c r="H36" i="16"/>
  <c r="H37" i="16" s="1"/>
  <c r="M36" i="16"/>
  <c r="M37" i="16" s="1"/>
  <c r="M31" i="16"/>
  <c r="D104" i="6"/>
  <c r="D108" i="6" s="1"/>
  <c r="D55" i="6"/>
  <c r="M104" i="6"/>
  <c r="M55" i="6"/>
  <c r="J104" i="6"/>
  <c r="J55" i="6"/>
  <c r="G104" i="6"/>
  <c r="G55" i="6"/>
  <c r="F104" i="6"/>
  <c r="F108" i="6" s="1"/>
  <c r="F55" i="6"/>
  <c r="K104" i="6"/>
  <c r="K55" i="6"/>
  <c r="I104" i="6"/>
  <c r="I95" i="6" s="1"/>
  <c r="I55" i="6"/>
  <c r="H104" i="6"/>
  <c r="H55" i="6"/>
  <c r="E104" i="6"/>
  <c r="E108" i="6" s="1"/>
  <c r="E55" i="6"/>
  <c r="L104" i="6"/>
  <c r="L55" i="6"/>
  <c r="J12" i="9"/>
  <c r="J8" i="9"/>
  <c r="J25" i="7" s="1"/>
  <c r="I8" i="9"/>
  <c r="I25" i="7" s="1"/>
  <c r="I12" i="9"/>
  <c r="M12" i="9"/>
  <c r="M8" i="9"/>
  <c r="M25" i="7" s="1"/>
  <c r="F12" i="9"/>
  <c r="F8" i="9"/>
  <c r="F25" i="7" s="1"/>
  <c r="K12" i="9"/>
  <c r="K8" i="9"/>
  <c r="K25" i="7" s="1"/>
  <c r="N12" i="9"/>
  <c r="H181" i="5"/>
  <c r="H31" i="16" s="1"/>
  <c r="H59" i="7"/>
  <c r="N8" i="9"/>
  <c r="N25" i="7" s="1"/>
  <c r="D8" i="9"/>
  <c r="D25" i="7" s="1"/>
  <c r="D61" i="7"/>
  <c r="L8" i="9"/>
  <c r="L25" i="7" s="1"/>
  <c r="L61" i="7"/>
  <c r="H38" i="9"/>
  <c r="H37" i="7" s="1"/>
  <c r="F97" i="6"/>
  <c r="F96" i="6"/>
  <c r="E97" i="6"/>
  <c r="E96" i="6"/>
  <c r="F67" i="7"/>
  <c r="F45" i="7"/>
  <c r="N45" i="7" s="1"/>
  <c r="D45" i="7"/>
  <c r="M45" i="7" s="1"/>
  <c r="G37" i="7"/>
  <c r="F27" i="10"/>
  <c r="E12" i="7" s="1"/>
  <c r="L12" i="9"/>
  <c r="G27" i="10"/>
  <c r="F12" i="7" s="1"/>
  <c r="H27" i="10"/>
  <c r="G12" i="7" s="1"/>
  <c r="I27" i="10"/>
  <c r="H12" i="7" s="1"/>
  <c r="C20" i="7"/>
  <c r="F15" i="7"/>
  <c r="G32" i="10"/>
  <c r="K29" i="10"/>
  <c r="E15" i="7"/>
  <c r="F31" i="10"/>
  <c r="I32" i="10"/>
  <c r="H15" i="7"/>
  <c r="H32" i="10"/>
  <c r="G15" i="7"/>
  <c r="A2" i="6"/>
  <c r="A2" i="5"/>
  <c r="A2" i="2"/>
  <c r="M94" i="6" l="1"/>
  <c r="G331" i="5"/>
  <c r="G335" i="5"/>
  <c r="G84" i="5"/>
  <c r="H205" i="5"/>
  <c r="H209" i="5" s="1"/>
  <c r="H210" i="5" s="1"/>
  <c r="H229" i="5" s="1"/>
  <c r="H331" i="5"/>
  <c r="H83" i="5"/>
  <c r="O35" i="16"/>
  <c r="N55" i="5"/>
  <c r="N11" i="9" s="1"/>
  <c r="N52" i="7"/>
  <c r="N66" i="7" s="1"/>
  <c r="N37" i="9"/>
  <c r="N36" i="7" s="1"/>
  <c r="M37" i="9"/>
  <c r="M36" i="7" s="1"/>
  <c r="L95" i="6"/>
  <c r="P35" i="9"/>
  <c r="J95" i="6"/>
  <c r="P35" i="16"/>
  <c r="M52" i="7"/>
  <c r="M66" i="7" s="1"/>
  <c r="M55" i="5"/>
  <c r="M54" i="7" s="1"/>
  <c r="M68" i="7" s="1"/>
  <c r="F37" i="16"/>
  <c r="O35" i="9"/>
  <c r="E37" i="7"/>
  <c r="O38" i="9"/>
  <c r="P38" i="9"/>
  <c r="K52" i="7"/>
  <c r="K66" i="7" s="1"/>
  <c r="K55" i="5"/>
  <c r="K37" i="9"/>
  <c r="N307" i="5"/>
  <c r="N54" i="7"/>
  <c r="N68" i="7" s="1"/>
  <c r="J11" i="9"/>
  <c r="J13" i="9" s="1"/>
  <c r="J307" i="5"/>
  <c r="J39" i="9"/>
  <c r="J7" i="9"/>
  <c r="J24" i="7" s="1"/>
  <c r="H55" i="5"/>
  <c r="H307" i="5" s="1"/>
  <c r="F52" i="7"/>
  <c r="F66" i="7" s="1"/>
  <c r="G37" i="9"/>
  <c r="G36" i="7" s="1"/>
  <c r="E55" i="5"/>
  <c r="E7" i="9" s="1"/>
  <c r="E24" i="7" s="1"/>
  <c r="L291" i="5"/>
  <c r="K95" i="6" s="1"/>
  <c r="L52" i="7"/>
  <c r="L66" i="7" s="1"/>
  <c r="L55" i="5"/>
  <c r="L37" i="9"/>
  <c r="L36" i="7" s="1"/>
  <c r="I291" i="5"/>
  <c r="H94" i="6" s="1"/>
  <c r="I52" i="7"/>
  <c r="I66" i="7" s="1"/>
  <c r="I55" i="5"/>
  <c r="I37" i="9"/>
  <c r="H52" i="7"/>
  <c r="H291" i="5"/>
  <c r="G94" i="6" s="1"/>
  <c r="F11" i="9"/>
  <c r="F13" i="9" s="1"/>
  <c r="F307" i="5"/>
  <c r="F37" i="9"/>
  <c r="F36" i="7" s="1"/>
  <c r="F291" i="5"/>
  <c r="E95" i="6" s="1"/>
  <c r="G55" i="5"/>
  <c r="G291" i="5"/>
  <c r="F94" i="6" s="1"/>
  <c r="D52" i="7"/>
  <c r="D66" i="7" s="1"/>
  <c r="D291" i="5"/>
  <c r="E37" i="9"/>
  <c r="E39" i="9" s="1"/>
  <c r="E291" i="5"/>
  <c r="D95" i="6" s="1"/>
  <c r="P36" i="16"/>
  <c r="O36" i="16"/>
  <c r="E37" i="16"/>
  <c r="G31" i="16"/>
  <c r="J44" i="7"/>
  <c r="J46" i="7" s="1"/>
  <c r="G12" i="9"/>
  <c r="G8" i="9"/>
  <c r="G25" i="7" s="1"/>
  <c r="E8" i="9"/>
  <c r="E12" i="9"/>
  <c r="E31" i="16"/>
  <c r="F54" i="7"/>
  <c r="F68" i="7" s="1"/>
  <c r="G66" i="7"/>
  <c r="D37" i="9"/>
  <c r="D36" i="7" s="1"/>
  <c r="F7" i="9"/>
  <c r="F30" i="16" s="1"/>
  <c r="F32" i="16" s="1"/>
  <c r="K108" i="6"/>
  <c r="D55" i="5"/>
  <c r="D307" i="5" s="1"/>
  <c r="L94" i="6"/>
  <c r="M108" i="6"/>
  <c r="M95" i="6"/>
  <c r="J108" i="6"/>
  <c r="I108" i="6"/>
  <c r="J94" i="6"/>
  <c r="I94" i="6"/>
  <c r="H108" i="6"/>
  <c r="G108" i="6"/>
  <c r="L108" i="6"/>
  <c r="N13" i="9"/>
  <c r="H39" i="9"/>
  <c r="H12" i="9"/>
  <c r="H61" i="7"/>
  <c r="H8" i="9"/>
  <c r="H25" i="7" s="1"/>
  <c r="H44" i="7"/>
  <c r="H46" i="7" s="1"/>
  <c r="C13" i="7"/>
  <c r="C16" i="7"/>
  <c r="K31" i="10"/>
  <c r="F32" i="10"/>
  <c r="A4" i="6"/>
  <c r="A4" i="5"/>
  <c r="A4" i="2"/>
  <c r="A13" i="2" s="1"/>
  <c r="N7" i="9" l="1"/>
  <c r="N30" i="16" s="1"/>
  <c r="N32" i="16" s="1"/>
  <c r="H335" i="5"/>
  <c r="H84" i="5"/>
  <c r="I205" i="5"/>
  <c r="I209" i="5" s="1"/>
  <c r="I210" i="5" s="1"/>
  <c r="I229" i="5" s="1"/>
  <c r="I83" i="5"/>
  <c r="G336" i="5"/>
  <c r="G103" i="5"/>
  <c r="G355" i="5" s="1"/>
  <c r="M39" i="9"/>
  <c r="N39" i="9"/>
  <c r="M307" i="5"/>
  <c r="M11" i="9"/>
  <c r="M13" i="9" s="1"/>
  <c r="M7" i="9"/>
  <c r="M30" i="16" s="1"/>
  <c r="M32" i="16" s="1"/>
  <c r="P12" i="9"/>
  <c r="O12" i="9"/>
  <c r="P8" i="9"/>
  <c r="O8" i="9"/>
  <c r="N9" i="9"/>
  <c r="N24" i="7"/>
  <c r="K36" i="7"/>
  <c r="K39" i="9"/>
  <c r="K307" i="5"/>
  <c r="K11" i="9"/>
  <c r="K13" i="9" s="1"/>
  <c r="K54" i="7"/>
  <c r="K68" i="7" s="1"/>
  <c r="K7" i="9"/>
  <c r="D44" i="7"/>
  <c r="D46" i="7" s="1"/>
  <c r="M46" i="7" s="1"/>
  <c r="H11" i="9"/>
  <c r="H13" i="9" s="1"/>
  <c r="J9" i="9"/>
  <c r="H54" i="7"/>
  <c r="H68" i="7" s="1"/>
  <c r="H7" i="9"/>
  <c r="H30" i="16" s="1"/>
  <c r="H32" i="16" s="1"/>
  <c r="G39" i="9"/>
  <c r="J30" i="16"/>
  <c r="J32" i="16" s="1"/>
  <c r="E11" i="9"/>
  <c r="E13" i="9" s="1"/>
  <c r="E307" i="5"/>
  <c r="E54" i="7"/>
  <c r="E68" i="7" s="1"/>
  <c r="E30" i="16"/>
  <c r="E32" i="16" s="1"/>
  <c r="E9" i="9"/>
  <c r="F95" i="6"/>
  <c r="G95" i="6"/>
  <c r="K94" i="6"/>
  <c r="F39" i="9"/>
  <c r="D94" i="6"/>
  <c r="F9" i="9"/>
  <c r="F44" i="7"/>
  <c r="F46" i="7" s="1"/>
  <c r="N46" i="7" s="1"/>
  <c r="H66" i="7"/>
  <c r="H95" i="6"/>
  <c r="L39" i="9"/>
  <c r="L11" i="9"/>
  <c r="L13" i="9" s="1"/>
  <c r="L7" i="9"/>
  <c r="L54" i="7"/>
  <c r="L68" i="7" s="1"/>
  <c r="L307" i="5"/>
  <c r="I36" i="7"/>
  <c r="I39" i="9"/>
  <c r="I54" i="7"/>
  <c r="I68" i="7" s="1"/>
  <c r="I307" i="5"/>
  <c r="I7" i="9"/>
  <c r="I11" i="9"/>
  <c r="I13" i="9" s="1"/>
  <c r="E94" i="6"/>
  <c r="P37" i="9"/>
  <c r="P39" i="9" s="1"/>
  <c r="O37" i="9"/>
  <c r="O39" i="9" s="1"/>
  <c r="E36" i="7"/>
  <c r="G307" i="5"/>
  <c r="G7" i="9"/>
  <c r="G9" i="9" s="1"/>
  <c r="G54" i="7"/>
  <c r="G68" i="7" s="1"/>
  <c r="G11" i="9"/>
  <c r="P37" i="16"/>
  <c r="O37" i="16"/>
  <c r="O31" i="16"/>
  <c r="P31" i="16"/>
  <c r="E25" i="7"/>
  <c r="D39" i="9"/>
  <c r="F24" i="7"/>
  <c r="D11" i="9"/>
  <c r="D13" i="9" s="1"/>
  <c r="D54" i="7"/>
  <c r="D68" i="7" s="1"/>
  <c r="D7" i="9"/>
  <c r="A91" i="6"/>
  <c r="A101" i="6" s="1"/>
  <c r="A130" i="5"/>
  <c r="A256" i="5" s="1"/>
  <c r="I331" i="5" l="1"/>
  <c r="I335" i="5"/>
  <c r="I84" i="5"/>
  <c r="J205" i="5"/>
  <c r="J209" i="5" s="1"/>
  <c r="J210" i="5" s="1"/>
  <c r="J229" i="5" s="1"/>
  <c r="J331" i="5"/>
  <c r="J83" i="5"/>
  <c r="H336" i="5"/>
  <c r="H103" i="5"/>
  <c r="H355" i="5" s="1"/>
  <c r="M9" i="9"/>
  <c r="M24" i="7"/>
  <c r="K9" i="9"/>
  <c r="K24" i="7"/>
  <c r="K30" i="16"/>
  <c r="K32" i="16" s="1"/>
  <c r="H24" i="7"/>
  <c r="M44" i="7"/>
  <c r="H9" i="9"/>
  <c r="N44" i="7"/>
  <c r="O11" i="9"/>
  <c r="O13" i="9" s="1"/>
  <c r="G13" i="9"/>
  <c r="L30" i="16"/>
  <c r="L32" i="16" s="1"/>
  <c r="L9" i="9"/>
  <c r="L24" i="7"/>
  <c r="O7" i="9"/>
  <c r="O9" i="9" s="1"/>
  <c r="I30" i="16"/>
  <c r="I32" i="16" s="1"/>
  <c r="I9" i="9"/>
  <c r="I24" i="7"/>
  <c r="P7" i="9"/>
  <c r="P9" i="9" s="1"/>
  <c r="G24" i="7"/>
  <c r="G30" i="16"/>
  <c r="P11" i="9"/>
  <c r="P13" i="9" s="1"/>
  <c r="D24" i="7"/>
  <c r="D30" i="16"/>
  <c r="D32" i="16" s="1"/>
  <c r="D9" i="9"/>
  <c r="J335" i="5" l="1"/>
  <c r="J84" i="5"/>
  <c r="K205" i="5"/>
  <c r="K209" i="5" s="1"/>
  <c r="K210" i="5" s="1"/>
  <c r="K229" i="5" s="1"/>
  <c r="K83" i="5"/>
  <c r="I336" i="5"/>
  <c r="I103" i="5"/>
  <c r="I355" i="5" s="1"/>
  <c r="O30" i="16"/>
  <c r="P30" i="16"/>
  <c r="G32" i="16"/>
  <c r="K331" i="5" l="1"/>
  <c r="K335" i="5"/>
  <c r="K84" i="5"/>
  <c r="L205" i="5"/>
  <c r="L209" i="5" s="1"/>
  <c r="L210" i="5" s="1"/>
  <c r="L229" i="5" s="1"/>
  <c r="L331" i="5"/>
  <c r="L83" i="5"/>
  <c r="J336" i="5"/>
  <c r="J103" i="5"/>
  <c r="J355" i="5" s="1"/>
  <c r="O32" i="16"/>
  <c r="P32" i="16"/>
  <c r="D45" i="15"/>
  <c r="L335" i="5" l="1"/>
  <c r="L84" i="5"/>
  <c r="M205" i="5"/>
  <c r="M209" i="5" s="1"/>
  <c r="M210" i="5" s="1"/>
  <c r="M229" i="5" s="1"/>
  <c r="M331" i="5"/>
  <c r="M83" i="5"/>
  <c r="K103" i="5"/>
  <c r="K355" i="5" s="1"/>
  <c r="K336" i="5"/>
  <c r="M335" i="5" l="1"/>
  <c r="M84" i="5"/>
  <c r="N205" i="5"/>
  <c r="N209" i="5" s="1"/>
  <c r="N210" i="5" s="1"/>
  <c r="N229" i="5" s="1"/>
  <c r="N331" i="5"/>
  <c r="N83" i="5"/>
  <c r="L336" i="5"/>
  <c r="L103" i="5"/>
  <c r="L355" i="5" s="1"/>
  <c r="N335" i="5" l="1"/>
  <c r="N84" i="5"/>
  <c r="M336" i="5"/>
  <c r="M103" i="5"/>
  <c r="M355" i="5" s="1"/>
  <c r="N336" i="5" l="1"/>
  <c r="N103" i="5"/>
  <c r="N355" i="5" s="1"/>
</calcChain>
</file>

<file path=xl/sharedStrings.xml><?xml version="1.0" encoding="utf-8"?>
<sst xmlns="http://schemas.openxmlformats.org/spreadsheetml/2006/main" count="893" uniqueCount="453">
  <si>
    <t>[Workbook name]</t>
  </si>
  <si>
    <t>Information/Instructions</t>
  </si>
  <si>
    <t>Legend</t>
  </si>
  <si>
    <t>Hard-coded cell</t>
  </si>
  <si>
    <t>Auto-populated cell</t>
  </si>
  <si>
    <t>Input cell</t>
  </si>
  <si>
    <t>Calculation cell</t>
  </si>
  <si>
    <t>Internal link cell</t>
  </si>
  <si>
    <t>External link cell</t>
  </si>
  <si>
    <t>[ SECTION HEADING]</t>
  </si>
  <si>
    <t>[Please provide a description of what this sheet does and any specific details or other notes the user needs to know]</t>
  </si>
  <si>
    <t>Section/Item notes (where necessary)</t>
  </si>
  <si>
    <t>Checks</t>
  </si>
  <si>
    <t>END</t>
  </si>
  <si>
    <t>With higher cap</t>
  </si>
  <si>
    <t>Rates and charges</t>
  </si>
  <si>
    <t>2024-25</t>
  </si>
  <si>
    <t>2025-26</t>
  </si>
  <si>
    <t>2026-27</t>
  </si>
  <si>
    <t>2027-28</t>
  </si>
  <si>
    <t>2028-29</t>
  </si>
  <si>
    <t>2029-30</t>
  </si>
  <si>
    <t>2030-31</t>
  </si>
  <si>
    <t>2031-32</t>
  </si>
  <si>
    <t>2032-33</t>
  </si>
  <si>
    <t>2033-34</t>
  </si>
  <si>
    <t>Forecast Actual</t>
  </si>
  <si>
    <t>Budget</t>
  </si>
  <si>
    <t>LTFP</t>
  </si>
  <si>
    <t>General rates</t>
  </si>
  <si>
    <t>Municipal charges</t>
  </si>
  <si>
    <t>(Total General rates and municipal charges)</t>
  </si>
  <si>
    <t>Waste management charges</t>
  </si>
  <si>
    <t>Service rates and charges</t>
  </si>
  <si>
    <t>Special rates and charges</t>
  </si>
  <si>
    <t>Supplementary rates and rate adjustments</t>
  </si>
  <si>
    <t>Cultural and recreational</t>
  </si>
  <si>
    <t>Revenue in lieu of rates</t>
  </si>
  <si>
    <t>Other rates and charges</t>
  </si>
  <si>
    <t>Total rates and charges</t>
  </si>
  <si>
    <t>Income and expenditure</t>
  </si>
  <si>
    <t>Statutory fees and fines</t>
  </si>
  <si>
    <t>User fees</t>
  </si>
  <si>
    <t>Grants - operating</t>
  </si>
  <si>
    <t xml:space="preserve"> - recurrent</t>
  </si>
  <si>
    <t xml:space="preserve"> - non-recurrent</t>
  </si>
  <si>
    <t>Grants - capital</t>
  </si>
  <si>
    <t>Contributions - monetary</t>
  </si>
  <si>
    <t xml:space="preserve"> - operating</t>
  </si>
  <si>
    <t xml:space="preserve"> - capital</t>
  </si>
  <si>
    <t>Contributions - non-monetary</t>
  </si>
  <si>
    <t>Net gain/(loss) on disposal of property, infrastructure, plant and equipment</t>
  </si>
  <si>
    <t>Fair value adjustments for investment property</t>
  </si>
  <si>
    <t xml:space="preserve">Share of net profits/(losses) of associates and joint ventures </t>
  </si>
  <si>
    <t>Other income</t>
  </si>
  <si>
    <t>Total Income</t>
  </si>
  <si>
    <t>Income</t>
  </si>
  <si>
    <t>Employee costs</t>
  </si>
  <si>
    <t>Materials and services</t>
  </si>
  <si>
    <t>Bad and doubtful debts - allowance for impairment losses</t>
  </si>
  <si>
    <t>Depreciation and amortisation</t>
  </si>
  <si>
    <t xml:space="preserve"> - depreciation</t>
  </si>
  <si>
    <t xml:space="preserve"> - amortisation (total)</t>
  </si>
  <si>
    <t>Borrowing costs</t>
  </si>
  <si>
    <t>Finance costs - leases</t>
  </si>
  <si>
    <t>Other expenses</t>
  </si>
  <si>
    <t xml:space="preserve">Total expenses </t>
  </si>
  <si>
    <t>Cash and cash equivalents</t>
  </si>
  <si>
    <t xml:space="preserve"> - trust funds and deposits</t>
  </si>
  <si>
    <t xml:space="preserve"> - statutory reserves</t>
  </si>
  <si>
    <t xml:space="preserve"> - carried forward capital works</t>
  </si>
  <si>
    <t xml:space="preserve"> - conditional grant unspent</t>
  </si>
  <si>
    <t xml:space="preserve"> - unrestricted cash</t>
  </si>
  <si>
    <t>Trade and other receivables</t>
  </si>
  <si>
    <t>Other financial assets</t>
  </si>
  <si>
    <t>Inventories</t>
  </si>
  <si>
    <t>Prepayments</t>
  </si>
  <si>
    <t>Non-current assets classified as held for sale</t>
  </si>
  <si>
    <t>Other assets</t>
  </si>
  <si>
    <t>Total current assets</t>
  </si>
  <si>
    <t>Investments in associates and joint ventures</t>
  </si>
  <si>
    <t xml:space="preserve">Property, infrastructure, plant and equipment </t>
  </si>
  <si>
    <t>Right-of-use assets</t>
  </si>
  <si>
    <t>Investment property</t>
  </si>
  <si>
    <t>Intangible assets</t>
  </si>
  <si>
    <t>Total non-current assets</t>
  </si>
  <si>
    <t>Total assets</t>
  </si>
  <si>
    <t>Current liabilities</t>
  </si>
  <si>
    <t>Trade and other payables</t>
  </si>
  <si>
    <t>Trust funds and deposits</t>
  </si>
  <si>
    <t>Unearned income/revenue</t>
  </si>
  <si>
    <t>Provisions</t>
  </si>
  <si>
    <t>Interest-bearing loans and borrowings</t>
  </si>
  <si>
    <t>Lease liabilities</t>
  </si>
  <si>
    <t>Total current liabilities</t>
  </si>
  <si>
    <t>Non-current liabilities</t>
  </si>
  <si>
    <t>Total non-current liabilities</t>
  </si>
  <si>
    <t>Total liabilities</t>
  </si>
  <si>
    <t>Net assets</t>
  </si>
  <si>
    <t>Equity</t>
  </si>
  <si>
    <t>Accumulated surplus</t>
  </si>
  <si>
    <t>Reserves</t>
  </si>
  <si>
    <t xml:space="preserve"> - asset revaluation reserve</t>
  </si>
  <si>
    <t xml:space="preserve"> - other reserves</t>
  </si>
  <si>
    <t>Total Equity</t>
  </si>
  <si>
    <t>Balance sheet</t>
  </si>
  <si>
    <t>Capital expenditure</t>
  </si>
  <si>
    <t>Renewal expenditure</t>
  </si>
  <si>
    <t>New expenditure</t>
  </si>
  <si>
    <t>Upgrade expenditure</t>
  </si>
  <si>
    <t>Expansion expenditure</t>
  </si>
  <si>
    <t>Total capital expenditure</t>
  </si>
  <si>
    <t>Funding sources represented by:</t>
  </si>
  <si>
    <t>Grants</t>
  </si>
  <si>
    <t>Contributions</t>
  </si>
  <si>
    <t>Council cash</t>
  </si>
  <si>
    <t>Borrowings</t>
  </si>
  <si>
    <t>Total</t>
  </si>
  <si>
    <t>Without higher cap</t>
  </si>
  <si>
    <t>Difference</t>
  </si>
  <si>
    <t>Revenue</t>
  </si>
  <si>
    <t>Operating expenditure</t>
  </si>
  <si>
    <t>Operating expenditure (by service area)</t>
  </si>
  <si>
    <t>Other</t>
  </si>
  <si>
    <t>Comparison</t>
  </si>
  <si>
    <t>Capital expendiutre</t>
  </si>
  <si>
    <t>Operating position</t>
  </si>
  <si>
    <t>Adjusted underlying result</t>
  </si>
  <si>
    <t>with higher cap</t>
  </si>
  <si>
    <t>difference</t>
  </si>
  <si>
    <t>Operating surplus</t>
  </si>
  <si>
    <t>Liquidity</t>
  </si>
  <si>
    <t xml:space="preserve">Working capital </t>
  </si>
  <si>
    <t>Unrestricted cash</t>
  </si>
  <si>
    <t>Obligations</t>
  </si>
  <si>
    <t>Council:</t>
  </si>
  <si>
    <t>Number of years</t>
  </si>
  <si>
    <t>How many years of higher caps is council applying for?</t>
  </si>
  <si>
    <t>Annualised supplementary general rates and municipal charges</t>
  </si>
  <si>
    <t>Number of assessments as at 30 June (end of finanical year)</t>
  </si>
  <si>
    <t>Number of assessments as at 1 July (beginning of finanical year)</t>
  </si>
  <si>
    <t>Growth in number of assessments</t>
  </si>
  <si>
    <t>Base average rate</t>
  </si>
  <si>
    <t>Capped average rate</t>
  </si>
  <si>
    <t>Rate increase applied for</t>
  </si>
  <si>
    <t>Increase in rate revenue without higher cap</t>
  </si>
  <si>
    <t>Increase above minister's cap</t>
  </si>
  <si>
    <t>Total increase in general rates and municipal charge revenue</t>
  </si>
  <si>
    <t>Increase above minister's cap per property</t>
  </si>
  <si>
    <t>Total increase in revenue</t>
  </si>
  <si>
    <t>Total increase above minister's cap</t>
  </si>
  <si>
    <t>Rate cap calculation</t>
  </si>
  <si>
    <t>Rate cap inputs</t>
  </si>
  <si>
    <t>Council</t>
  </si>
  <si>
    <t>Number of years of higher caps council is applying for:</t>
  </si>
  <si>
    <t>Total over 10 years</t>
  </si>
  <si>
    <t>LGPRF indicators</t>
  </si>
  <si>
    <t>without higher cap</t>
  </si>
  <si>
    <t>Working capital</t>
  </si>
  <si>
    <t>Unrestrictied cash</t>
  </si>
  <si>
    <t>Asset renewal</t>
  </si>
  <si>
    <t>Indebtedness</t>
  </si>
  <si>
    <t>Current assets</t>
  </si>
  <si>
    <t>Non-current assets</t>
  </si>
  <si>
    <t>Service impacts</t>
  </si>
  <si>
    <t>Does operating expenditure match LTFP?</t>
  </si>
  <si>
    <r>
      <t xml:space="preserve"> - </t>
    </r>
    <r>
      <rPr>
        <i/>
        <sz val="11"/>
        <color theme="1"/>
        <rFont val="Arial"/>
        <family val="2"/>
        <scheme val="minor"/>
      </rPr>
      <t>difference</t>
    </r>
  </si>
  <si>
    <t>Reason for difference</t>
  </si>
  <si>
    <t>Base year</t>
  </si>
  <si>
    <t>Contact Name</t>
  </si>
  <si>
    <t>Title</t>
  </si>
  <si>
    <t>Phone number</t>
  </si>
  <si>
    <t>Email</t>
  </si>
  <si>
    <t>Application information</t>
  </si>
  <si>
    <t>Instructions</t>
  </si>
  <si>
    <t>Project details</t>
  </si>
  <si>
    <t>Period in use</t>
  </si>
  <si>
    <t>selection</t>
  </si>
  <si>
    <t>[period]</t>
  </si>
  <si>
    <t>Model details</t>
  </si>
  <si>
    <t>Model Status</t>
  </si>
  <si>
    <t>Entity Name</t>
  </si>
  <si>
    <t>Essential Service Commission</t>
  </si>
  <si>
    <t>File Name</t>
  </si>
  <si>
    <t>Financial units</t>
  </si>
  <si>
    <t>AUD</t>
  </si>
  <si>
    <t>Financial year end month number</t>
  </si>
  <si>
    <t>Period selection</t>
  </si>
  <si>
    <t>Rate cap</t>
  </si>
  <si>
    <t>[Select Council]</t>
  </si>
  <si>
    <t>Alpine</t>
  </si>
  <si>
    <t>Ararat</t>
  </si>
  <si>
    <t>Ballarat</t>
  </si>
  <si>
    <t>Banyule</t>
  </si>
  <si>
    <t>Bass Coast</t>
  </si>
  <si>
    <t>Baw Baw</t>
  </si>
  <si>
    <t>Bayside</t>
  </si>
  <si>
    <t>Benalla</t>
  </si>
  <si>
    <t>Boroondara</t>
  </si>
  <si>
    <t>Brimbank</t>
  </si>
  <si>
    <t>Buloke</t>
  </si>
  <si>
    <t>Campaspe</t>
  </si>
  <si>
    <t>Cardinia</t>
  </si>
  <si>
    <t>Casey</t>
  </si>
  <si>
    <t>Central Goldfields</t>
  </si>
  <si>
    <t>Colac Otway</t>
  </si>
  <si>
    <t>Corangamite</t>
  </si>
  <si>
    <t>Darebin</t>
  </si>
  <si>
    <t>East Gippsland</t>
  </si>
  <si>
    <t>Frankston</t>
  </si>
  <si>
    <t>Gannawarra</t>
  </si>
  <si>
    <t>Glen Eira</t>
  </si>
  <si>
    <t>Glenelg</t>
  </si>
  <si>
    <t>Golden Plains</t>
  </si>
  <si>
    <t>Greater Bendigo</t>
  </si>
  <si>
    <t>Greater Dandenong</t>
  </si>
  <si>
    <t>Greater Geelong</t>
  </si>
  <si>
    <t>Greater Shepparton</t>
  </si>
  <si>
    <t>Hepburn</t>
  </si>
  <si>
    <t>Hindmarsh</t>
  </si>
  <si>
    <t>Hobsons Bay</t>
  </si>
  <si>
    <t>Horsham</t>
  </si>
  <si>
    <t>Hume</t>
  </si>
  <si>
    <t>Indigo</t>
  </si>
  <si>
    <t>Kingston</t>
  </si>
  <si>
    <t>Knox</t>
  </si>
  <si>
    <t>Latrobe</t>
  </si>
  <si>
    <t>Loddon</t>
  </si>
  <si>
    <t>Macedon Ranges</t>
  </si>
  <si>
    <t>Manningham</t>
  </si>
  <si>
    <t>Mansfield</t>
  </si>
  <si>
    <t>Maribyrnong</t>
  </si>
  <si>
    <t>Maroondah</t>
  </si>
  <si>
    <t>Melbourne</t>
  </si>
  <si>
    <t>Melton</t>
  </si>
  <si>
    <t>Mildura</t>
  </si>
  <si>
    <t>Mitchell</t>
  </si>
  <si>
    <t>Moira</t>
  </si>
  <si>
    <t>Monash</t>
  </si>
  <si>
    <t>Moonee Valley</t>
  </si>
  <si>
    <t>Moorabool</t>
  </si>
  <si>
    <t>Merri-bek</t>
  </si>
  <si>
    <t>Mornington Peninsula</t>
  </si>
  <si>
    <t>Mount Alexander</t>
  </si>
  <si>
    <t>Moyne</t>
  </si>
  <si>
    <t>Murrindindi</t>
  </si>
  <si>
    <t>Nillumbik</t>
  </si>
  <si>
    <t>Northern Grampians</t>
  </si>
  <si>
    <t>Port Phillip</t>
  </si>
  <si>
    <t>Pyrenees</t>
  </si>
  <si>
    <t>Queenscliffe</t>
  </si>
  <si>
    <t>South Gippsland</t>
  </si>
  <si>
    <t>Southern Grampians</t>
  </si>
  <si>
    <t>Stonnington</t>
  </si>
  <si>
    <t>Strathbogie</t>
  </si>
  <si>
    <t>Surf Coast</t>
  </si>
  <si>
    <t>Swan Hill</t>
  </si>
  <si>
    <t>Towong</t>
  </si>
  <si>
    <t>Wangaratta</t>
  </si>
  <si>
    <t>Warrnambool</t>
  </si>
  <si>
    <t>Wellington</t>
  </si>
  <si>
    <t>West Wimmera</t>
  </si>
  <si>
    <t>Whitehorse</t>
  </si>
  <si>
    <t>Whittlesea</t>
  </si>
  <si>
    <t>Wodonga</t>
  </si>
  <si>
    <t>Wyndham</t>
  </si>
  <si>
    <t>Yarra</t>
  </si>
  <si>
    <t>Yarra Ranges</t>
  </si>
  <si>
    <t>Yarriambiack</t>
  </si>
  <si>
    <t>Base year:</t>
  </si>
  <si>
    <t>Model year (base)</t>
  </si>
  <si>
    <t>Coversheet and instructions</t>
  </si>
  <si>
    <t>Model information</t>
  </si>
  <si>
    <t>Financial references</t>
  </si>
  <si>
    <t>Renewal</t>
  </si>
  <si>
    <t>Upgrade</t>
  </si>
  <si>
    <t>Expansion</t>
  </si>
  <si>
    <t>New</t>
  </si>
  <si>
    <t>[select category]</t>
  </si>
  <si>
    <t>(Revenue does not need to match expenditure. However it should be consistent with the reasons for applying for a higher cap. Please explain reason for difference if required)</t>
  </si>
  <si>
    <t>Does the information in this sheet match the LTFP?</t>
  </si>
  <si>
    <t>Does revenue match the LTFP?</t>
  </si>
  <si>
    <t>App years</t>
  </si>
  <si>
    <t>[Select number of higher cap years]</t>
  </si>
  <si>
    <t>Summary</t>
  </si>
  <si>
    <t>Higher caps council is applying for:</t>
  </si>
  <si>
    <t>Increase in general rates and municipal charges revenue:</t>
  </si>
  <si>
    <t>Total:</t>
  </si>
  <si>
    <t>[title]</t>
  </si>
  <si>
    <t>Rating information</t>
  </si>
  <si>
    <t>Revenue and expenditure</t>
  </si>
  <si>
    <t>Charts</t>
  </si>
  <si>
    <t>Financial indicators</t>
  </si>
  <si>
    <t>4 years</t>
  </si>
  <si>
    <t>10 years</t>
  </si>
  <si>
    <t>Total revenue</t>
  </si>
  <si>
    <t>Total expenditure</t>
  </si>
  <si>
    <t>Surplus/deficit</t>
  </si>
  <si>
    <t>Totals</t>
  </si>
  <si>
    <t>Budget average</t>
  </si>
  <si>
    <t>LTFP average</t>
  </si>
  <si>
    <t>Change in operating balance</t>
  </si>
  <si>
    <t>Other (e.g. transfer to reserves)</t>
  </si>
  <si>
    <t>Category</t>
  </si>
  <si>
    <t>Capital expenditure (by project/area)</t>
  </si>
  <si>
    <t>Draft</t>
  </si>
  <si>
    <t>Does capital expenditure match LTFP</t>
  </si>
  <si>
    <t>About this template</t>
  </si>
  <si>
    <t xml:space="preserve">• Please use the instructions below to help you complete each of the worksheets contained in this template.  </t>
  </si>
  <si>
    <t>• If you have any questions about this template, contact us at:</t>
  </si>
  <si>
    <t>Model schematic</t>
  </si>
  <si>
    <t>Email:</t>
  </si>
  <si>
    <t>ph: 9032 1300</t>
  </si>
  <si>
    <t xml:space="preserve">localgovernment@esc.vic.gov.au  </t>
  </si>
  <si>
    <t>Model key</t>
  </si>
  <si>
    <t>Input</t>
  </si>
  <si>
    <t>Council data input cells. Unlocked on worksheet protection - Black font, light blue background</t>
  </si>
  <si>
    <t>Calculations and labels</t>
  </si>
  <si>
    <t>Labels or formulae. Locked on worksheet protection - Black font, white background</t>
  </si>
  <si>
    <t>Comments, guidance</t>
  </si>
  <si>
    <t>Guidance comments and explanations - Light blue text, white background</t>
  </si>
  <si>
    <t>How it works</t>
  </si>
  <si>
    <t xml:space="preserve">     - Detailed rates and charges</t>
  </si>
  <si>
    <t xml:space="preserve">     - Balance sheet</t>
  </si>
  <si>
    <t xml:space="preserve">     - Income statement </t>
  </si>
  <si>
    <t xml:space="preserve">     - Capital expenditure (including funding sources)</t>
  </si>
  <si>
    <t xml:space="preserve">• For the capital works section, please itemise the lines by the category of capital works (for example, renewal or new.) Select the category in cells C36 to C45. </t>
  </si>
  <si>
    <t>Section 3.2 compares the service impacts to the LTFP to ensure all differences are captured.</t>
  </si>
  <si>
    <t>Section 3.3. shows how the additional income compares to any differences in expenditure.</t>
  </si>
  <si>
    <t>4. Higher cap calculation</t>
  </si>
  <si>
    <t xml:space="preserve">• This sheet shows the higher cap(s) that council is applying for, and the corresponding forecast base average rates and capped average rates. </t>
  </si>
  <si>
    <t>• Council's general rates and municipal charges revenue will be prefilled from the LTFP worksheet in cells C10 to I12</t>
  </si>
  <si>
    <t xml:space="preserve">• Enter the annualised general rates and municipal charges supplementary revenue in cells C14 to I14. This includes actuals for the two years prior to the base year to demonstrate that the forecasts are reasonable. </t>
  </si>
  <si>
    <t xml:space="preserve">• Annualised supplementary rates can be found by applying the rate in the dollar(s) to the increase in the valuation base from the start of the base year (1 July), to the end of the base year (30 June). Annualised supplementary municipal charges can be found by applying the municipal charge to the additional rateable properties in the rate base over the course of the base year. </t>
  </si>
  <si>
    <t xml:space="preserve">• Council is to input the historical and forecast rateable assessments as at 30 June in cells C17 to I17. </t>
  </si>
  <si>
    <t xml:space="preserve">•  Section 4.2 calculates the base average rate, capped average rates, average rate increase and increases in general rates and municipal charges revenue that the council is applying for. </t>
  </si>
  <si>
    <t>5. Financial indicators</t>
  </si>
  <si>
    <t>• This worksheet calculates a number of key financial performance and sustainability indicators. The definitions of these indicators should match the definitions set out in Local Government Victoria's 'Local Government Performance Reporting Framework Indicator Guide'.</t>
  </si>
  <si>
    <t>6. Summary</t>
  </si>
  <si>
    <t>2. Long-term financial planning</t>
  </si>
  <si>
    <t>3. Service impacts</t>
  </si>
  <si>
    <t>How does your council define its waste services?</t>
  </si>
  <si>
    <t>Waste service</t>
  </si>
  <si>
    <t>Short definition (1 sentence)</t>
  </si>
  <si>
    <t>Expenditure</t>
  </si>
  <si>
    <t>Actuals</t>
  </si>
  <si>
    <t>2020–21</t>
  </si>
  <si>
    <t>2021–22</t>
  </si>
  <si>
    <t>2022–23</t>
  </si>
  <si>
    <t>2023–24</t>
  </si>
  <si>
    <t>2024–25</t>
  </si>
  <si>
    <t>2025–26</t>
  </si>
  <si>
    <t>What is the revenue council uses to fund waste related expenditure?</t>
  </si>
  <si>
    <t>General rates and municipal charges</t>
  </si>
  <si>
    <t>2034-35</t>
  </si>
  <si>
    <t>Additional revenue related to waste services</t>
  </si>
  <si>
    <t>Revenue used to fund waste related expenditure</t>
  </si>
  <si>
    <t>if higher cap application is for other reasons, isolate revenues related to other reasons in this row.</t>
  </si>
  <si>
    <t>Waste service definition</t>
  </si>
  <si>
    <t>Revenue related to waste services</t>
  </si>
  <si>
    <t>Long-term outlook of waste services</t>
  </si>
  <si>
    <t>Revenue for other reasons for applying for a higher cap</t>
  </si>
  <si>
    <t>Additional general rates and municipal charge revenue</t>
  </si>
  <si>
    <t>Supplementary instructions for councils seeking a higher cap to transfer waste charge revenue</t>
  </si>
  <si>
    <t>• These worksheets collate key information for councils seeking a higher cap to transfer waste charge revenue into general rates and municipal charge revenue.</t>
  </si>
  <si>
    <t>•  If your council is not applying for this reason, they should not be completed.</t>
  </si>
  <si>
    <t>Total revenue used to fund waste related expenditure</t>
  </si>
  <si>
    <t>Forecast Actuals</t>
  </si>
  <si>
    <t>Total waste expenditure</t>
  </si>
  <si>
    <t>forgoing higher cap revenue related to waste services</t>
  </si>
  <si>
    <t>Financial impact of forgoing additional general rate revenue relating to waste services</t>
  </si>
  <si>
    <t>Impact of forgoing the higher cap waste revenue</t>
  </si>
  <si>
    <t>with higher cap (all reasons)</t>
  </si>
  <si>
    <t>difference (impact of obtaining a higher cap to retain the revenue)</t>
  </si>
  <si>
    <t xml:space="preserve">7. Supplementary waste - detailed </t>
  </si>
  <si>
    <t>8. Supplementary waste - Long term</t>
  </si>
  <si>
    <t>• Section 9.1 sets out the long-term outlook of waste expenditure, and the revenue that funds waste services.</t>
  </si>
  <si>
    <t>Note: add previous 2 years to demonstrate assumptions around property and supplementary growth are reasonable.</t>
  </si>
  <si>
    <t xml:space="preserve">• Council is to provide the long-term financial planning for 'with higher cap' and 'without higher cap' scenarios. The sheet then calculates the difference between the two scenarios. </t>
  </si>
  <si>
    <t xml:space="preserve">• We encourage councils to review their previous annual compliance templates to ensure their assumptions around supplementary valuations and rateable properties are reasonable. The onus is on councils to make these forecasts as accurate as possible. </t>
  </si>
  <si>
    <t>• The revenue your council receives to fund waste services should be set out in section 8.2. Only include the amounts that fund waste services (e.g. the proportion of general rates related to waste).</t>
  </si>
  <si>
    <t xml:space="preserve">• The operating expenditure in relation to each service area/type should be entered in section 8.3, cells D53 to J76. You may include direct and indirect costs per service area or separate out overhead costs as a separate line item. </t>
  </si>
  <si>
    <t xml:space="preserve">• Any capital expenditure should be listed in cells D81 to I104. If the capital expenditure relates to multiple services, please add another line item in section 8.1 and list the relevant services in the definition cell. </t>
  </si>
  <si>
    <t>• Cells D8 to E13 are prefilled from the information entered into the ‘supplementary waste – detailed’ worksheet</t>
  </si>
  <si>
    <t>• Enter the forecasts for expenditure and revenue in cells F8 to N13</t>
  </si>
  <si>
    <r>
      <t xml:space="preserve">• If your council is also applying for a higher cap for another reason(s), please enter the revenue related to the other reason in cells D24 to I24. </t>
    </r>
    <r>
      <rPr>
        <i/>
        <sz val="11"/>
        <color theme="1"/>
        <rFont val="Arial"/>
        <family val="2"/>
        <scheme val="minor"/>
      </rPr>
      <t xml:space="preserve">Note: If your council is applying for other reasons, we may further adjust these calculations to better capture the impact of forgoing the higher cap revenue related to waste services. </t>
    </r>
  </si>
  <si>
    <t>Long-term financial plan</t>
  </si>
  <si>
    <r>
      <t xml:space="preserve">• Differences between </t>
    </r>
    <r>
      <rPr>
        <b/>
        <sz val="11"/>
        <color theme="1"/>
        <rFont val="Arial"/>
        <family val="2"/>
        <scheme val="minor"/>
      </rPr>
      <t>operating expenditure</t>
    </r>
    <r>
      <rPr>
        <sz val="11"/>
        <color theme="1"/>
        <rFont val="Arial"/>
        <family val="2"/>
        <scheme val="minor"/>
      </rPr>
      <t xml:space="preserve"> by service area or project should be entered in rows 22 to 42.  The lines are intended to be related to specific service areas or projects and need only to reflect total expenditure, not the financial line items (e.g. depreciation, materials and services etc.). </t>
    </r>
  </si>
  <si>
    <r>
      <t xml:space="preserve">• Differences between </t>
    </r>
    <r>
      <rPr>
        <b/>
        <sz val="11"/>
        <color theme="1"/>
        <rFont val="Arial"/>
        <family val="2"/>
        <scheme val="minor"/>
      </rPr>
      <t>capital expenditure</t>
    </r>
    <r>
      <rPr>
        <sz val="11"/>
        <color theme="1"/>
        <rFont val="Arial"/>
        <family val="2"/>
        <scheme val="minor"/>
      </rPr>
      <t xml:space="preserve"> by service area or project should be entered in rows 22 to 42. For example, if you are applying to fund capital works projects, add the projects which are affected. </t>
    </r>
  </si>
  <si>
    <t>Fair Go Rates system – Applying for a higher cap: Guidance for councils 2025–26</t>
  </si>
  <si>
    <r>
      <rPr>
        <sz val="11"/>
        <color theme="10"/>
        <rFont val="Arial"/>
        <family val="2"/>
        <scheme val="minor"/>
      </rPr>
      <t xml:space="preserve">available at: </t>
    </r>
    <r>
      <rPr>
        <u/>
        <sz val="11"/>
        <color theme="10"/>
        <rFont val="Arial"/>
        <family val="2"/>
        <scheme val="minor"/>
      </rPr>
      <t>https://www.esc.vic.gov.au/local-government/higher-rate-cap-applications/guidance-councils-applying-higher-cap</t>
    </r>
  </si>
  <si>
    <t xml:space="preserve"> template, at: Guidance for councils applying for a higher cap |  Essential Services Commission</t>
  </si>
  <si>
    <t>• The additional general rates and municipal charge income (row 8) that the council would receive in the higher cap scenario is prefilled based on the LTFP worksheet.</t>
  </si>
  <si>
    <t>• Before completing this sheet ensure that the rates and charges information in rows 8 and 18 in the 'LTFP' sheet have been populated. This information is necessary for the calculations in this sheet.</t>
  </si>
  <si>
    <t>• Check that the number of years (1 to 4) the council is applying for is correct in cell C6. If it is incorrect update C11 on the 'Coversheet and instructions' worksheet.</t>
  </si>
  <si>
    <t>7. 'Supp_waste - detailed' and 8. 'Supp_waste - Long term'</t>
  </si>
  <si>
    <t>• More information about these worksheets is provided in the section below.</t>
  </si>
  <si>
    <t>Higher cap information template</t>
  </si>
  <si>
    <t>If the base year is not correct, please check that you are using the latest higher cap information</t>
  </si>
  <si>
    <t>All councils that are applying for a higher cap or higher caps must complete this template</t>
  </si>
  <si>
    <t xml:space="preserve">• For information on why the Essential Services Commission requires councils applying for a higher cap or caps to complete this template, refer to the commission's higher cap guidance: </t>
  </si>
  <si>
    <t xml:space="preserve">• Please ensure you select your council and the number of years the higher cap application is for in the above blue drop down boxes &lt;[Select council]&gt;, &lt;[Select number of higher cap years]&gt;. Ensure that contact information has been provided. </t>
  </si>
  <si>
    <t>• For higher cap applications for 2025–26, the base year will be 2024–25.</t>
  </si>
  <si>
    <t xml:space="preserve">• Councils are to enter information into the 'LTFP' and 'Service impacts' worksheets. These worksheets gather financial information and show how the proposed higher cap will impact council's financial performance and service delivery. Councils are required to enter a 'with higher cap' and 'without higher cap' scenario. </t>
  </si>
  <si>
    <t>• The calculation sheets use information from the LTFP to calculate financial indicators and the proposed higher cap. Councils need to provide further information about rateable properties and supplementary valuations in the higher cap calculation sheet.</t>
  </si>
  <si>
    <t>• Key information is summarised in the 'Summary' sheet and key trends are shown in the 'Charts' worksheet. Please ensure this information matches and supports the figures, numbers and reasons set out in the rest of your higher cap application.</t>
  </si>
  <si>
    <t>• The definitions of the line-items should follow statutory reporting. The model has been set up to reflect the most recent model budget published by Local Government Victoria.</t>
  </si>
  <si>
    <t>• Council is to provide the long-term financial planning based on the 'with higher cap' scenario from cells D8 to N127. Council is to provide the same information for the 'without higher cap' scenario in cells E134 to C252. This includes:</t>
  </si>
  <si>
    <t xml:space="preserve">• The service impacts sheet captures any differences in service delivery between the 'with higher cap' and 'without higher cap' scenarios. The difference in income, operational expenditure or capital expenditure should be linked to specific service areas or projects, consistent with council's reason(s) for applying for a higher cap. </t>
  </si>
  <si>
    <r>
      <t xml:space="preserve">• Any other differences in </t>
    </r>
    <r>
      <rPr>
        <b/>
        <sz val="11"/>
        <color theme="1"/>
        <rFont val="Arial"/>
        <family val="2"/>
        <scheme val="minor"/>
      </rPr>
      <t>income</t>
    </r>
    <r>
      <rPr>
        <sz val="11"/>
        <color theme="1"/>
        <rFont val="Arial"/>
        <family val="2"/>
        <scheme val="minor"/>
      </rPr>
      <t xml:space="preserve"> between the 'with higher cap' and 'without higher cap' scenarios should be entered between row 9 and 18. </t>
    </r>
  </si>
  <si>
    <t xml:space="preserve">• No input is required for this worksheet however council should review these indicators to ensure they support the reason(s) set out in the higher cap application. </t>
  </si>
  <si>
    <t xml:space="preserve">• This worksheet automatically generates key information based on the LTFP and higher cap calculation worksheets. Please review this sheet to ensure it matches the numbers and reason(s) set out in the rest of your council's higher cap application. </t>
  </si>
  <si>
    <t xml:space="preserve">• Councils should define their waste services by service area/type in section 8.1. The service areas and waste definitions should reflect the council’s own approach to service delivery and cost recovery. We have provided some examples, however council should use their own service definitions. </t>
  </si>
  <si>
    <t xml:space="preserve">• At a minimum, the service areas need to be detailed enough to capture the services that are being transferred from service rates and charges. The services that are being transferred, along with the cost of those services, should be set out in the council's statement addressing the six legislative matters. </t>
  </si>
  <si>
    <t xml:space="preserve">• Section 9.2 automatically calculates the long-term financial impact of forgoing the revenue. It compares the 'with higher cap' scenario against a hypothetical scenario where the revenue council wants to transfer is forgone. </t>
  </si>
  <si>
    <t xml:space="preserve">Surplus/deficit </t>
  </si>
  <si>
    <t>Higher cap calculation</t>
  </si>
  <si>
    <t>Total cumulative increase</t>
  </si>
  <si>
    <t>Proposed general rates and municipal charges revenue above the minister's cap</t>
  </si>
  <si>
    <t>Additional general rates and municipal charge revenue above the minister's cap:</t>
  </si>
  <si>
    <t>Loans and borrowings</t>
  </si>
  <si>
    <t>Supplementary (for councils seeking a higher cap to transfer waste charge revenue to general rates)</t>
  </si>
  <si>
    <t xml:space="preserve">Revenue </t>
  </si>
  <si>
    <t>Proposed higher cap revenue related to waste services</t>
  </si>
  <si>
    <t>Growth in annualised supplementary rates</t>
  </si>
  <si>
    <t>Greg Pinkerton</t>
  </si>
  <si>
    <t>Director, Planning &amp; Corporate Serices</t>
  </si>
  <si>
    <t>1300 365 003</t>
  </si>
  <si>
    <t>info@indigoshire.vic.gov.au</t>
  </si>
  <si>
    <t>Kerbside bin collection</t>
  </si>
  <si>
    <t>Hard waste collection</t>
  </si>
  <si>
    <t>Street sweeping</t>
  </si>
  <si>
    <t>Sweeping of streets</t>
  </si>
  <si>
    <t xml:space="preserve">Kerbside waste includes weekly garbage and fortnightly recycling and fogo services. </t>
  </si>
  <si>
    <t>Regional waste group costs</t>
  </si>
  <si>
    <t>Included above</t>
  </si>
  <si>
    <t>No change</t>
  </si>
  <si>
    <t>Allocation of corporate overhead includes office accomodation, HR, executive function, customer service, OHS, Records management, cleaning, utilities, IT hardware &amp; IT support, etc)</t>
  </si>
  <si>
    <t>Public bins and other collections</t>
  </si>
  <si>
    <t>Bins in public places and other contract collections</t>
  </si>
  <si>
    <t>Collection of hard waste</t>
  </si>
  <si>
    <t>Participation in regional waste group and associated activities</t>
  </si>
  <si>
    <t>Landfills</t>
  </si>
  <si>
    <t>Assessemetn and monitoring of closed landfill sites as well as provision for rehabilitiation</t>
  </si>
  <si>
    <t>Management overhead</t>
  </si>
  <si>
    <t>Management of waste activities</t>
  </si>
  <si>
    <t>Corporate overhead</t>
  </si>
  <si>
    <t>Other costs including drum muster, Covid, response, legal costs, etc.</t>
  </si>
  <si>
    <t>Event waste management</t>
  </si>
  <si>
    <t>Management of event wast activities and bin supply</t>
  </si>
  <si>
    <t>Transfer stations</t>
  </si>
  <si>
    <t>Operation of council's transfer stations</t>
  </si>
  <si>
    <t>Report charts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</si>
</sst>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
    <numFmt numFmtId="165" formatCode="[Green][=0]&quot;OK&quot;;[Red]&quot;Err&quot;"/>
    <numFmt numFmtId="166" formatCode="_-* #,##0_-;\-* #,##0_-;_-* &quot;-&quot;??_-;_-@_-"/>
    <numFmt numFmtId="167" formatCode="0.0%"/>
    <numFmt numFmtId="168" formatCode="d\ mmm\ yy"/>
    <numFmt numFmtId="169" formatCode="_-* #,##0.0_-;\-* #,##0.0_-;_-* &quot;-&quot;??_-;_-@_-"/>
  </numFmts>
  <fonts count="57" x14ac:knownFonts="1">
    <font>
      <sz val="11"/>
      <color theme="1"/>
      <name val="Arial"/>
      <family val="2"/>
      <scheme val="minor"/>
    </font>
    <font>
      <sz val="11"/>
      <color theme="1"/>
      <name val="Arial"/>
      <family val="2"/>
      <scheme val="minor"/>
    </font>
    <font>
      <b/>
      <sz val="11"/>
      <color rgb="FF3F3F3F"/>
      <name val="Arial"/>
      <family val="2"/>
      <scheme val="minor"/>
    </font>
    <font>
      <sz val="11"/>
      <color rgb="FFFA7D00"/>
      <name val="Arial"/>
      <family val="2"/>
      <scheme val="minor"/>
    </font>
    <font>
      <i/>
      <sz val="11"/>
      <color rgb="FF7F7F7F"/>
      <name val="Arial"/>
      <family val="2"/>
      <scheme val="minor"/>
    </font>
    <font>
      <sz val="11"/>
      <color theme="0"/>
      <name val="Arial"/>
      <family val="2"/>
      <scheme val="minor"/>
    </font>
    <font>
      <sz val="10"/>
      <color indexed="9"/>
      <name val="Verdana"/>
      <family val="2"/>
    </font>
    <font>
      <b/>
      <sz val="11"/>
      <color theme="0"/>
      <name val="Verdana"/>
      <family val="2"/>
    </font>
    <font>
      <sz val="11"/>
      <name val="Arial"/>
      <family val="2"/>
      <scheme val="minor"/>
    </font>
    <font>
      <sz val="11"/>
      <color rgb="FFCE0058"/>
      <name val="Arial"/>
      <family val="2"/>
      <scheme val="minor"/>
    </font>
    <font>
      <sz val="11"/>
      <color rgb="FF7F7F7F"/>
      <name val="Arial"/>
      <family val="2"/>
      <scheme val="minor"/>
    </font>
    <font>
      <sz val="11"/>
      <color rgb="FF4986A0"/>
      <name val="Arial"/>
      <family val="2"/>
      <scheme val="minor"/>
    </font>
    <font>
      <sz val="11"/>
      <color theme="1" tint="0.24994659260841701"/>
      <name val="Arial"/>
      <family val="2"/>
      <scheme val="minor"/>
    </font>
    <font>
      <b/>
      <sz val="22"/>
      <color theme="0"/>
      <name val="Arial"/>
      <family val="2"/>
      <scheme val="minor"/>
    </font>
    <font>
      <b/>
      <sz val="18"/>
      <color theme="0"/>
      <name val="Arial"/>
      <family val="2"/>
      <scheme val="minor"/>
    </font>
    <font>
      <b/>
      <sz val="12"/>
      <color theme="1"/>
      <name val="Arial"/>
      <family val="2"/>
      <scheme val="minor"/>
    </font>
    <font>
      <b/>
      <sz val="12"/>
      <color rgb="FF4986A0"/>
      <name val="Arial"/>
      <family val="2"/>
      <scheme val="minor"/>
    </font>
    <font>
      <b/>
      <sz val="12"/>
      <name val="Arial"/>
      <family val="2"/>
      <scheme val="minor"/>
    </font>
    <font>
      <b/>
      <sz val="12"/>
      <color rgb="FFCE0058"/>
      <name val="Arial"/>
      <family val="2"/>
      <scheme val="minor"/>
    </font>
    <font>
      <b/>
      <sz val="12"/>
      <color theme="0"/>
      <name val="Arial"/>
      <family val="2"/>
      <scheme val="minor"/>
    </font>
    <font>
      <sz val="11"/>
      <color rgb="FFED8B00"/>
      <name val="Arial"/>
      <family val="2"/>
      <scheme val="minor"/>
    </font>
    <font>
      <b/>
      <sz val="12"/>
      <color rgb="FF236192"/>
      <name val="Arial"/>
      <family val="2"/>
      <scheme val="minor"/>
    </font>
    <font>
      <b/>
      <sz val="14"/>
      <color theme="0"/>
      <name val="Arial"/>
      <family val="2"/>
      <scheme val="minor"/>
    </font>
    <font>
      <sz val="12"/>
      <color theme="0"/>
      <name val="Arial"/>
      <family val="2"/>
      <scheme val="minor"/>
    </font>
    <font>
      <sz val="12"/>
      <color rgb="FF4986A0"/>
      <name val="Arial"/>
      <family val="2"/>
      <scheme val="minor"/>
    </font>
    <font>
      <sz val="12"/>
      <color theme="3"/>
      <name val="Arial"/>
      <family val="2"/>
      <scheme val="minor"/>
    </font>
    <font>
      <sz val="12"/>
      <color theme="1"/>
      <name val="Arial"/>
      <family val="2"/>
      <scheme val="minor"/>
    </font>
    <font>
      <b/>
      <sz val="11"/>
      <color theme="1"/>
      <name val="Arial"/>
      <family val="2"/>
      <scheme val="minor"/>
    </font>
    <font>
      <sz val="11"/>
      <name val="Arial"/>
      <family val="2"/>
    </font>
    <font>
      <sz val="10"/>
      <name val="Verdana"/>
      <family val="2"/>
    </font>
    <font>
      <b/>
      <sz val="10"/>
      <name val="Verdana"/>
      <family val="2"/>
    </font>
    <font>
      <sz val="11"/>
      <name val="Verdana"/>
      <family val="2"/>
    </font>
    <font>
      <b/>
      <sz val="11"/>
      <name val="Arial"/>
      <family val="2"/>
      <scheme val="minor"/>
    </font>
    <font>
      <i/>
      <sz val="11"/>
      <color theme="1"/>
      <name val="Arial"/>
      <family val="2"/>
      <scheme val="minor"/>
    </font>
    <font>
      <sz val="10"/>
      <color theme="0" tint="-0.499984740745262"/>
      <name val="Verdana"/>
      <family val="2"/>
    </font>
    <font>
      <sz val="8"/>
      <color theme="0" tint="-0.499984740745262"/>
      <name val="Verdana"/>
      <family val="2"/>
    </font>
    <font>
      <sz val="10"/>
      <color rgb="FF4986A0"/>
      <name val="Verdana"/>
      <family val="2"/>
    </font>
    <font>
      <sz val="11"/>
      <color theme="2"/>
      <name val="Arial"/>
      <family val="2"/>
      <scheme val="minor"/>
    </font>
    <font>
      <u/>
      <sz val="11"/>
      <color theme="10"/>
      <name val="Arial"/>
      <family val="2"/>
      <scheme val="minor"/>
    </font>
    <font>
      <sz val="11"/>
      <color theme="6"/>
      <name val="Arial"/>
      <family val="2"/>
      <scheme val="minor"/>
    </font>
    <font>
      <u/>
      <sz val="11"/>
      <color theme="6"/>
      <name val="Arial"/>
      <family val="2"/>
      <scheme val="minor"/>
    </font>
    <font>
      <sz val="9"/>
      <name val="Arial"/>
      <family val="2"/>
    </font>
    <font>
      <sz val="10"/>
      <name val="Arial"/>
      <family val="2"/>
    </font>
    <font>
      <sz val="9"/>
      <name val="Verdana"/>
      <family val="2"/>
    </font>
    <font>
      <sz val="10"/>
      <name val="Arial"/>
      <family val="2"/>
      <scheme val="minor"/>
    </font>
    <font>
      <sz val="10"/>
      <color theme="1"/>
      <name val="Arial"/>
      <family val="2"/>
      <scheme val="minor"/>
    </font>
    <font>
      <b/>
      <sz val="11"/>
      <color theme="0"/>
      <name val="Arial"/>
      <family val="2"/>
      <scheme val="minor"/>
    </font>
    <font>
      <i/>
      <sz val="9"/>
      <name val="Verdana"/>
      <family val="2"/>
    </font>
    <font>
      <i/>
      <sz val="10"/>
      <name val="Arial"/>
      <family val="2"/>
      <scheme val="minor"/>
    </font>
    <font>
      <i/>
      <sz val="10"/>
      <name val="Arial"/>
      <family val="2"/>
    </font>
    <font>
      <sz val="11"/>
      <color theme="3"/>
      <name val="Arial"/>
      <family val="2"/>
      <scheme val="minor"/>
    </font>
    <font>
      <sz val="10"/>
      <color theme="1"/>
      <name val="Verdana"/>
      <family val="2"/>
    </font>
    <font>
      <sz val="22"/>
      <color theme="0"/>
      <name val="Arial"/>
      <family val="2"/>
      <scheme val="minor"/>
    </font>
    <font>
      <b/>
      <i/>
      <sz val="11"/>
      <color theme="1"/>
      <name val="Arial"/>
      <family val="2"/>
      <scheme val="minor"/>
    </font>
    <font>
      <sz val="11"/>
      <color theme="1"/>
      <name val="Arial"/>
      <family val="2"/>
      <scheme val="major"/>
    </font>
    <font>
      <sz val="11"/>
      <color rgb="FF4986A0"/>
      <name val="Arial"/>
      <family val="2"/>
      <scheme val="major"/>
    </font>
    <font>
      <sz val="11"/>
      <color theme="10"/>
      <name val="Arial"/>
      <family val="2"/>
      <scheme val="minor"/>
    </font>
  </fonts>
  <fills count="16">
    <fill>
      <patternFill patternType="none"/>
    </fill>
    <fill>
      <patternFill patternType="gray125"/>
    </fill>
    <fill>
      <patternFill patternType="solid">
        <fgColor rgb="FFF2F2F2"/>
      </patternFill>
    </fill>
    <fill>
      <patternFill patternType="solid">
        <fgColor theme="1" tint="0.499984740745262"/>
        <bgColor indexed="64"/>
      </patternFill>
    </fill>
    <fill>
      <patternFill patternType="solid">
        <fgColor rgb="FF236192"/>
        <bgColor rgb="FF00A1DE"/>
      </patternFill>
    </fill>
    <fill>
      <patternFill patternType="solid">
        <fgColor rgb="FF23619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rgb="FFAFCDDB"/>
        <bgColor indexed="64"/>
      </patternFill>
    </fill>
    <fill>
      <patternFill patternType="solid">
        <fgColor rgb="FFFFFF00"/>
        <bgColor indexed="64"/>
      </patternFill>
    </fill>
    <fill>
      <patternFill patternType="solid">
        <fgColor rgb="FF4986A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bgColor indexed="64"/>
      </patternFill>
    </fill>
    <fill>
      <patternFill patternType="solid">
        <fgColor theme="7" tint="0.79998168889431442"/>
        <bgColor indexed="64"/>
      </patternFill>
    </fill>
  </fills>
  <borders count="73">
    <border>
      <left/>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bottom>
      <diagonal/>
    </border>
    <border>
      <left/>
      <right/>
      <top/>
      <bottom style="medium">
        <color rgb="FFCE0058"/>
      </bottom>
      <diagonal/>
    </border>
    <border>
      <left/>
      <right/>
      <top/>
      <bottom style="thin">
        <color rgb="FFCE0058"/>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indexed="64"/>
      </top>
      <bottom/>
      <diagonal/>
    </border>
    <border>
      <left/>
      <right style="thin">
        <color theme="0"/>
      </right>
      <top style="thin">
        <color indexed="64"/>
      </top>
      <bottom style="thin">
        <color theme="0"/>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right/>
      <top style="thin">
        <color indexed="64"/>
      </top>
      <bottom/>
      <diagonal/>
    </border>
    <border>
      <left/>
      <right style="thin">
        <color theme="0"/>
      </right>
      <top style="thin">
        <color theme="0"/>
      </top>
      <bottom style="thin">
        <color theme="0"/>
      </bottom>
      <diagonal/>
    </border>
    <border>
      <left style="thin">
        <color indexed="64"/>
      </left>
      <right/>
      <top/>
      <bottom style="thin">
        <color indexed="64"/>
      </bottom>
      <diagonal/>
    </border>
    <border>
      <left style="thin">
        <color theme="0" tint="-0.24994659260841701"/>
      </left>
      <right/>
      <top/>
      <bottom/>
      <diagonal/>
    </border>
    <border>
      <left style="thin">
        <color indexed="64"/>
      </left>
      <right/>
      <top style="thin">
        <color theme="0" tint="-0.14999847407452621"/>
      </top>
      <bottom style="thin">
        <color theme="0" tint="-0.14999847407452621"/>
      </bottom>
      <diagonal/>
    </border>
    <border>
      <left style="thin">
        <color indexed="64"/>
      </left>
      <right/>
      <top style="thin">
        <color theme="0" tint="-0.14999847407452621"/>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theme="9"/>
      </left>
      <right style="dotted">
        <color theme="9"/>
      </right>
      <top style="dotted">
        <color theme="9"/>
      </top>
      <bottom style="dotted">
        <color theme="9"/>
      </bottom>
      <diagonal/>
    </border>
    <border>
      <left style="dotted">
        <color theme="0" tint="-0.249977111117893"/>
      </left>
      <right/>
      <top style="dotted">
        <color theme="0" tint="-0.249977111117893"/>
      </top>
      <bottom style="dotted">
        <color theme="0" tint="-0.249977111117893"/>
      </bottom>
      <diagonal/>
    </border>
    <border>
      <left/>
      <right/>
      <top style="dotted">
        <color theme="0" tint="-0.249977111117893"/>
      </top>
      <bottom style="dotted">
        <color theme="0" tint="-0.249977111117893"/>
      </bottom>
      <diagonal/>
    </border>
    <border>
      <left/>
      <right style="dotted">
        <color theme="0" tint="-0.249977111117893"/>
      </right>
      <top style="dotted">
        <color theme="0" tint="-0.249977111117893"/>
      </top>
      <bottom style="dotted">
        <color theme="0" tint="-0.249977111117893"/>
      </bottom>
      <diagonal/>
    </border>
    <border>
      <left style="dotted">
        <color theme="0" tint="-0.249977111117893"/>
      </left>
      <right style="dotted">
        <color theme="0" tint="-0.249977111117893"/>
      </right>
      <top style="dotted">
        <color theme="0" tint="-0.249977111117893"/>
      </top>
      <bottom style="dotted">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double">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77111117893"/>
      </top>
      <bottom style="thin">
        <color theme="0" tint="-0.24994659260841701"/>
      </bottom>
      <diagonal/>
    </border>
    <border>
      <left/>
      <right style="double">
        <color theme="0" tint="-0.249977111117893"/>
      </right>
      <top style="thin">
        <color theme="0" tint="-0.249977111117893"/>
      </top>
      <bottom style="thin">
        <color theme="0" tint="-0.24994659260841701"/>
      </bottom>
      <diagonal/>
    </border>
    <border>
      <left style="thin">
        <color theme="0" tint="-0.249977111117893"/>
      </left>
      <right/>
      <top style="thin">
        <color theme="0" tint="-0.249977111117893"/>
      </top>
      <bottom style="thin">
        <color theme="0" tint="-0.24994659260841701"/>
      </bottom>
      <diagonal/>
    </border>
    <border>
      <left/>
      <right style="thin">
        <color theme="0" tint="-0.249977111117893"/>
      </right>
      <top style="thin">
        <color theme="0" tint="-0.249977111117893"/>
      </top>
      <bottom style="thin">
        <color theme="0" tint="-0.24994659260841701"/>
      </bottom>
      <diagonal/>
    </border>
    <border>
      <left/>
      <right style="double">
        <color theme="0" tint="-0.249977111117893"/>
      </right>
      <top style="thin">
        <color theme="0" tint="-0.24994659260841701"/>
      </top>
      <bottom style="thin">
        <color theme="0" tint="-0.24994659260841701"/>
      </bottom>
      <diagonal/>
    </border>
    <border>
      <left style="thin">
        <color theme="0" tint="-0.249977111117893"/>
      </left>
      <right/>
      <top/>
      <bottom/>
      <diagonal/>
    </border>
    <border>
      <left style="double">
        <color theme="0" tint="-0.249977111117893"/>
      </left>
      <right/>
      <top/>
      <bottom/>
      <diagonal/>
    </border>
    <border>
      <left/>
      <right style="thin">
        <color theme="0" tint="-0.249977111117893"/>
      </right>
      <top/>
      <bottom/>
      <diagonal/>
    </border>
    <border>
      <left/>
      <right style="double">
        <color theme="0" tint="-0.249977111117893"/>
      </right>
      <top style="thin">
        <color theme="0" tint="-0.249977111117893"/>
      </top>
      <bottom style="thin">
        <color theme="0" tint="-0.249977111117893"/>
      </bottom>
      <diagonal/>
    </border>
    <border>
      <left style="thin">
        <color theme="0"/>
      </left>
      <right/>
      <top style="thin">
        <color indexed="64"/>
      </top>
      <bottom style="thin">
        <color theme="0"/>
      </bottom>
      <diagonal/>
    </border>
    <border>
      <left/>
      <right style="thin">
        <color indexed="64"/>
      </right>
      <top style="thin">
        <color indexed="64"/>
      </top>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dashed">
        <color theme="0" tint="-0.249977111117893"/>
      </left>
      <right style="dashed">
        <color theme="0" tint="-0.249977111117893"/>
      </right>
      <top style="dashed">
        <color theme="0" tint="-0.249977111117893"/>
      </top>
      <bottom style="dashed">
        <color theme="0" tint="-0.249977111117893"/>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style="thin">
        <color theme="0" tint="-0.24994659260841701"/>
      </right>
      <top style="thin">
        <color theme="2" tint="0.39997558519241921"/>
      </top>
      <bottom style="thin">
        <color theme="0" tint="-0.24994659260841701"/>
      </bottom>
      <diagonal/>
    </border>
  </borders>
  <cellStyleXfs count="39">
    <xf numFmtId="0" fontId="0" fillId="0" borderId="0">
      <alignment vertical="top"/>
    </xf>
    <xf numFmtId="0" fontId="13" fillId="5" borderId="0" applyNumberFormat="0" applyProtection="0">
      <alignment horizontal="left" vertical="center"/>
    </xf>
    <xf numFmtId="0" fontId="14" fillId="5" borderId="7" applyNumberFormat="0" applyProtection="0">
      <alignment horizontal="left" vertical="center"/>
    </xf>
    <xf numFmtId="0" fontId="15" fillId="0" borderId="8" applyNumberFormat="0" applyFill="0" applyProtection="0">
      <alignment horizontal="left" vertical="center"/>
    </xf>
    <xf numFmtId="0" fontId="16" fillId="0" borderId="0" applyNumberFormat="0" applyFill="0" applyProtection="0">
      <alignment horizontal="left" vertical="center"/>
    </xf>
    <xf numFmtId="0" fontId="8" fillId="8" borderId="4" applyNumberFormat="0">
      <alignment horizontal="center" vertical="center"/>
      <protection locked="0"/>
    </xf>
    <xf numFmtId="0" fontId="2" fillId="2" borderId="1" applyNumberFormat="0" applyAlignment="0" applyProtection="0"/>
    <xf numFmtId="0" fontId="8" fillId="0" borderId="6" applyAlignment="0" applyProtection="0">
      <alignment horizontal="left" vertical="center"/>
    </xf>
    <xf numFmtId="0" fontId="3" fillId="0" borderId="2" applyNumberFormat="0" applyFill="0" applyAlignment="0" applyProtection="0"/>
    <xf numFmtId="165" fontId="9" fillId="6" borderId="4" applyAlignment="0" applyProtection="0"/>
    <xf numFmtId="0" fontId="1" fillId="9" borderId="3" applyNumberFormat="0" applyFont="0" applyAlignment="0" applyProtection="0"/>
    <xf numFmtId="0" fontId="4" fillId="0" borderId="0" applyNumberFormat="0" applyFill="0" applyBorder="0" applyProtection="0">
      <alignment vertical="top"/>
    </xf>
    <xf numFmtId="0" fontId="5" fillId="3" borderId="4">
      <alignment horizontal="center" vertical="center"/>
    </xf>
    <xf numFmtId="0" fontId="6" fillId="4" borderId="5" applyBorder="0">
      <alignment horizontal="left" vertical="center"/>
    </xf>
    <xf numFmtId="164" fontId="7" fillId="5" borderId="0">
      <alignment horizontal="left" vertical="center"/>
    </xf>
    <xf numFmtId="0" fontId="10" fillId="0" borderId="0">
      <alignment horizontal="center" vertical="top"/>
    </xf>
    <xf numFmtId="0" fontId="11" fillId="6" borderId="4">
      <alignment vertical="top"/>
    </xf>
    <xf numFmtId="0" fontId="12" fillId="7" borderId="4">
      <alignment horizontal="center" vertical="center"/>
    </xf>
    <xf numFmtId="0" fontId="17" fillId="0" borderId="0" applyFill="0" applyProtection="0">
      <alignment horizontal="left" vertical="center"/>
    </xf>
    <xf numFmtId="0" fontId="18" fillId="0" borderId="0" applyFill="0" applyProtection="0">
      <alignment horizontal="left" vertical="center"/>
    </xf>
    <xf numFmtId="0" fontId="19" fillId="5" borderId="0" applyProtection="0">
      <alignment horizontal="left" vertical="center"/>
    </xf>
    <xf numFmtId="0" fontId="15" fillId="0" borderId="9" applyFill="0" applyProtection="0">
      <alignment horizontal="left" vertical="center"/>
    </xf>
    <xf numFmtId="0" fontId="20" fillId="6" borderId="4">
      <alignment vertical="top"/>
    </xf>
    <xf numFmtId="0" fontId="13" fillId="5" borderId="0" applyProtection="0">
      <alignment horizontal="left" vertical="center"/>
    </xf>
    <xf numFmtId="0" fontId="5" fillId="5" borderId="0">
      <alignment horizontal="left" vertical="center"/>
    </xf>
    <xf numFmtId="0" fontId="21" fillId="0" borderId="0">
      <alignment horizontal="center" vertical="center"/>
    </xf>
    <xf numFmtId="0" fontId="22" fillId="5" borderId="0">
      <alignment horizontal="center" vertical="center"/>
    </xf>
    <xf numFmtId="0" fontId="18" fillId="0" borderId="0" applyFill="0" applyProtection="0">
      <alignment horizontal="left" vertical="center"/>
    </xf>
    <xf numFmtId="0" fontId="15" fillId="0" borderId="8" applyFill="0" applyProtection="0">
      <alignment horizontal="left" vertical="center"/>
    </xf>
    <xf numFmtId="0" fontId="14" fillId="5" borderId="7" applyProtection="0">
      <alignment horizontal="left" vertical="center"/>
    </xf>
    <xf numFmtId="0" fontId="1" fillId="0" borderId="6">
      <alignment vertical="top"/>
    </xf>
    <xf numFmtId="0" fontId="23" fillId="10" borderId="4">
      <alignment vertical="top"/>
    </xf>
    <xf numFmtId="0" fontId="24" fillId="0" borderId="0">
      <alignment vertical="top"/>
    </xf>
    <xf numFmtId="0" fontId="28" fillId="0" borderId="0"/>
    <xf numFmtId="43" fontId="1" fillId="0" borderId="0" applyFont="0" applyFill="0" applyBorder="0" applyAlignment="0" applyProtection="0"/>
    <xf numFmtId="9" fontId="1" fillId="0" borderId="0" applyFont="0" applyFill="0" applyBorder="0" applyAlignment="0" applyProtection="0"/>
    <xf numFmtId="0" fontId="29" fillId="8" borderId="42">
      <alignment horizontal="left" vertical="center" indent="1"/>
      <protection locked="0"/>
    </xf>
    <xf numFmtId="0" fontId="1" fillId="0" borderId="0"/>
    <xf numFmtId="0" fontId="38" fillId="0" borderId="0" applyNumberFormat="0" applyFill="0" applyBorder="0" applyAlignment="0" applyProtection="0">
      <alignment vertical="top"/>
    </xf>
  </cellStyleXfs>
  <cellXfs count="222">
    <xf numFmtId="0" fontId="0" fillId="0" borderId="0" xfId="0">
      <alignment vertical="top"/>
    </xf>
    <xf numFmtId="0" fontId="14" fillId="5" borderId="7" xfId="29">
      <alignment horizontal="left" vertical="center"/>
    </xf>
    <xf numFmtId="0" fontId="14" fillId="5" borderId="7" xfId="29" applyAlignment="1">
      <alignment horizontal="center" vertical="center"/>
    </xf>
    <xf numFmtId="0" fontId="13" fillId="5" borderId="0" xfId="23">
      <alignment horizontal="left" vertical="center"/>
    </xf>
    <xf numFmtId="0" fontId="21" fillId="0" borderId="0" xfId="25">
      <alignment horizontal="center" vertical="center"/>
    </xf>
    <xf numFmtId="0" fontId="15" fillId="0" borderId="8" xfId="28">
      <alignment horizontal="left" vertical="center"/>
    </xf>
    <xf numFmtId="0" fontId="12" fillId="7" borderId="4" xfId="17" applyAlignment="1">
      <alignment horizontal="left" vertical="center"/>
    </xf>
    <xf numFmtId="0" fontId="5" fillId="3" borderId="4" xfId="12" applyAlignment="1">
      <alignment horizontal="left" vertical="center"/>
    </xf>
    <xf numFmtId="0" fontId="8" fillId="8" borderId="4" xfId="5" applyAlignment="1">
      <alignment horizontal="left" vertical="center"/>
      <protection locked="0"/>
    </xf>
    <xf numFmtId="0" fontId="8" fillId="0" borderId="6" xfId="7" applyAlignment="1">
      <alignment horizontal="left" vertical="top"/>
    </xf>
    <xf numFmtId="0" fontId="20" fillId="6" borderId="4" xfId="22" applyAlignment="1">
      <alignment horizontal="left" vertical="top"/>
    </xf>
    <xf numFmtId="0" fontId="11" fillId="6" borderId="4" xfId="16" applyAlignment="1">
      <alignment horizontal="left" vertical="top"/>
    </xf>
    <xf numFmtId="0" fontId="0" fillId="0" borderId="0" xfId="0" applyAlignment="1">
      <alignment horizontal="center"/>
    </xf>
    <xf numFmtId="0" fontId="24" fillId="0" borderId="0" xfId="32">
      <alignment vertical="top"/>
    </xf>
    <xf numFmtId="0" fontId="1" fillId="0" borderId="6" xfId="30">
      <alignment vertical="top"/>
    </xf>
    <xf numFmtId="0" fontId="0" fillId="11" borderId="0" xfId="0" applyFill="1">
      <alignment vertical="top"/>
    </xf>
    <xf numFmtId="0" fontId="18" fillId="0" borderId="0" xfId="27">
      <alignment horizontal="left" vertical="center"/>
    </xf>
    <xf numFmtId="0" fontId="23" fillId="10" borderId="4" xfId="31">
      <alignment vertical="top"/>
    </xf>
    <xf numFmtId="0" fontId="8" fillId="8" borderId="4" xfId="5">
      <alignment horizontal="center" vertical="center"/>
      <protection locked="0"/>
    </xf>
    <xf numFmtId="0" fontId="23" fillId="10" borderId="11" xfId="31" applyBorder="1">
      <alignment vertical="top"/>
    </xf>
    <xf numFmtId="0" fontId="23" fillId="10" borderId="12" xfId="31" applyBorder="1">
      <alignment vertical="top"/>
    </xf>
    <xf numFmtId="0" fontId="8" fillId="0" borderId="6" xfId="7" applyAlignment="1">
      <alignment vertical="top"/>
    </xf>
    <xf numFmtId="0" fontId="0" fillId="0" borderId="15" xfId="0" applyBorder="1">
      <alignment vertical="top"/>
    </xf>
    <xf numFmtId="0" fontId="0" fillId="0" borderId="16" xfId="0" applyBorder="1">
      <alignment vertical="top"/>
    </xf>
    <xf numFmtId="0" fontId="23" fillId="10" borderId="10" xfId="31" applyBorder="1">
      <alignment vertical="top"/>
    </xf>
    <xf numFmtId="0" fontId="0" fillId="0" borderId="20" xfId="0" applyBorder="1">
      <alignment vertical="top"/>
    </xf>
    <xf numFmtId="0" fontId="0" fillId="0" borderId="21" xfId="0" applyBorder="1">
      <alignment vertical="top"/>
    </xf>
    <xf numFmtId="0" fontId="29" fillId="12" borderId="15" xfId="0" applyFont="1" applyFill="1" applyBorder="1" applyAlignment="1"/>
    <xf numFmtId="0" fontId="30" fillId="12" borderId="15" xfId="0" applyFont="1" applyFill="1" applyBorder="1" applyAlignment="1"/>
    <xf numFmtId="0" fontId="30" fillId="12" borderId="22" xfId="0" applyFont="1" applyFill="1" applyBorder="1" applyAlignment="1"/>
    <xf numFmtId="0" fontId="31" fillId="12" borderId="15" xfId="0" applyFont="1" applyFill="1" applyBorder="1" applyAlignment="1"/>
    <xf numFmtId="0" fontId="29" fillId="12" borderId="0" xfId="0" applyFont="1" applyFill="1" applyAlignment="1"/>
    <xf numFmtId="0" fontId="29" fillId="12" borderId="16" xfId="0" applyFont="1" applyFill="1" applyBorder="1" applyAlignment="1"/>
    <xf numFmtId="0" fontId="29" fillId="12" borderId="22" xfId="0" applyFont="1" applyFill="1" applyBorder="1" applyAlignment="1"/>
    <xf numFmtId="0" fontId="23" fillId="10" borderId="23" xfId="31" applyBorder="1">
      <alignment vertical="top"/>
    </xf>
    <xf numFmtId="0" fontId="1" fillId="0" borderId="0" xfId="30" applyBorder="1">
      <alignment vertical="top"/>
    </xf>
    <xf numFmtId="0" fontId="29" fillId="12" borderId="26" xfId="0" applyFont="1" applyFill="1" applyBorder="1" applyAlignment="1"/>
    <xf numFmtId="0" fontId="30" fillId="12" borderId="0" xfId="0" applyFont="1" applyFill="1" applyAlignment="1"/>
    <xf numFmtId="0" fontId="30" fillId="12" borderId="26" xfId="0" applyFont="1" applyFill="1" applyBorder="1" applyAlignment="1"/>
    <xf numFmtId="0" fontId="31" fillId="12" borderId="0" xfId="0" applyFont="1" applyFill="1" applyAlignment="1"/>
    <xf numFmtId="0" fontId="23" fillId="10" borderId="26" xfId="31" applyBorder="1">
      <alignment vertical="top"/>
    </xf>
    <xf numFmtId="0" fontId="0" fillId="0" borderId="17" xfId="0" applyBorder="1">
      <alignment vertical="top"/>
    </xf>
    <xf numFmtId="0" fontId="23" fillId="10" borderId="22" xfId="31" applyBorder="1">
      <alignment vertical="top"/>
    </xf>
    <xf numFmtId="0" fontId="27" fillId="0" borderId="15" xfId="0" applyFont="1" applyBorder="1">
      <alignment vertical="top"/>
    </xf>
    <xf numFmtId="166" fontId="8" fillId="8" borderId="27" xfId="34" applyNumberFormat="1" applyFont="1" applyFill="1" applyBorder="1" applyAlignment="1" applyProtection="1">
      <alignment horizontal="center" vertical="center"/>
      <protection locked="0"/>
    </xf>
    <xf numFmtId="166" fontId="8" fillId="8" borderId="4" xfId="34" applyNumberFormat="1" applyFont="1" applyFill="1" applyBorder="1" applyAlignment="1" applyProtection="1">
      <alignment horizontal="center" vertical="center"/>
      <protection locked="0"/>
    </xf>
    <xf numFmtId="166" fontId="8" fillId="8" borderId="13" xfId="34" applyNumberFormat="1" applyFont="1" applyFill="1" applyBorder="1" applyAlignment="1" applyProtection="1">
      <alignment horizontal="center" vertical="center"/>
      <protection locked="0"/>
    </xf>
    <xf numFmtId="166" fontId="8" fillId="0" borderId="24" xfId="34" applyNumberFormat="1" applyFont="1" applyBorder="1" applyAlignment="1">
      <alignment vertical="top"/>
    </xf>
    <xf numFmtId="166" fontId="8" fillId="0" borderId="6" xfId="34" applyNumberFormat="1" applyFont="1" applyBorder="1" applyAlignment="1">
      <alignment vertical="top"/>
    </xf>
    <xf numFmtId="166" fontId="8" fillId="0" borderId="14" xfId="34" applyNumberFormat="1" applyFont="1" applyBorder="1" applyAlignment="1">
      <alignment vertical="top"/>
    </xf>
    <xf numFmtId="166" fontId="0" fillId="0" borderId="0" xfId="34" applyNumberFormat="1" applyFont="1" applyAlignment="1">
      <alignment vertical="top"/>
    </xf>
    <xf numFmtId="166" fontId="0" fillId="0" borderId="16" xfId="34" applyNumberFormat="1" applyFont="1" applyBorder="1" applyAlignment="1">
      <alignment vertical="top"/>
    </xf>
    <xf numFmtId="0" fontId="27" fillId="0" borderId="0" xfId="30" applyFont="1" applyBorder="1">
      <alignment vertical="top"/>
    </xf>
    <xf numFmtId="0" fontId="1" fillId="0" borderId="15" xfId="30" applyBorder="1">
      <alignment vertical="top"/>
    </xf>
    <xf numFmtId="0" fontId="19" fillId="10" borderId="26" xfId="31" applyFont="1" applyBorder="1">
      <alignment vertical="top"/>
    </xf>
    <xf numFmtId="0" fontId="27" fillId="0" borderId="30" xfId="30" applyFont="1" applyBorder="1">
      <alignment vertical="top"/>
    </xf>
    <xf numFmtId="0" fontId="0" fillId="0" borderId="28" xfId="0" applyBorder="1">
      <alignment vertical="top"/>
    </xf>
    <xf numFmtId="166" fontId="32" fillId="0" borderId="24" xfId="34" applyNumberFormat="1" applyFont="1" applyBorder="1" applyAlignment="1">
      <alignment vertical="top"/>
    </xf>
    <xf numFmtId="166" fontId="32" fillId="0" borderId="6" xfId="34" applyNumberFormat="1" applyFont="1" applyBorder="1" applyAlignment="1">
      <alignment vertical="top"/>
    </xf>
    <xf numFmtId="166" fontId="32" fillId="0" borderId="14" xfId="34" applyNumberFormat="1" applyFont="1" applyBorder="1" applyAlignment="1">
      <alignment vertical="top"/>
    </xf>
    <xf numFmtId="0" fontId="1" fillId="0" borderId="17" xfId="30" applyBorder="1">
      <alignment vertical="top"/>
    </xf>
    <xf numFmtId="166" fontId="32" fillId="0" borderId="25" xfId="34" applyNumberFormat="1" applyFont="1" applyBorder="1" applyAlignment="1">
      <alignment vertical="top"/>
    </xf>
    <xf numFmtId="0" fontId="27" fillId="0" borderId="31" xfId="30" applyFont="1" applyBorder="1">
      <alignment vertical="top"/>
    </xf>
    <xf numFmtId="166" fontId="32" fillId="0" borderId="18" xfId="34" applyNumberFormat="1" applyFont="1" applyBorder="1" applyAlignment="1">
      <alignment vertical="top"/>
    </xf>
    <xf numFmtId="166" fontId="32" fillId="0" borderId="19" xfId="34" applyNumberFormat="1" applyFont="1" applyBorder="1" applyAlignment="1">
      <alignment vertical="top"/>
    </xf>
    <xf numFmtId="166" fontId="8" fillId="0" borderId="29" xfId="34" applyNumberFormat="1" applyFont="1" applyBorder="1" applyAlignment="1">
      <alignment vertical="top"/>
    </xf>
    <xf numFmtId="166" fontId="1" fillId="0" borderId="6" xfId="34" applyNumberFormat="1" applyBorder="1" applyAlignment="1">
      <alignment vertical="top"/>
    </xf>
    <xf numFmtId="0" fontId="0" fillId="0" borderId="5" xfId="0" applyBorder="1">
      <alignment vertical="top"/>
    </xf>
    <xf numFmtId="0" fontId="19" fillId="5" borderId="4" xfId="29" applyFont="1" applyBorder="1" applyAlignment="1">
      <alignment horizontal="center" vertical="center"/>
    </xf>
    <xf numFmtId="0" fontId="16" fillId="0" borderId="0" xfId="32" applyFont="1">
      <alignment vertical="top"/>
    </xf>
    <xf numFmtId="0" fontId="19" fillId="10" borderId="10" xfId="31" applyFont="1" applyBorder="1">
      <alignment vertical="top"/>
    </xf>
    <xf numFmtId="0" fontId="29" fillId="6" borderId="0" xfId="0" applyFont="1" applyFill="1" applyAlignment="1">
      <alignment horizontal="right"/>
    </xf>
    <xf numFmtId="0" fontId="29" fillId="0" borderId="0" xfId="0" applyFont="1" applyAlignment="1"/>
    <xf numFmtId="0" fontId="0" fillId="0" borderId="0" xfId="0" applyAlignment="1"/>
    <xf numFmtId="166" fontId="29" fillId="8" borderId="43" xfId="36" applyNumberFormat="1" applyBorder="1" applyAlignment="1">
      <alignment horizontal="left"/>
      <protection locked="0"/>
    </xf>
    <xf numFmtId="0" fontId="34" fillId="0" borderId="0" xfId="0" applyFont="1" applyAlignment="1"/>
    <xf numFmtId="0" fontId="27" fillId="0" borderId="0" xfId="0" applyFont="1" applyAlignment="1">
      <alignment horizontal="center"/>
    </xf>
    <xf numFmtId="0" fontId="27" fillId="0" borderId="0" xfId="0" applyFont="1">
      <alignment vertical="top"/>
    </xf>
    <xf numFmtId="0" fontId="35" fillId="0" borderId="0" xfId="0" applyFont="1" applyAlignment="1"/>
    <xf numFmtId="168" fontId="29" fillId="8" borderId="46" xfId="36" applyNumberFormat="1" applyBorder="1" applyAlignment="1">
      <alignment horizontal="right" indent="1"/>
      <protection locked="0"/>
    </xf>
    <xf numFmtId="0" fontId="36" fillId="0" borderId="0" xfId="0" applyFont="1" applyAlignment="1"/>
    <xf numFmtId="0" fontId="36" fillId="0" borderId="0" xfId="37" applyFont="1"/>
    <xf numFmtId="166" fontId="29" fillId="13" borderId="46" xfId="36" applyNumberFormat="1" applyFill="1" applyBorder="1" applyAlignment="1" applyProtection="1">
      <alignment horizontal="right"/>
    </xf>
    <xf numFmtId="166" fontId="29" fillId="8" borderId="46" xfId="36" applyNumberFormat="1" applyBorder="1" applyAlignment="1">
      <alignment horizontal="right"/>
      <protection locked="0"/>
    </xf>
    <xf numFmtId="168" fontId="29" fillId="0" borderId="46" xfId="36" applyNumberFormat="1" applyFill="1" applyBorder="1" applyAlignment="1" applyProtection="1">
      <alignment horizontal="right" indent="1"/>
    </xf>
    <xf numFmtId="0" fontId="29" fillId="13" borderId="46" xfId="36" applyFill="1" applyBorder="1" applyAlignment="1" applyProtection="1">
      <alignment horizontal="left" indent="1"/>
    </xf>
    <xf numFmtId="168" fontId="29" fillId="0" borderId="46" xfId="36" applyNumberFormat="1" applyFill="1" applyBorder="1" applyAlignment="1">
      <alignment horizontal="right" indent="1"/>
      <protection locked="0"/>
    </xf>
    <xf numFmtId="10" fontId="29" fillId="13" borderId="46" xfId="35" applyNumberFormat="1" applyFont="1" applyFill="1" applyBorder="1" applyAlignment="1" applyProtection="1">
      <alignment horizontal="right"/>
      <protection locked="0"/>
    </xf>
    <xf numFmtId="10" fontId="29" fillId="8" borderId="46" xfId="35" applyNumberFormat="1" applyFont="1" applyFill="1" applyBorder="1" applyAlignment="1" applyProtection="1">
      <alignment horizontal="right"/>
      <protection locked="0"/>
    </xf>
    <xf numFmtId="166" fontId="0" fillId="0" borderId="0" xfId="0" applyNumberFormat="1">
      <alignment vertical="top"/>
    </xf>
    <xf numFmtId="0" fontId="39" fillId="0" borderId="0" xfId="0" applyFont="1">
      <alignment vertical="top"/>
    </xf>
    <xf numFmtId="0" fontId="40" fillId="0" borderId="0" xfId="38" applyFont="1">
      <alignment vertical="top"/>
    </xf>
    <xf numFmtId="0" fontId="41" fillId="12" borderId="0" xfId="0" applyFont="1" applyFill="1" applyAlignment="1"/>
    <xf numFmtId="0" fontId="42" fillId="12" borderId="0" xfId="0" applyFont="1" applyFill="1" applyAlignment="1"/>
    <xf numFmtId="0" fontId="0" fillId="12" borderId="0" xfId="0" applyFill="1" applyAlignment="1"/>
    <xf numFmtId="0" fontId="42" fillId="12" borderId="58" xfId="0" applyFont="1" applyFill="1" applyBorder="1" applyAlignment="1"/>
    <xf numFmtId="0" fontId="42" fillId="12" borderId="59" xfId="0" applyFont="1" applyFill="1" applyBorder="1" applyAlignment="1"/>
    <xf numFmtId="0" fontId="42" fillId="12" borderId="60" xfId="0" applyFont="1" applyFill="1" applyBorder="1" applyAlignment="1"/>
    <xf numFmtId="0" fontId="42" fillId="12" borderId="47" xfId="0" applyFont="1" applyFill="1" applyBorder="1" applyAlignment="1"/>
    <xf numFmtId="0" fontId="42" fillId="12" borderId="50" xfId="0" applyFont="1" applyFill="1" applyBorder="1" applyAlignment="1"/>
    <xf numFmtId="0" fontId="43" fillId="12" borderId="0" xfId="0" applyFont="1" applyFill="1" applyAlignment="1">
      <alignment horizontal="left" vertical="top" wrapText="1" indent="1"/>
    </xf>
    <xf numFmtId="0" fontId="8" fillId="12" borderId="0" xfId="0" applyFont="1" applyFill="1" applyAlignment="1"/>
    <xf numFmtId="0" fontId="8" fillId="12" borderId="51" xfId="0" applyFont="1" applyFill="1" applyBorder="1" applyAlignment="1">
      <alignment horizontal="center" vertical="center" wrapText="1"/>
    </xf>
    <xf numFmtId="166" fontId="44" fillId="6" borderId="6" xfId="34" applyNumberFormat="1" applyFont="1" applyFill="1" applyBorder="1" applyAlignment="1">
      <alignment vertical="top"/>
    </xf>
    <xf numFmtId="0" fontId="45" fillId="12" borderId="0" xfId="0" applyFont="1" applyFill="1" applyAlignment="1"/>
    <xf numFmtId="0" fontId="45" fillId="12" borderId="0" xfId="0" applyFont="1" applyFill="1" applyAlignment="1">
      <alignment horizontal="right"/>
    </xf>
    <xf numFmtId="0" fontId="45" fillId="0" borderId="0" xfId="0" applyFont="1">
      <alignment vertical="top"/>
    </xf>
    <xf numFmtId="10" fontId="44" fillId="6" borderId="6" xfId="35" applyNumberFormat="1" applyFont="1" applyFill="1" applyBorder="1" applyAlignment="1">
      <alignment vertical="top"/>
    </xf>
    <xf numFmtId="166" fontId="45" fillId="0" borderId="0" xfId="0" applyNumberFormat="1" applyFont="1">
      <alignment vertical="top"/>
    </xf>
    <xf numFmtId="167" fontId="44" fillId="6" borderId="6" xfId="35" applyNumberFormat="1" applyFont="1" applyFill="1" applyBorder="1" applyAlignment="1">
      <alignment vertical="top"/>
    </xf>
    <xf numFmtId="9" fontId="44" fillId="6" borderId="6" xfId="35" applyFont="1" applyFill="1" applyBorder="1" applyAlignment="1">
      <alignment vertical="top"/>
    </xf>
    <xf numFmtId="0" fontId="0" fillId="0" borderId="0" xfId="0" applyAlignment="1">
      <alignment horizontal="left" vertical="top" indent="2"/>
    </xf>
    <xf numFmtId="166" fontId="8" fillId="6" borderId="6" xfId="34" applyNumberFormat="1" applyFont="1" applyFill="1" applyBorder="1" applyAlignment="1">
      <alignment vertical="top"/>
    </xf>
    <xf numFmtId="166" fontId="8" fillId="6" borderId="6" xfId="34" applyNumberFormat="1" applyFont="1" applyFill="1" applyBorder="1" applyAlignment="1" applyProtection="1">
      <alignment horizontal="center" vertical="center"/>
      <protection locked="0"/>
    </xf>
    <xf numFmtId="10" fontId="8" fillId="6" borderId="6" xfId="35" applyNumberFormat="1" applyFont="1" applyFill="1" applyBorder="1" applyAlignment="1">
      <alignment vertical="top"/>
    </xf>
    <xf numFmtId="43" fontId="8" fillId="6" borderId="6" xfId="34" applyFont="1" applyFill="1" applyBorder="1" applyAlignment="1">
      <alignment vertical="top"/>
    </xf>
    <xf numFmtId="0" fontId="0" fillId="14" borderId="0" xfId="0" applyFill="1">
      <alignment vertical="top"/>
    </xf>
    <xf numFmtId="0" fontId="5" fillId="14" borderId="0" xfId="0" applyFont="1" applyFill="1">
      <alignment vertical="top"/>
    </xf>
    <xf numFmtId="0" fontId="46" fillId="14" borderId="0" xfId="0" applyFont="1" applyFill="1">
      <alignment vertical="top"/>
    </xf>
    <xf numFmtId="0" fontId="46" fillId="14" borderId="0" xfId="0" applyFont="1" applyFill="1" applyAlignment="1">
      <alignment horizontal="center"/>
    </xf>
    <xf numFmtId="43" fontId="0" fillId="0" borderId="0" xfId="0" applyNumberFormat="1">
      <alignment vertical="top"/>
    </xf>
    <xf numFmtId="167" fontId="8" fillId="6" borderId="6" xfId="35" applyNumberFormat="1" applyFont="1" applyFill="1" applyBorder="1" applyAlignment="1">
      <alignment vertical="top"/>
    </xf>
    <xf numFmtId="0" fontId="33" fillId="0" borderId="0" xfId="0" applyFont="1" applyAlignment="1">
      <alignment horizontal="left" vertical="top" indent="2"/>
    </xf>
    <xf numFmtId="0" fontId="47" fillId="12" borderId="0" xfId="0" applyFont="1" applyFill="1" applyAlignment="1">
      <alignment horizontal="left" vertical="top" wrapText="1" indent="1"/>
    </xf>
    <xf numFmtId="166" fontId="48" fillId="6" borderId="6" xfId="34" applyNumberFormat="1" applyFont="1" applyFill="1" applyBorder="1" applyAlignment="1">
      <alignment vertical="top"/>
    </xf>
    <xf numFmtId="0" fontId="33" fillId="0" borderId="0" xfId="0" applyFont="1">
      <alignment vertical="top"/>
    </xf>
    <xf numFmtId="0" fontId="49" fillId="12" borderId="0" xfId="0" applyFont="1" applyFill="1" applyAlignment="1"/>
    <xf numFmtId="0" fontId="15" fillId="0" borderId="0" xfId="32" applyFont="1">
      <alignment vertical="top"/>
    </xf>
    <xf numFmtId="0" fontId="50" fillId="0" borderId="0" xfId="0" applyFont="1">
      <alignment vertical="top"/>
    </xf>
    <xf numFmtId="167" fontId="8" fillId="6" borderId="18" xfId="35" applyNumberFormat="1" applyFont="1" applyFill="1" applyBorder="1" applyAlignment="1">
      <alignment vertical="top"/>
    </xf>
    <xf numFmtId="167" fontId="8" fillId="6" borderId="14" xfId="35" applyNumberFormat="1" applyFont="1" applyFill="1" applyBorder="1" applyAlignment="1">
      <alignment vertical="top"/>
    </xf>
    <xf numFmtId="167" fontId="8" fillId="6" borderId="19" xfId="35" applyNumberFormat="1" applyFont="1" applyFill="1" applyBorder="1" applyAlignment="1">
      <alignment vertical="top"/>
    </xf>
    <xf numFmtId="0" fontId="23" fillId="10" borderId="62" xfId="31" applyBorder="1">
      <alignment vertical="top"/>
    </xf>
    <xf numFmtId="0" fontId="23" fillId="10" borderId="63" xfId="31" applyBorder="1" applyAlignment="1">
      <alignment vertical="top" wrapText="1"/>
    </xf>
    <xf numFmtId="167" fontId="8" fillId="6" borderId="64" xfId="35" applyNumberFormat="1" applyFont="1" applyFill="1" applyBorder="1" applyAlignment="1">
      <alignment vertical="top"/>
    </xf>
    <xf numFmtId="167" fontId="8" fillId="6" borderId="52" xfId="35" applyNumberFormat="1" applyFont="1" applyFill="1" applyBorder="1" applyAlignment="1">
      <alignment vertical="top"/>
    </xf>
    <xf numFmtId="167" fontId="8" fillId="6" borderId="65" xfId="35" applyNumberFormat="1" applyFont="1" applyFill="1" applyBorder="1" applyAlignment="1">
      <alignment vertical="top"/>
    </xf>
    <xf numFmtId="0" fontId="23" fillId="10" borderId="22" xfId="31" applyBorder="1" applyAlignment="1">
      <alignment vertical="top" wrapText="1"/>
    </xf>
    <xf numFmtId="167" fontId="8" fillId="6" borderId="66" xfId="35" applyNumberFormat="1" applyFont="1" applyFill="1" applyBorder="1" applyAlignment="1">
      <alignment vertical="top"/>
    </xf>
    <xf numFmtId="167" fontId="8" fillId="6" borderId="67" xfId="35" applyNumberFormat="1" applyFont="1" applyFill="1" applyBorder="1" applyAlignment="1">
      <alignment vertical="top"/>
    </xf>
    <xf numFmtId="167" fontId="8" fillId="6" borderId="68" xfId="35" applyNumberFormat="1" applyFont="1" applyFill="1" applyBorder="1" applyAlignment="1">
      <alignment vertical="top"/>
    </xf>
    <xf numFmtId="0" fontId="27" fillId="0" borderId="0" xfId="0" applyFont="1" applyAlignment="1">
      <alignment horizontal="left"/>
    </xf>
    <xf numFmtId="0" fontId="0" fillId="0" borderId="0" xfId="0" applyAlignment="1">
      <alignment vertical="top" wrapText="1"/>
    </xf>
    <xf numFmtId="0" fontId="38" fillId="0" borderId="0" xfId="38" applyAlignment="1">
      <alignment vertical="top"/>
    </xf>
    <xf numFmtId="0" fontId="0" fillId="0" borderId="0" xfId="37" applyFont="1"/>
    <xf numFmtId="0" fontId="51" fillId="0" borderId="0" xfId="37" applyFont="1"/>
    <xf numFmtId="0" fontId="52" fillId="5" borderId="0" xfId="23" applyFont="1">
      <alignment horizontal="left" vertical="center"/>
    </xf>
    <xf numFmtId="0" fontId="16" fillId="0" borderId="0" xfId="4">
      <alignment horizontal="left" vertical="center"/>
    </xf>
    <xf numFmtId="0" fontId="0" fillId="0" borderId="0" xfId="0" applyAlignment="1">
      <alignment horizontal="left" vertical="top" wrapText="1"/>
    </xf>
    <xf numFmtId="0" fontId="4" fillId="0" borderId="0" xfId="11">
      <alignment vertical="top"/>
    </xf>
    <xf numFmtId="0" fontId="23" fillId="10" borderId="36" xfId="31" applyBorder="1">
      <alignment vertical="top"/>
    </xf>
    <xf numFmtId="0" fontId="23" fillId="10" borderId="35" xfId="31" applyBorder="1">
      <alignment vertical="top"/>
    </xf>
    <xf numFmtId="169" fontId="1" fillId="0" borderId="6" xfId="34" applyNumberFormat="1" applyBorder="1" applyAlignment="1">
      <alignment vertical="top"/>
    </xf>
    <xf numFmtId="0" fontId="8" fillId="8" borderId="0" xfId="5" applyBorder="1" applyAlignment="1">
      <alignment horizontal="left" vertical="center"/>
      <protection locked="0"/>
    </xf>
    <xf numFmtId="0" fontId="53" fillId="0" borderId="0" xfId="0" applyFont="1">
      <alignment vertical="top"/>
    </xf>
    <xf numFmtId="0" fontId="8" fillId="8" borderId="70" xfId="5" applyBorder="1" applyAlignment="1">
      <alignment horizontal="left" vertical="center"/>
      <protection locked="0"/>
    </xf>
    <xf numFmtId="0" fontId="8" fillId="8" borderId="71" xfId="5" applyBorder="1" applyAlignment="1">
      <alignment horizontal="left" vertical="center"/>
      <protection locked="0"/>
    </xf>
    <xf numFmtId="0" fontId="8" fillId="8" borderId="27" xfId="5" applyBorder="1" applyAlignment="1">
      <alignment horizontal="left" vertical="center"/>
      <protection locked="0"/>
    </xf>
    <xf numFmtId="0" fontId="54" fillId="8" borderId="69" xfId="37" applyFont="1" applyFill="1" applyBorder="1"/>
    <xf numFmtId="0" fontId="54" fillId="0" borderId="0" xfId="37" applyFont="1"/>
    <xf numFmtId="0" fontId="54" fillId="0" borderId="69" xfId="37" applyFont="1" applyBorder="1"/>
    <xf numFmtId="0" fontId="55" fillId="0" borderId="69" xfId="37" applyFont="1" applyBorder="1"/>
    <xf numFmtId="167" fontId="8" fillId="6" borderId="6" xfId="35" applyNumberFormat="1" applyFont="1" applyFill="1" applyBorder="1" applyAlignment="1" applyProtection="1">
      <alignment horizontal="center" vertical="center"/>
    </xf>
    <xf numFmtId="0" fontId="8" fillId="0" borderId="6" xfId="7" applyAlignment="1" applyProtection="1">
      <alignment horizontal="center" vertical="center"/>
    </xf>
    <xf numFmtId="167" fontId="8" fillId="6" borderId="72" xfId="35" applyNumberFormat="1" applyFont="1" applyFill="1" applyBorder="1" applyAlignment="1">
      <alignment vertical="top"/>
    </xf>
    <xf numFmtId="0" fontId="39" fillId="0" borderId="0" xfId="0" applyFont="1" applyAlignment="1">
      <alignment horizontal="left" vertical="top"/>
    </xf>
    <xf numFmtId="0" fontId="37" fillId="0" borderId="0" xfId="0" applyFont="1" applyProtection="1">
      <alignment vertical="top"/>
      <protection locked="0"/>
    </xf>
    <xf numFmtId="0" fontId="0" fillId="0" borderId="0" xfId="0" applyProtection="1">
      <alignment vertical="top"/>
      <protection locked="0"/>
    </xf>
    <xf numFmtId="0" fontId="0" fillId="0" borderId="0" xfId="0" applyAlignment="1">
      <alignment horizontal="left" vertical="top" wrapText="1"/>
    </xf>
    <xf numFmtId="0" fontId="33" fillId="15" borderId="0" xfId="0" applyFont="1" applyFill="1" applyAlignment="1">
      <alignment horizontal="center" vertical="top"/>
    </xf>
    <xf numFmtId="0" fontId="38" fillId="15" borderId="0" xfId="38" applyFill="1" applyAlignment="1">
      <alignment horizontal="center" vertical="top"/>
    </xf>
    <xf numFmtId="0" fontId="40" fillId="0" borderId="29" xfId="38" applyFont="1" applyBorder="1" applyAlignment="1">
      <alignment horizontal="left" vertical="top" wrapText="1"/>
    </xf>
    <xf numFmtId="0" fontId="40" fillId="0" borderId="0" xfId="38" applyFont="1" applyAlignment="1">
      <alignment horizontal="left" vertical="top" wrapText="1"/>
    </xf>
    <xf numFmtId="0" fontId="0" fillId="0" borderId="0" xfId="0" quotePrefix="1" applyAlignment="1">
      <alignment horizontal="left" vertical="top" wrapText="1"/>
    </xf>
    <xf numFmtId="0" fontId="0" fillId="0" borderId="39" xfId="0" applyBorder="1" applyAlignment="1">
      <alignment horizontal="center" vertical="top"/>
    </xf>
    <xf numFmtId="0" fontId="0" fillId="0" borderId="40" xfId="0" applyBorder="1" applyAlignment="1">
      <alignment horizontal="center" vertical="top"/>
    </xf>
    <xf numFmtId="0" fontId="0" fillId="0" borderId="41" xfId="0" applyBorder="1" applyAlignment="1">
      <alignment horizontal="center" vertical="top"/>
    </xf>
    <xf numFmtId="0" fontId="8" fillId="8" borderId="32" xfId="5" applyBorder="1">
      <alignment horizontal="center" vertical="center"/>
      <protection locked="0"/>
    </xf>
    <xf numFmtId="0" fontId="8" fillId="8" borderId="33" xfId="5" applyBorder="1">
      <alignment horizontal="center" vertical="center"/>
      <protection locked="0"/>
    </xf>
    <xf numFmtId="0" fontId="8" fillId="8" borderId="34" xfId="5" applyBorder="1">
      <alignment horizontal="center" vertical="center"/>
      <protection locked="0"/>
    </xf>
    <xf numFmtId="0" fontId="8" fillId="8" borderId="35" xfId="5" applyBorder="1">
      <alignment horizontal="center" vertical="center"/>
      <protection locked="0"/>
    </xf>
    <xf numFmtId="0" fontId="8" fillId="8" borderId="0" xfId="5" applyBorder="1">
      <alignment horizontal="center" vertical="center"/>
      <protection locked="0"/>
    </xf>
    <xf numFmtId="0" fontId="8" fillId="8" borderId="36" xfId="5" applyBorder="1">
      <alignment horizontal="center" vertical="center"/>
      <protection locked="0"/>
    </xf>
    <xf numFmtId="0" fontId="8" fillId="8" borderId="37" xfId="5" applyBorder="1">
      <alignment horizontal="center" vertical="center"/>
      <protection locked="0"/>
    </xf>
    <xf numFmtId="0" fontId="8" fillId="8" borderId="7" xfId="5" applyBorder="1">
      <alignment horizontal="center" vertical="center"/>
      <protection locked="0"/>
    </xf>
    <xf numFmtId="0" fontId="8" fillId="8" borderId="38" xfId="5" applyBorder="1">
      <alignment horizontal="center" vertical="center"/>
      <protection locked="0"/>
    </xf>
    <xf numFmtId="0" fontId="39" fillId="0" borderId="0" xfId="0" applyFont="1" applyAlignment="1">
      <alignment horizontal="left" vertical="top" wrapText="1"/>
    </xf>
    <xf numFmtId="0" fontId="24" fillId="0" borderId="0" xfId="32" applyAlignment="1">
      <alignment horizontal="left" vertical="top" wrapText="1"/>
    </xf>
    <xf numFmtId="0" fontId="8" fillId="12" borderId="51" xfId="0" applyFont="1" applyFill="1" applyBorder="1" applyAlignment="1">
      <alignment horizontal="center"/>
    </xf>
    <xf numFmtId="166" fontId="44" fillId="6" borderId="52" xfId="34" applyNumberFormat="1" applyFont="1" applyFill="1" applyBorder="1" applyAlignment="1">
      <alignment horizontal="center" vertical="top"/>
    </xf>
    <xf numFmtId="166" fontId="44" fillId="6" borderId="57" xfId="34" applyNumberFormat="1" applyFont="1" applyFill="1" applyBorder="1" applyAlignment="1">
      <alignment horizontal="center" vertical="top"/>
    </xf>
    <xf numFmtId="0" fontId="8" fillId="12" borderId="55" xfId="0" applyFont="1" applyFill="1" applyBorder="1" applyAlignment="1">
      <alignment horizontal="center" vertical="center" wrapText="1"/>
    </xf>
    <xf numFmtId="0" fontId="8" fillId="12" borderId="56" xfId="0" applyFont="1" applyFill="1" applyBorder="1" applyAlignment="1">
      <alignment horizontal="center" vertical="center" wrapText="1"/>
    </xf>
    <xf numFmtId="0" fontId="8" fillId="12" borderId="47" xfId="0" applyFont="1" applyFill="1" applyBorder="1" applyAlignment="1">
      <alignment horizontal="center" vertical="center" wrapText="1"/>
    </xf>
    <xf numFmtId="0" fontId="8" fillId="12" borderId="61" xfId="0" applyFont="1" applyFill="1" applyBorder="1" applyAlignment="1">
      <alignment horizontal="center" vertical="center" wrapText="1"/>
    </xf>
    <xf numFmtId="0" fontId="8" fillId="12" borderId="47" xfId="0" applyFont="1" applyFill="1" applyBorder="1" applyAlignment="1">
      <alignment horizontal="center"/>
    </xf>
    <xf numFmtId="0" fontId="8" fillId="12" borderId="48" xfId="0" applyFont="1" applyFill="1" applyBorder="1" applyAlignment="1">
      <alignment horizontal="center"/>
    </xf>
    <xf numFmtId="0" fontId="8" fillId="12" borderId="61" xfId="0" applyFont="1" applyFill="1" applyBorder="1" applyAlignment="1">
      <alignment horizontal="center"/>
    </xf>
    <xf numFmtId="0" fontId="8" fillId="12" borderId="49" xfId="0" applyFont="1" applyFill="1" applyBorder="1" applyAlignment="1">
      <alignment horizontal="center"/>
    </xf>
    <xf numFmtId="0" fontId="8" fillId="12" borderId="50" xfId="0" applyFont="1" applyFill="1" applyBorder="1" applyAlignment="1">
      <alignment horizontal="center"/>
    </xf>
    <xf numFmtId="0" fontId="8" fillId="12" borderId="49" xfId="0" applyFont="1" applyFill="1" applyBorder="1" applyAlignment="1">
      <alignment horizontal="center" vertical="center" wrapText="1"/>
    </xf>
    <xf numFmtId="0" fontId="8" fillId="12" borderId="50" xfId="0" applyFont="1" applyFill="1" applyBorder="1" applyAlignment="1">
      <alignment horizontal="center" vertical="center" wrapText="1"/>
    </xf>
    <xf numFmtId="0" fontId="0" fillId="0" borderId="0" xfId="0" applyAlignment="1">
      <alignment horizontal="left" vertical="top"/>
    </xf>
    <xf numFmtId="166" fontId="44" fillId="6" borderId="24" xfId="34" applyNumberFormat="1" applyFont="1" applyFill="1" applyBorder="1" applyAlignment="1">
      <alignment horizontal="center" vertical="top"/>
    </xf>
    <xf numFmtId="166" fontId="44" fillId="6" borderId="53" xfId="34" applyNumberFormat="1" applyFont="1" applyFill="1" applyBorder="1" applyAlignment="1">
      <alignment horizontal="center" vertical="top"/>
    </xf>
    <xf numFmtId="166" fontId="44" fillId="6" borderId="54" xfId="34" applyNumberFormat="1" applyFont="1" applyFill="1" applyBorder="1" applyAlignment="1">
      <alignment horizontal="center" vertical="top"/>
    </xf>
    <xf numFmtId="0" fontId="8" fillId="8" borderId="70" xfId="5" applyBorder="1" applyAlignment="1">
      <alignment horizontal="left" vertical="center"/>
      <protection locked="0"/>
    </xf>
    <xf numFmtId="0" fontId="8" fillId="8" borderId="71" xfId="5" applyBorder="1" applyAlignment="1">
      <alignment horizontal="left" vertical="center"/>
      <protection locked="0"/>
    </xf>
    <xf numFmtId="0" fontId="8" fillId="8" borderId="27" xfId="5" applyBorder="1" applyAlignment="1">
      <alignment horizontal="left" vertical="center"/>
      <protection locked="0"/>
    </xf>
    <xf numFmtId="0" fontId="25" fillId="0" borderId="0" xfId="0" applyFont="1" applyAlignment="1">
      <alignment horizontal="left" vertical="top" wrapText="1"/>
    </xf>
    <xf numFmtId="0" fontId="26" fillId="0" borderId="0" xfId="0" applyFont="1" applyAlignment="1">
      <alignment horizontal="left" vertical="top" wrapText="1"/>
    </xf>
    <xf numFmtId="0" fontId="23" fillId="10" borderId="70" xfId="31" applyBorder="1" applyAlignment="1">
      <alignment horizontal="center" vertical="top"/>
    </xf>
    <xf numFmtId="0" fontId="23" fillId="10" borderId="71" xfId="31" applyBorder="1" applyAlignment="1">
      <alignment horizontal="center" vertical="top"/>
    </xf>
    <xf numFmtId="0" fontId="23" fillId="10" borderId="27" xfId="31" applyBorder="1" applyAlignment="1">
      <alignment horizontal="center" vertical="top"/>
    </xf>
    <xf numFmtId="0" fontId="24" fillId="0" borderId="7" xfId="32" applyBorder="1" applyAlignment="1">
      <alignment horizontal="left" vertical="top" wrapText="1"/>
    </xf>
    <xf numFmtId="0" fontId="4" fillId="0" borderId="0" xfId="11" applyAlignment="1">
      <alignment horizontal="left" vertical="top" wrapText="1"/>
    </xf>
    <xf numFmtId="166" fontId="29" fillId="8" borderId="43" xfId="36" applyNumberFormat="1" applyBorder="1" applyAlignment="1">
      <alignment horizontal="left"/>
      <protection locked="0"/>
    </xf>
    <xf numFmtId="166" fontId="29" fillId="8" borderId="44" xfId="36" applyNumberFormat="1" applyBorder="1" applyAlignment="1">
      <alignment horizontal="left"/>
      <protection locked="0"/>
    </xf>
    <xf numFmtId="166" fontId="29" fillId="8" borderId="45" xfId="36" applyNumberFormat="1" applyBorder="1" applyAlignment="1">
      <alignment horizontal="left"/>
      <protection locked="0"/>
    </xf>
    <xf numFmtId="166" fontId="29" fillId="0" borderId="43" xfId="36" applyNumberFormat="1" applyFill="1" applyBorder="1" applyAlignment="1" applyProtection="1">
      <alignment horizontal="left"/>
    </xf>
    <xf numFmtId="166" fontId="29" fillId="0" borderId="44" xfId="36" applyNumberFormat="1" applyFill="1" applyBorder="1" applyAlignment="1" applyProtection="1">
      <alignment horizontal="left"/>
    </xf>
    <xf numFmtId="166" fontId="29" fillId="0" borderId="45" xfId="36" applyNumberFormat="1" applyFill="1" applyBorder="1" applyAlignment="1" applyProtection="1">
      <alignment horizontal="left"/>
    </xf>
  </cellXfs>
  <cellStyles count="39">
    <cellStyle name="Auto-populated" xfId="12" xr:uid="{6A56C0FC-27A7-4DDA-B2FC-82D2D325B2FB}"/>
    <cellStyle name="Banner_H3" xfId="13" xr:uid="{56DE3DDA-E63A-4669-93DA-54E2B52717F0}"/>
    <cellStyle name="Body_H1" xfId="14" xr:uid="{F5FD6147-0073-4EA6-B31F-F881B72B3DC7}"/>
    <cellStyle name="Calculation" xfId="7" builtinId="22" customBuiltin="1"/>
    <cellStyle name="Check Cell" xfId="9" builtinId="23" customBuiltin="1"/>
    <cellStyle name="Comma" xfId="34" builtinId="3"/>
    <cellStyle name="Data_A" xfId="36" xr:uid="{6D7DA16F-F18E-4FEC-BFCF-46002F23CD06}"/>
    <cellStyle name="Defined names" xfId="15" xr:uid="{B48D9BC1-C47D-49DD-92AA-AF8C210F0684}"/>
    <cellStyle name="Explanatory Text" xfId="11" builtinId="53" customBuiltin="1"/>
    <cellStyle name="External link" xfId="16" xr:uid="{48436E4E-0F6E-4281-9BBB-DD04C9DEEA30}"/>
    <cellStyle name="Hard-coded" xfId="17" xr:uid="{57F4C0B5-BDE2-4866-B685-C394CECA61D4}"/>
    <cellStyle name="Heading 1" xfId="1" builtinId="16" customBuiltin="1"/>
    <cellStyle name="Heading 2" xfId="2" builtinId="17" customBuiltin="1"/>
    <cellStyle name="Heading 3" xfId="3" builtinId="18" customBuiltin="1"/>
    <cellStyle name="Heading 4" xfId="4" builtinId="19" customBuiltin="1"/>
    <cellStyle name="Heading 5" xfId="18" xr:uid="{9BB2D75D-885B-4D03-8F82-8B1084A7A70B}"/>
    <cellStyle name="Heading 6" xfId="19" xr:uid="{EF555B13-2881-4493-B6C0-72A1D45ED84D}"/>
    <cellStyle name="Heading 7" xfId="20" xr:uid="{CF992FE0-B142-46B0-9A3D-4F34D8C42CF8}"/>
    <cellStyle name="Heading 8" xfId="21" xr:uid="{7FB8F450-3644-406D-91EE-3204C43A9484}"/>
    <cellStyle name="Hyperlink" xfId="38" builtinId="8"/>
    <cellStyle name="Input" xfId="5" builtinId="20" customBuiltin="1"/>
    <cellStyle name="Internal link/lookup" xfId="22" xr:uid="{8BC189BE-3D7B-432A-9B5A-C3AF4201F6A8}"/>
    <cellStyle name="Linked Cell" xfId="8" builtinId="24" hidden="1"/>
    <cellStyle name="Model title heading" xfId="23" xr:uid="{2D6F11EA-40F8-4C87-A5E9-4D8471496A2E}"/>
    <cellStyle name="Normal" xfId="0" builtinId="0" customBuiltin="1"/>
    <cellStyle name="Normal 2" xfId="24" xr:uid="{4332F59E-E8A8-4D46-85AB-56CE1631982D}"/>
    <cellStyle name="Normal 5" xfId="33" xr:uid="{19E8EBB4-D288-483A-BE33-36B61946C8BF}"/>
    <cellStyle name="Normal 6" xfId="37" xr:uid="{87BFF394-9323-4577-B43E-54A3CF411282}"/>
    <cellStyle name="Note" xfId="10" builtinId="10" customBuiltin="1"/>
    <cellStyle name="Numbering" xfId="25" xr:uid="{0AB8BF7C-3B36-4DB2-AC46-A853B6CB6303}"/>
    <cellStyle name="Numbering 3" xfId="26" xr:uid="{D3EBE992-FD69-4CAC-A929-1B98E5C2A4A1}"/>
    <cellStyle name="Other heading 1" xfId="27" xr:uid="{9199D0A4-24FE-40FE-9705-85AABF2B09A4}"/>
    <cellStyle name="Output" xfId="6" builtinId="21" hidden="1"/>
    <cellStyle name="Percent" xfId="35" builtinId="5"/>
    <cellStyle name="Section heading" xfId="28" xr:uid="{A8286C50-12ED-41E6-9A46-3A9D08A70418}"/>
    <cellStyle name="Sheet heading" xfId="29" xr:uid="{9D312312-4D76-4CF5-86F8-DDBEC9C2AE4F}"/>
    <cellStyle name="Table cell" xfId="30" xr:uid="{3D84980B-BCF0-4C80-B8DE-82C41C66E4E5}"/>
    <cellStyle name="Table col heading" xfId="31" xr:uid="{98A02B6F-BBB8-41B4-8149-60A30373829F}"/>
    <cellStyle name="Table heading" xfId="32" xr:uid="{45988677-B2CC-4D65-A274-C9E8F162796A}"/>
  </cellStyles>
  <dxfs count="2">
    <dxf>
      <fill>
        <patternFill>
          <bgColor theme="3"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n-US"/>
              <a:t>Total income</a:t>
            </a:r>
          </a:p>
        </c:rich>
      </c:tx>
      <c:layout>
        <c:manualLayout>
          <c:xMode val="edge"/>
          <c:yMode val="edge"/>
          <c:x val="0.39835535041880943"/>
          <c:y val="4.16576470643877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Total income with higher cap</c:v>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LTFP'!$D$39:$N$39</c:f>
              <c:numCache>
                <c:formatCode>_-* #,##0_-;\-* #,##0_-;_-* "-"??_-;_-@_-</c:formatCode>
                <c:ptCount val="11"/>
                <c:pt idx="0">
                  <c:v>46433303</c:v>
                </c:pt>
                <c:pt idx="1">
                  <c:v>40392405.087499999</c:v>
                </c:pt>
                <c:pt idx="2">
                  <c:v>39843650.430418745</c:v>
                </c:pt>
                <c:pt idx="3">
                  <c:v>40459667.517332166</c:v>
                </c:pt>
                <c:pt idx="4">
                  <c:v>41207008.377169356</c:v>
                </c:pt>
                <c:pt idx="5">
                  <c:v>42328796.174787305</c:v>
                </c:pt>
                <c:pt idx="6">
                  <c:v>42934272.415159747</c:v>
                </c:pt>
                <c:pt idx="7">
                  <c:v>43895045.264413536</c:v>
                </c:pt>
                <c:pt idx="8">
                  <c:v>45075741.514023855</c:v>
                </c:pt>
                <c:pt idx="9">
                  <c:v>45592097.290059827</c:v>
                </c:pt>
                <c:pt idx="10">
                  <c:v>46600734.697311282</c:v>
                </c:pt>
              </c:numCache>
            </c:numRef>
          </c:val>
          <c:smooth val="0"/>
          <c:extLst>
            <c:ext xmlns:c16="http://schemas.microsoft.com/office/drawing/2014/chart" uri="{C3380CC4-5D6E-409C-BE32-E72D297353CC}">
              <c16:uniqueId val="{00000000-FB66-4997-933B-B32A58CCDF5C}"/>
            </c:ext>
          </c:extLst>
        </c:ser>
        <c:ser>
          <c:idx val="1"/>
          <c:order val="1"/>
          <c:tx>
            <c:v>Total income without higher cap</c:v>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LTFP'!$D$165:$N$165</c:f>
              <c:numCache>
                <c:formatCode>_-* #,##0_-;\-* #,##0_-;_-* "-"??_-;_-@_-</c:formatCode>
                <c:ptCount val="11"/>
                <c:pt idx="0">
                  <c:v>46433303</c:v>
                </c:pt>
                <c:pt idx="1">
                  <c:v>40392405.547499999</c:v>
                </c:pt>
                <c:pt idx="2">
                  <c:v>39843650.901918739</c:v>
                </c:pt>
                <c:pt idx="3">
                  <c:v>40459668.000619665</c:v>
                </c:pt>
                <c:pt idx="4">
                  <c:v>41207008.872539043</c:v>
                </c:pt>
                <c:pt idx="5">
                  <c:v>42328796.682541236</c:v>
                </c:pt>
                <c:pt idx="6">
                  <c:v>42934272.935607523</c:v>
                </c:pt>
                <c:pt idx="7">
                  <c:v>43895045.797872514</c:v>
                </c:pt>
                <c:pt idx="8">
                  <c:v>45075742.060819298</c:v>
                </c:pt>
                <c:pt idx="9">
                  <c:v>45592097.850525156</c:v>
                </c:pt>
                <c:pt idx="10">
                  <c:v>46600735.271788247</c:v>
                </c:pt>
              </c:numCache>
            </c:numRef>
          </c:val>
          <c:smooth val="0"/>
          <c:extLst>
            <c:ext xmlns:c16="http://schemas.microsoft.com/office/drawing/2014/chart" uri="{C3380CC4-5D6E-409C-BE32-E72D297353CC}">
              <c16:uniqueId val="{00000001-FB66-4997-933B-B32A58CCDF5C}"/>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indicators'!$B$22</c:f>
          <c:strCache>
            <c:ptCount val="1"/>
            <c:pt idx="0">
              <c:v>Unrestricted cash</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indicators'!$B$22:$C$22</c:f>
              <c:strCache>
                <c:ptCount val="2"/>
                <c:pt idx="0">
                  <c:v>Unrestricted cash</c:v>
                </c:pt>
                <c:pt idx="1">
                  <c:v>with higher cap</c:v>
                </c:pt>
              </c:strCache>
            </c:strRef>
          </c:tx>
          <c:spPr>
            <a:ln w="28575" cap="rnd">
              <a:solidFill>
                <a:schemeClr val="accent1"/>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indicators'!$D$22:$N$22</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74DB-47BB-92D3-2B85A91AC759}"/>
            </c:ext>
          </c:extLst>
        </c:ser>
        <c:ser>
          <c:idx val="1"/>
          <c:order val="1"/>
          <c:tx>
            <c:strRef>
              <c:f>'5. Financial indicators'!$B$23:$C$23</c:f>
              <c:strCache>
                <c:ptCount val="2"/>
                <c:pt idx="0">
                  <c:v>Unrestricted cash</c:v>
                </c:pt>
                <c:pt idx="1">
                  <c:v>without higher cap</c:v>
                </c:pt>
              </c:strCache>
            </c:strRef>
          </c:tx>
          <c:spPr>
            <a:ln w="28575" cap="rnd">
              <a:solidFill>
                <a:schemeClr val="accent2"/>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indicators'!$D$23:$N$23</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74DB-47BB-92D3-2B85A91AC759}"/>
            </c:ext>
          </c:extLst>
        </c:ser>
        <c:dLbls>
          <c:showLegendKey val="0"/>
          <c:showVal val="0"/>
          <c:showCatName val="0"/>
          <c:showSerName val="0"/>
          <c:showPercent val="0"/>
          <c:showBubbleSize val="0"/>
        </c:dLbls>
        <c:smooth val="0"/>
        <c:axId val="943246464"/>
        <c:axId val="943239744"/>
      </c:lineChart>
      <c:catAx>
        <c:axId val="943246464"/>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3239744"/>
        <c:crosses val="autoZero"/>
        <c:auto val="1"/>
        <c:lblAlgn val="ctr"/>
        <c:lblOffset val="100"/>
        <c:noMultiLvlLbl val="0"/>
      </c:catAx>
      <c:valAx>
        <c:axId val="9432397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43246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indicators'!$B$37</c:f>
          <c:strCache>
            <c:ptCount val="1"/>
            <c:pt idx="0">
              <c:v>Indebtedness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indicators'!$B$37:$C$37</c:f>
              <c:strCache>
                <c:ptCount val="2"/>
                <c:pt idx="0">
                  <c:v>Indebtedness</c:v>
                </c:pt>
                <c:pt idx="1">
                  <c:v>with higher cap</c:v>
                </c:pt>
              </c:strCache>
            </c:strRef>
          </c:tx>
          <c:spPr>
            <a:ln w="28575" cap="rnd">
              <a:solidFill>
                <a:schemeClr val="accent1"/>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indicators'!$D$37:$N$37</c:f>
              <c:numCache>
                <c:formatCode>0.0%</c:formatCode>
                <c:ptCount val="11"/>
                <c:pt idx="0">
                  <c:v>0.25080228915316799</c:v>
                </c:pt>
                <c:pt idx="1">
                  <c:v>0.27680625041965856</c:v>
                </c:pt>
                <c:pt idx="2">
                  <c:v>0.26517966127528003</c:v>
                </c:pt>
                <c:pt idx="3">
                  <c:v>0.25431255243995371</c:v>
                </c:pt>
                <c:pt idx="4">
                  <c:v>0.24288432721420122</c:v>
                </c:pt>
                <c:pt idx="5">
                  <c:v>0.23153479538936481</c:v>
                </c:pt>
                <c:pt idx="6">
                  <c:v>0.22060714485491134</c:v>
                </c:pt>
                <c:pt idx="7">
                  <c:v>0.21313383058209379</c:v>
                </c:pt>
                <c:pt idx="8">
                  <c:v>0.20622381731881276</c:v>
                </c:pt>
                <c:pt idx="9">
                  <c:v>0.2031385114931849</c:v>
                </c:pt>
                <c:pt idx="10">
                  <c:v>0.19918628775673125</c:v>
                </c:pt>
              </c:numCache>
            </c:numRef>
          </c:val>
          <c:smooth val="0"/>
          <c:extLst>
            <c:ext xmlns:c16="http://schemas.microsoft.com/office/drawing/2014/chart" uri="{C3380CC4-5D6E-409C-BE32-E72D297353CC}">
              <c16:uniqueId val="{00000000-3978-40FA-A036-D4E4B94E4BB8}"/>
            </c:ext>
          </c:extLst>
        </c:ser>
        <c:ser>
          <c:idx val="1"/>
          <c:order val="1"/>
          <c:tx>
            <c:strRef>
              <c:f>'5. Financial indicators'!$B$38:$C$38</c:f>
              <c:strCache>
                <c:ptCount val="2"/>
                <c:pt idx="0">
                  <c:v>Indebtedness</c:v>
                </c:pt>
                <c:pt idx="1">
                  <c:v>without higher cap</c:v>
                </c:pt>
              </c:strCache>
            </c:strRef>
          </c:tx>
          <c:spPr>
            <a:ln w="28575" cap="rnd">
              <a:solidFill>
                <a:schemeClr val="accent2"/>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indicators'!$D$38:$N$38</c:f>
              <c:numCache>
                <c:formatCode>0.0%</c:formatCode>
                <c:ptCount val="11"/>
                <c:pt idx="0">
                  <c:v>0.25080228915316799</c:v>
                </c:pt>
                <c:pt idx="1">
                  <c:v>0.27680624581839658</c:v>
                </c:pt>
                <c:pt idx="2">
                  <c:v>0.26517965686980416</c:v>
                </c:pt>
                <c:pt idx="3">
                  <c:v>0.25431254820467725</c:v>
                </c:pt>
                <c:pt idx="4">
                  <c:v>0.24288432316728018</c:v>
                </c:pt>
                <c:pt idx="5">
                  <c:v>0.23153479152748158</c:v>
                </c:pt>
                <c:pt idx="6">
                  <c:v>0.22060714116306934</c:v>
                </c:pt>
                <c:pt idx="7">
                  <c:v>0.21313382700946201</c:v>
                </c:pt>
                <c:pt idx="8">
                  <c:v>0.20622381385644378</c:v>
                </c:pt>
                <c:pt idx="9">
                  <c:v>0.20313850807743195</c:v>
                </c:pt>
                <c:pt idx="10">
                  <c:v>0.1991862844069516</c:v>
                </c:pt>
              </c:numCache>
            </c:numRef>
          </c:val>
          <c:smooth val="0"/>
          <c:extLst>
            <c:ext xmlns:c16="http://schemas.microsoft.com/office/drawing/2014/chart" uri="{C3380CC4-5D6E-409C-BE32-E72D297353CC}">
              <c16:uniqueId val="{00000001-3978-40FA-A036-D4E4B94E4BB8}"/>
            </c:ext>
          </c:extLst>
        </c:ser>
        <c:dLbls>
          <c:showLegendKey val="0"/>
          <c:showVal val="0"/>
          <c:showCatName val="0"/>
          <c:showSerName val="0"/>
          <c:showPercent val="0"/>
          <c:showBubbleSize val="0"/>
        </c:dLbls>
        <c:smooth val="0"/>
        <c:axId val="891299552"/>
        <c:axId val="891300992"/>
      </c:lineChart>
      <c:catAx>
        <c:axId val="8912995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300992"/>
        <c:crosses val="autoZero"/>
        <c:auto val="1"/>
        <c:lblAlgn val="ctr"/>
        <c:lblOffset val="100"/>
        <c:noMultiLvlLbl val="0"/>
      </c:catAx>
      <c:valAx>
        <c:axId val="89130099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91299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Adjsuted underlying result - with and without higher cap</c:v>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indicators'!$D$7:$N$7</c:f>
              <c:numCache>
                <c:formatCode>0.0%</c:formatCode>
                <c:ptCount val="11"/>
                <c:pt idx="0">
                  <c:v>-0.17274947157237389</c:v>
                </c:pt>
                <c:pt idx="1">
                  <c:v>-0.19425577253893855</c:v>
                </c:pt>
                <c:pt idx="2">
                  <c:v>-0.18995942665199064</c:v>
                </c:pt>
                <c:pt idx="3">
                  <c:v>-0.18310231969472587</c:v>
                </c:pt>
                <c:pt idx="4">
                  <c:v>-0.17794709021954064</c:v>
                </c:pt>
                <c:pt idx="5">
                  <c:v>-0.16937457305137998</c:v>
                </c:pt>
                <c:pt idx="6">
                  <c:v>-0.16288689509445786</c:v>
                </c:pt>
                <c:pt idx="7">
                  <c:v>-0.15526910950322545</c:v>
                </c:pt>
                <c:pt idx="8">
                  <c:v>-0.14775681888397585</c:v>
                </c:pt>
                <c:pt idx="9">
                  <c:v>-0.14022008723628826</c:v>
                </c:pt>
                <c:pt idx="10">
                  <c:v>-0.13998526861400828</c:v>
                </c:pt>
              </c:numCache>
            </c:numRef>
          </c:val>
          <c:smooth val="0"/>
          <c:extLst>
            <c:ext xmlns:c16="http://schemas.microsoft.com/office/drawing/2014/chart" uri="{C3380CC4-5D6E-409C-BE32-E72D297353CC}">
              <c16:uniqueId val="{00000000-61CC-4BCD-93FC-638ADDA7E76B}"/>
            </c:ext>
          </c:extLst>
        </c:ser>
        <c:dLbls>
          <c:showLegendKey val="0"/>
          <c:showVal val="0"/>
          <c:showCatName val="0"/>
          <c:showSerName val="0"/>
          <c:showPercent val="0"/>
          <c:showBubbleSize val="0"/>
        </c:dLbls>
        <c:smooth val="0"/>
        <c:axId val="1474415391"/>
        <c:axId val="1474417311"/>
        <c:extLst>
          <c:ext xmlns:c15="http://schemas.microsoft.com/office/drawing/2012/chart" uri="{02D57815-91ED-43cb-92C2-25804820EDAC}">
            <c15:filteredLineSeries>
              <c15:ser>
                <c:idx val="1"/>
                <c:order val="1"/>
                <c:tx>
                  <c:strRef>
                    <c:extLst>
                      <c:ext uri="{02D57815-91ED-43cb-92C2-25804820EDAC}">
                        <c15:formulaRef>
                          <c15:sqref>'5. Financial indicators'!$B$8:$C$8</c15:sqref>
                        </c15:formulaRef>
                      </c:ext>
                    </c:extLst>
                    <c:strCache>
                      <c:ptCount val="2"/>
                      <c:pt idx="0">
                        <c:v>Adjusted underlying result</c:v>
                      </c:pt>
                      <c:pt idx="1">
                        <c:v>without higher cap</c:v>
                      </c:pt>
                    </c:strCache>
                  </c:strRef>
                </c:tx>
                <c:spPr>
                  <a:ln w="28575" cap="rnd">
                    <a:solidFill>
                      <a:schemeClr val="accent2"/>
                    </a:solidFill>
                    <a:round/>
                  </a:ln>
                  <a:effectLst/>
                </c:spPr>
                <c:marker>
                  <c:symbol val="none"/>
                </c:marker>
                <c:cat>
                  <c:strRef>
                    <c:extLst>
                      <c:ext uri="{02D57815-91ED-43cb-92C2-25804820EDAC}">
                        <c15:formulaRef>
                          <c15:sqref>'5. Financial indicators'!$D$6:$N$6</c15:sqref>
                        </c15:formulaRef>
                      </c:ext>
                    </c:extLst>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extLst>
                      <c:ext uri="{02D57815-91ED-43cb-92C2-25804820EDAC}">
                        <c15:formulaRef>
                          <c15:sqref>'5. Financial indicators'!$D$8:$N$8</c15:sqref>
                        </c15:formulaRef>
                      </c:ext>
                    </c:extLst>
                    <c:numCache>
                      <c:formatCode>0.0%</c:formatCode>
                      <c:ptCount val="11"/>
                      <c:pt idx="0">
                        <c:v>-0.17274947157237389</c:v>
                      </c:pt>
                      <c:pt idx="1">
                        <c:v>-0.1942557582040696</c:v>
                      </c:pt>
                      <c:pt idx="2">
                        <c:v>-0.18995941192391308</c:v>
                      </c:pt>
                      <c:pt idx="3">
                        <c:v>-0.18310230501569588</c:v>
                      </c:pt>
                      <c:pt idx="4">
                        <c:v>-0.1779470755837757</c:v>
                      </c:pt>
                      <c:pt idx="5">
                        <c:v>-0.16937455849543165</c:v>
                      </c:pt>
                      <c:pt idx="6">
                        <c:v>-0.16288688056817124</c:v>
                      </c:pt>
                      <c:pt idx="7">
                        <c:v>-0.15526909503650577</c:v>
                      </c:pt>
                      <c:pt idx="8">
                        <c:v>-0.1477568044762492</c:v>
                      </c:pt>
                      <c:pt idx="9">
                        <c:v>-0.14022007288922936</c:v>
                      </c:pt>
                      <c:pt idx="10">
                        <c:v>-0.13998525426835648</c:v>
                      </c:pt>
                    </c:numCache>
                  </c:numRef>
                </c:val>
                <c:smooth val="0"/>
                <c:extLst>
                  <c:ext xmlns:c16="http://schemas.microsoft.com/office/drawing/2014/chart" uri="{C3380CC4-5D6E-409C-BE32-E72D297353CC}">
                    <c16:uniqueId val="{00000001-61CC-4BCD-93FC-638ADDA7E76B}"/>
                  </c:ext>
                </c:extLst>
              </c15:ser>
            </c15:filteredLineSeries>
          </c:ext>
        </c:extLst>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indicators'!$B$18</c:f>
          <c:strCache>
            <c:ptCount val="1"/>
            <c:pt idx="0">
              <c:v>Working capital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Working capital - with and without higher cap</c:v>
          </c:tx>
          <c:spPr>
            <a:ln w="28575" cap="rnd">
              <a:solidFill>
                <a:schemeClr val="accent1"/>
              </a:solidFill>
              <a:round/>
            </a:ln>
            <a:effectLst/>
          </c:spPr>
          <c:marker>
            <c:symbol val="none"/>
          </c:marker>
          <c:cat>
            <c:strRef>
              <c:f>'5. Financial indicators'!$D$17:$N$17</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indicators'!$D$18:$N$18</c:f>
              <c:numCache>
                <c:formatCode>0.0%</c:formatCode>
                <c:ptCount val="11"/>
                <c:pt idx="0">
                  <c:v>0.98947604417374213</c:v>
                </c:pt>
                <c:pt idx="1">
                  <c:v>1.3469322852247247</c:v>
                </c:pt>
                <c:pt idx="2">
                  <c:v>1.3555959285479044</c:v>
                </c:pt>
                <c:pt idx="3">
                  <c:v>1.3637360342562972</c:v>
                </c:pt>
                <c:pt idx="4">
                  <c:v>1.3776151206784168</c:v>
                </c:pt>
                <c:pt idx="5">
                  <c:v>1.389874178906809</c:v>
                </c:pt>
                <c:pt idx="6">
                  <c:v>1.4022381271704776</c:v>
                </c:pt>
                <c:pt idx="7">
                  <c:v>1.4334053879498359</c:v>
                </c:pt>
                <c:pt idx="8">
                  <c:v>1.4496413967255961</c:v>
                </c:pt>
                <c:pt idx="9">
                  <c:v>1.4820057614236402</c:v>
                </c:pt>
                <c:pt idx="10">
                  <c:v>1.4975151834959817</c:v>
                </c:pt>
              </c:numCache>
            </c:numRef>
          </c:val>
          <c:smooth val="0"/>
          <c:extLst>
            <c:ext xmlns:c16="http://schemas.microsoft.com/office/drawing/2014/chart" uri="{C3380CC4-5D6E-409C-BE32-E72D297353CC}">
              <c16:uniqueId val="{00000000-79C5-4951-993D-D8FACFFA1F58}"/>
            </c:ext>
          </c:extLst>
        </c:ser>
        <c:dLbls>
          <c:showLegendKey val="0"/>
          <c:showVal val="0"/>
          <c:showCatName val="0"/>
          <c:showSerName val="0"/>
          <c:showPercent val="0"/>
          <c:showBubbleSize val="0"/>
        </c:dLbls>
        <c:smooth val="0"/>
        <c:axId val="489930192"/>
        <c:axId val="489930672"/>
        <c:extLst>
          <c:ext xmlns:c15="http://schemas.microsoft.com/office/drawing/2012/chart" uri="{02D57815-91ED-43cb-92C2-25804820EDAC}">
            <c15:filteredLineSeries>
              <c15:ser>
                <c:idx val="1"/>
                <c:order val="1"/>
                <c:tx>
                  <c:strRef>
                    <c:extLst>
                      <c:ext uri="{02D57815-91ED-43cb-92C2-25804820EDAC}">
                        <c15:formulaRef>
                          <c15:sqref>'5. Financial indicators'!$B$19:$C$19</c15:sqref>
                        </c15:formulaRef>
                      </c:ext>
                    </c:extLst>
                    <c:strCache>
                      <c:ptCount val="2"/>
                      <c:pt idx="0">
                        <c:v>Working capital</c:v>
                      </c:pt>
                      <c:pt idx="1">
                        <c:v>without higher cap</c:v>
                      </c:pt>
                    </c:strCache>
                  </c:strRef>
                </c:tx>
                <c:spPr>
                  <a:ln w="28575" cap="rnd">
                    <a:solidFill>
                      <a:schemeClr val="accent2"/>
                    </a:solidFill>
                    <a:round/>
                  </a:ln>
                  <a:effectLst/>
                </c:spPr>
                <c:marker>
                  <c:symbol val="none"/>
                </c:marker>
                <c:cat>
                  <c:strRef>
                    <c:extLst>
                      <c:ext uri="{02D57815-91ED-43cb-92C2-25804820EDAC}">
                        <c15:formulaRef>
                          <c15:sqref>'5. Financial indicators'!$D$17:$N$17</c15:sqref>
                        </c15:formulaRef>
                      </c:ext>
                    </c:extLst>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extLst>
                      <c:ext uri="{02D57815-91ED-43cb-92C2-25804820EDAC}">
                        <c15:formulaRef>
                          <c15:sqref>'5. Financial indicators'!$D$19:$N$19</c15:sqref>
                        </c15:formulaRef>
                      </c:ext>
                    </c:extLst>
                    <c:numCache>
                      <c:formatCode>0.0%</c:formatCode>
                      <c:ptCount val="11"/>
                      <c:pt idx="0">
                        <c:v>0.98947604417374213</c:v>
                      </c:pt>
                      <c:pt idx="1">
                        <c:v>1.3469322852247247</c:v>
                      </c:pt>
                      <c:pt idx="2">
                        <c:v>1.3555959285479044</c:v>
                      </c:pt>
                      <c:pt idx="3">
                        <c:v>1.3637360342562972</c:v>
                      </c:pt>
                      <c:pt idx="4">
                        <c:v>1.3776151206784168</c:v>
                      </c:pt>
                      <c:pt idx="5">
                        <c:v>1.389874178906809</c:v>
                      </c:pt>
                      <c:pt idx="6">
                        <c:v>1.4022381271704776</c:v>
                      </c:pt>
                      <c:pt idx="7">
                        <c:v>1.4334053879498359</c:v>
                      </c:pt>
                      <c:pt idx="8">
                        <c:v>1.4496413967255961</c:v>
                      </c:pt>
                      <c:pt idx="9">
                        <c:v>1.4820057614236402</c:v>
                      </c:pt>
                      <c:pt idx="10">
                        <c:v>1.4975151834959817</c:v>
                      </c:pt>
                    </c:numCache>
                  </c:numRef>
                </c:val>
                <c:smooth val="0"/>
                <c:extLst>
                  <c:ext xmlns:c16="http://schemas.microsoft.com/office/drawing/2014/chart" uri="{C3380CC4-5D6E-409C-BE32-E72D297353CC}">
                    <c16:uniqueId val="{00000001-79C5-4951-993D-D8FACFFA1F58}"/>
                  </c:ext>
                </c:extLst>
              </c15:ser>
            </c15:filteredLineSeries>
          </c:ext>
        </c:extLst>
      </c:lineChart>
      <c:catAx>
        <c:axId val="489930192"/>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930672"/>
        <c:crosses val="autoZero"/>
        <c:auto val="1"/>
        <c:lblAlgn val="ctr"/>
        <c:lblOffset val="100"/>
        <c:noMultiLvlLbl val="0"/>
      </c:catAx>
      <c:valAx>
        <c:axId val="48993067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89930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indicators'!$B$37</c:f>
          <c:strCache>
            <c:ptCount val="1"/>
            <c:pt idx="0">
              <c:v>Indebtedness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indicators'!$B$37:$C$37</c:f>
              <c:strCache>
                <c:ptCount val="2"/>
                <c:pt idx="0">
                  <c:v>Indebtedness</c:v>
                </c:pt>
                <c:pt idx="1">
                  <c:v>with higher cap</c:v>
                </c:pt>
              </c:strCache>
            </c:strRef>
          </c:tx>
          <c:spPr>
            <a:ln w="28575" cap="rnd">
              <a:solidFill>
                <a:schemeClr val="accent1"/>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indicators'!$D$37:$N$37</c:f>
              <c:numCache>
                <c:formatCode>0.0%</c:formatCode>
                <c:ptCount val="11"/>
                <c:pt idx="0">
                  <c:v>0.25080228915316799</c:v>
                </c:pt>
                <c:pt idx="1">
                  <c:v>0.27680625041965856</c:v>
                </c:pt>
                <c:pt idx="2">
                  <c:v>0.26517966127528003</c:v>
                </c:pt>
                <c:pt idx="3">
                  <c:v>0.25431255243995371</c:v>
                </c:pt>
                <c:pt idx="4">
                  <c:v>0.24288432721420122</c:v>
                </c:pt>
                <c:pt idx="5">
                  <c:v>0.23153479538936481</c:v>
                </c:pt>
                <c:pt idx="6">
                  <c:v>0.22060714485491134</c:v>
                </c:pt>
                <c:pt idx="7">
                  <c:v>0.21313383058209379</c:v>
                </c:pt>
                <c:pt idx="8">
                  <c:v>0.20622381731881276</c:v>
                </c:pt>
                <c:pt idx="9">
                  <c:v>0.2031385114931849</c:v>
                </c:pt>
                <c:pt idx="10">
                  <c:v>0.19918628775673125</c:v>
                </c:pt>
              </c:numCache>
            </c:numRef>
          </c:val>
          <c:smooth val="0"/>
          <c:extLst>
            <c:ext xmlns:c16="http://schemas.microsoft.com/office/drawing/2014/chart" uri="{C3380CC4-5D6E-409C-BE32-E72D297353CC}">
              <c16:uniqueId val="{00000000-5D8D-4444-BA72-299878636534}"/>
            </c:ext>
          </c:extLst>
        </c:ser>
        <c:dLbls>
          <c:showLegendKey val="0"/>
          <c:showVal val="0"/>
          <c:showCatName val="0"/>
          <c:showSerName val="0"/>
          <c:showPercent val="0"/>
          <c:showBubbleSize val="0"/>
        </c:dLbls>
        <c:smooth val="0"/>
        <c:axId val="891299552"/>
        <c:axId val="891300992"/>
        <c:extLst>
          <c:ext xmlns:c15="http://schemas.microsoft.com/office/drawing/2012/chart" uri="{02D57815-91ED-43cb-92C2-25804820EDAC}">
            <c15:filteredLineSeries>
              <c15:ser>
                <c:idx val="1"/>
                <c:order val="1"/>
                <c:tx>
                  <c:v>Indebtedness - with and without higher cap</c:v>
                </c:tx>
                <c:spPr>
                  <a:ln w="28575" cap="rnd">
                    <a:solidFill>
                      <a:schemeClr val="accent2"/>
                    </a:solidFill>
                    <a:round/>
                  </a:ln>
                  <a:effectLst/>
                </c:spPr>
                <c:marker>
                  <c:symbol val="none"/>
                </c:marker>
                <c:cat>
                  <c:strRef>
                    <c:extLst>
                      <c:ext uri="{02D57815-91ED-43cb-92C2-25804820EDAC}">
                        <c15:formulaRef>
                          <c15:sqref>'5. Financial indicators'!$D$28:$N$28</c15:sqref>
                        </c15:formulaRef>
                      </c:ext>
                    </c:extLst>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extLst>
                      <c:ext uri="{02D57815-91ED-43cb-92C2-25804820EDAC}">
                        <c15:formulaRef>
                          <c15:sqref>'5. Financial indicators'!$D$38:$N$38</c15:sqref>
                        </c15:formulaRef>
                      </c:ext>
                    </c:extLst>
                    <c:numCache>
                      <c:formatCode>0.0%</c:formatCode>
                      <c:ptCount val="11"/>
                      <c:pt idx="0">
                        <c:v>0.25080228915316799</c:v>
                      </c:pt>
                      <c:pt idx="1">
                        <c:v>0.27680624581839658</c:v>
                      </c:pt>
                      <c:pt idx="2">
                        <c:v>0.26517965686980416</c:v>
                      </c:pt>
                      <c:pt idx="3">
                        <c:v>0.25431254820467725</c:v>
                      </c:pt>
                      <c:pt idx="4">
                        <c:v>0.24288432316728018</c:v>
                      </c:pt>
                      <c:pt idx="5">
                        <c:v>0.23153479152748158</c:v>
                      </c:pt>
                      <c:pt idx="6">
                        <c:v>0.22060714116306934</c:v>
                      </c:pt>
                      <c:pt idx="7">
                        <c:v>0.21313382700946201</c:v>
                      </c:pt>
                      <c:pt idx="8">
                        <c:v>0.20622381385644378</c:v>
                      </c:pt>
                      <c:pt idx="9">
                        <c:v>0.20313850807743195</c:v>
                      </c:pt>
                      <c:pt idx="10">
                        <c:v>0.1991862844069516</c:v>
                      </c:pt>
                    </c:numCache>
                  </c:numRef>
                </c:val>
                <c:smooth val="0"/>
                <c:extLst>
                  <c:ext xmlns:c16="http://schemas.microsoft.com/office/drawing/2014/chart" uri="{C3380CC4-5D6E-409C-BE32-E72D297353CC}">
                    <c16:uniqueId val="{00000001-5D8D-4444-BA72-299878636534}"/>
                  </c:ext>
                </c:extLst>
              </c15:ser>
            </c15:filteredLineSeries>
          </c:ext>
        </c:extLst>
      </c:lineChart>
      <c:catAx>
        <c:axId val="8912995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300992"/>
        <c:crosses val="autoZero"/>
        <c:auto val="1"/>
        <c:lblAlgn val="ctr"/>
        <c:lblOffset val="100"/>
        <c:noMultiLvlLbl val="0"/>
      </c:catAx>
      <c:valAx>
        <c:axId val="89130099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91299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'9. Supp_waste - Long term'!$C$29</c:f>
          <c:strCache>
            <c:ptCount val="1"/>
            <c:pt idx="0">
              <c:v>Adjusted underlying result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'9. Supp_waste - Long term'!$C$30</c:f>
              <c:strCache>
                <c:ptCount val="1"/>
                <c:pt idx="0">
                  <c:v>with higher cap (all reasons)</c:v>
                </c:pt>
              </c:strCache>
            </c:strRef>
          </c:tx>
          <c:spPr>
            <a:ln w="28575" cap="rnd">
              <a:solidFill>
                <a:schemeClr val="accent1"/>
              </a:solidFill>
              <a:round/>
            </a:ln>
            <a:effectLst/>
          </c:spPr>
          <c:marker>
            <c:symbol val="none"/>
          </c:marker>
          <c:cat>
            <c:strRef>
              <c:f>'9. Supp_waste - Long term'!$D$29:$N$29</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'9. Supp_waste - Long term'!$D$30:$N$30</c:f>
              <c:numCache>
                <c:formatCode>0.0%</c:formatCode>
                <c:ptCount val="11"/>
                <c:pt idx="0">
                  <c:v>-0.17274947157237389</c:v>
                </c:pt>
                <c:pt idx="1">
                  <c:v>-0.19425577253893855</c:v>
                </c:pt>
                <c:pt idx="2">
                  <c:v>-0.18995942665199064</c:v>
                </c:pt>
                <c:pt idx="3">
                  <c:v>-0.18310231969472587</c:v>
                </c:pt>
                <c:pt idx="4">
                  <c:v>-0.17794709021954064</c:v>
                </c:pt>
                <c:pt idx="5">
                  <c:v>-0.16937457305137998</c:v>
                </c:pt>
                <c:pt idx="6">
                  <c:v>-0.16288689509445786</c:v>
                </c:pt>
                <c:pt idx="7">
                  <c:v>-0.15526910950322545</c:v>
                </c:pt>
                <c:pt idx="8">
                  <c:v>-0.14775681888397585</c:v>
                </c:pt>
                <c:pt idx="9">
                  <c:v>-0.14022008723628826</c:v>
                </c:pt>
                <c:pt idx="10">
                  <c:v>-0.13998526861400828</c:v>
                </c:pt>
              </c:numCache>
            </c:numRef>
          </c:val>
          <c:smooth val="0"/>
          <c:extLst>
            <c:ext xmlns:c16="http://schemas.microsoft.com/office/drawing/2014/chart" uri="{C3380CC4-5D6E-409C-BE32-E72D297353CC}">
              <c16:uniqueId val="{00000000-3B6B-49B4-9B5C-B59F87A920D2}"/>
            </c:ext>
          </c:extLst>
        </c:ser>
        <c:ser>
          <c:idx val="1"/>
          <c:order val="1"/>
          <c:tx>
            <c:strRef>
              <c:f>'9. Supp_waste - Long term'!$C$31</c:f>
              <c:strCache>
                <c:ptCount val="1"/>
                <c:pt idx="0">
                  <c:v>forgoing higher cap revenue related to waste services</c:v>
                </c:pt>
              </c:strCache>
            </c:strRef>
          </c:tx>
          <c:spPr>
            <a:ln w="28575" cap="rnd">
              <a:solidFill>
                <a:schemeClr val="accent2"/>
              </a:solidFill>
              <a:round/>
            </a:ln>
            <a:effectLst/>
          </c:spPr>
          <c:marker>
            <c:symbol val="none"/>
          </c:marker>
          <c:cat>
            <c:strRef>
              <c:f>'9. Supp_waste - Long term'!$D$29:$N$29</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'9. Supp_waste - Long term'!$D$31:$N$31</c:f>
              <c:numCache>
                <c:formatCode>0.0%</c:formatCode>
                <c:ptCount val="11"/>
                <c:pt idx="0">
                  <c:v>-0.17274947157237389</c:v>
                </c:pt>
                <c:pt idx="1">
                  <c:v>-0.21977026641110675</c:v>
                </c:pt>
                <c:pt idx="2">
                  <c:v>-0.21619124059844999</c:v>
                </c:pt>
                <c:pt idx="3">
                  <c:v>-0.20924818603022532</c:v>
                </c:pt>
                <c:pt idx="4">
                  <c:v>-0.20401670984652659</c:v>
                </c:pt>
                <c:pt idx="5">
                  <c:v>-0.19530307542136607</c:v>
                </c:pt>
                <c:pt idx="6">
                  <c:v>-0.18876458664737064</c:v>
                </c:pt>
                <c:pt idx="7">
                  <c:v>-0.1810421002480832</c:v>
                </c:pt>
                <c:pt idx="8">
                  <c:v>-0.17342610954270421</c:v>
                </c:pt>
                <c:pt idx="9">
                  <c:v>-0.16578264584416411</c:v>
                </c:pt>
                <c:pt idx="10">
                  <c:v>-0.16191501177812045</c:v>
                </c:pt>
              </c:numCache>
            </c:numRef>
          </c:val>
          <c:smooth val="0"/>
          <c:extLst>
            <c:ext xmlns:c16="http://schemas.microsoft.com/office/drawing/2014/chart" uri="{C3380CC4-5D6E-409C-BE32-E72D297353CC}">
              <c16:uniqueId val="{00000001-3B6B-49B4-9B5C-B59F87A920D2}"/>
            </c:ext>
          </c:extLst>
        </c:ser>
        <c:dLbls>
          <c:showLegendKey val="0"/>
          <c:showVal val="0"/>
          <c:showCatName val="0"/>
          <c:showSerName val="0"/>
          <c:showPercent val="0"/>
          <c:showBubbleSize val="0"/>
        </c:dLbls>
        <c:smooth val="0"/>
        <c:axId val="295237791"/>
        <c:axId val="295238271"/>
      </c:lineChart>
      <c:catAx>
        <c:axId val="2952377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95238271"/>
        <c:crosses val="autoZero"/>
        <c:auto val="1"/>
        <c:lblAlgn val="ctr"/>
        <c:lblOffset val="100"/>
        <c:noMultiLvlLbl val="0"/>
      </c:catAx>
      <c:valAx>
        <c:axId val="295238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95237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'9. Supp_waste - Long term'!$C$34</c:f>
          <c:strCache>
            <c:ptCount val="1"/>
            <c:pt idx="0">
              <c:v>Working capital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'9. Supp_waste - Long term'!$C$35</c:f>
              <c:strCache>
                <c:ptCount val="1"/>
                <c:pt idx="0">
                  <c:v>with higher cap</c:v>
                </c:pt>
              </c:strCache>
            </c:strRef>
          </c:tx>
          <c:spPr>
            <a:ln w="28575" cap="rnd">
              <a:solidFill>
                <a:schemeClr val="accent1"/>
              </a:solidFill>
              <a:round/>
            </a:ln>
            <a:effectLst/>
          </c:spPr>
          <c:marker>
            <c:symbol val="none"/>
          </c:marker>
          <c:cat>
            <c:strRef>
              <c:f>'9. Supp_waste - Long term'!$D$34:$N$34</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'9. Supp_waste - Long term'!$D$35:$N$35</c:f>
              <c:numCache>
                <c:formatCode>0.0%</c:formatCode>
                <c:ptCount val="11"/>
                <c:pt idx="0">
                  <c:v>0.98947604417374213</c:v>
                </c:pt>
                <c:pt idx="1">
                  <c:v>1.3469322852247247</c:v>
                </c:pt>
                <c:pt idx="2">
                  <c:v>1.3555959285479044</c:v>
                </c:pt>
                <c:pt idx="3">
                  <c:v>1.3637360342562972</c:v>
                </c:pt>
                <c:pt idx="4">
                  <c:v>1.3776151206784168</c:v>
                </c:pt>
                <c:pt idx="5">
                  <c:v>1.389874178906809</c:v>
                </c:pt>
                <c:pt idx="6">
                  <c:v>1.4022381271704776</c:v>
                </c:pt>
                <c:pt idx="7">
                  <c:v>1.4334053879498359</c:v>
                </c:pt>
                <c:pt idx="8">
                  <c:v>1.4496413967255961</c:v>
                </c:pt>
                <c:pt idx="9">
                  <c:v>1.4820057614236402</c:v>
                </c:pt>
                <c:pt idx="10">
                  <c:v>1.4975151834959817</c:v>
                </c:pt>
              </c:numCache>
            </c:numRef>
          </c:val>
          <c:smooth val="0"/>
          <c:extLst>
            <c:ext xmlns:c16="http://schemas.microsoft.com/office/drawing/2014/chart" uri="{C3380CC4-5D6E-409C-BE32-E72D297353CC}">
              <c16:uniqueId val="{00000000-C675-42B6-982C-37F15F0B69E6}"/>
            </c:ext>
          </c:extLst>
        </c:ser>
        <c:ser>
          <c:idx val="1"/>
          <c:order val="1"/>
          <c:tx>
            <c:strRef>
              <c:f>'9. Supp_waste - Long term'!$C$36</c:f>
              <c:strCache>
                <c:ptCount val="1"/>
                <c:pt idx="0">
                  <c:v>forgoing higher cap revenue related to waste services</c:v>
                </c:pt>
              </c:strCache>
            </c:strRef>
          </c:tx>
          <c:spPr>
            <a:ln w="28575" cap="rnd">
              <a:solidFill>
                <a:schemeClr val="accent2"/>
              </a:solidFill>
              <a:round/>
            </a:ln>
            <a:effectLst/>
          </c:spPr>
          <c:marker>
            <c:symbol val="none"/>
          </c:marker>
          <c:cat>
            <c:strRef>
              <c:f>'9. Supp_waste - Long term'!$D$34:$N$34</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'9. Supp_waste - Long term'!$D$36:$N$36</c:f>
              <c:numCache>
                <c:formatCode>0.0%</c:formatCode>
                <c:ptCount val="11"/>
                <c:pt idx="0">
                  <c:v>0.98947604417374213</c:v>
                </c:pt>
                <c:pt idx="1">
                  <c:v>1.2428330222966024</c:v>
                </c:pt>
                <c:pt idx="2">
                  <c:v>1.2529945167085479</c:v>
                </c:pt>
                <c:pt idx="3">
                  <c:v>1.2626725289340002</c:v>
                </c:pt>
                <c:pt idx="4">
                  <c:v>1.2776734983819611</c:v>
                </c:pt>
                <c:pt idx="5">
                  <c:v>1.2910691103915473</c:v>
                </c:pt>
                <c:pt idx="6">
                  <c:v>1.3045834727450081</c:v>
                </c:pt>
                <c:pt idx="7">
                  <c:v>1.3356401502331536</c:v>
                </c:pt>
                <c:pt idx="8">
                  <c:v>1.3528376869853107</c:v>
                </c:pt>
                <c:pt idx="9">
                  <c:v>1.3851413437175759</c:v>
                </c:pt>
                <c:pt idx="10">
                  <c:v>1.3995393312803903</c:v>
                </c:pt>
              </c:numCache>
            </c:numRef>
          </c:val>
          <c:smooth val="0"/>
          <c:extLst>
            <c:ext xmlns:c16="http://schemas.microsoft.com/office/drawing/2014/chart" uri="{C3380CC4-5D6E-409C-BE32-E72D297353CC}">
              <c16:uniqueId val="{00000001-C675-42B6-982C-37F15F0B69E6}"/>
            </c:ext>
          </c:extLst>
        </c:ser>
        <c:dLbls>
          <c:showLegendKey val="0"/>
          <c:showVal val="0"/>
          <c:showCatName val="0"/>
          <c:showSerName val="0"/>
          <c:showPercent val="0"/>
          <c:showBubbleSize val="0"/>
        </c:dLbls>
        <c:smooth val="0"/>
        <c:axId val="1627054191"/>
        <c:axId val="1627060911"/>
      </c:lineChart>
      <c:catAx>
        <c:axId val="1627054191"/>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27060911"/>
        <c:crosses val="autoZero"/>
        <c:auto val="1"/>
        <c:lblAlgn val="ctr"/>
        <c:lblOffset val="100"/>
        <c:noMultiLvlLbl val="0"/>
      </c:catAx>
      <c:valAx>
        <c:axId val="16270609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27054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n-US"/>
              <a:t>Total expenses</a:t>
            </a:r>
          </a:p>
          <a:p>
            <a:pPr>
              <a:defRPr>
                <a:solidFill>
                  <a:schemeClr val="tx2"/>
                </a:solidFill>
              </a:defRPr>
            </a:pPr>
            <a:endParaRPr lang="en-US"/>
          </a:p>
        </c:rich>
      </c:tx>
      <c:layout>
        <c:manualLayout>
          <c:xMode val="edge"/>
          <c:yMode val="edge"/>
          <c:x val="0.39835535041880943"/>
          <c:y val="4.16576470643877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Total expenses with higher cap</c:v>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LTFP'!$D$53:$N$53</c:f>
              <c:numCache>
                <c:formatCode>_-* #,##0_-;\-* #,##0_-;_-* "-"??_-;_-@_-</c:formatCode>
                <c:ptCount val="11"/>
                <c:pt idx="0">
                  <c:v>42919965</c:v>
                </c:pt>
                <c:pt idx="1">
                  <c:v>45767669.487499997</c:v>
                </c:pt>
                <c:pt idx="2">
                  <c:v>45331483.451218747</c:v>
                </c:pt>
                <c:pt idx="3">
                  <c:v>46084280.253558949</c:v>
                </c:pt>
                <c:pt idx="4">
                  <c:v>46964052.408714131</c:v>
                </c:pt>
                <c:pt idx="5">
                  <c:v>47700186.441772416</c:v>
                </c:pt>
                <c:pt idx="6">
                  <c:v>48450414.257291868</c:v>
                </c:pt>
                <c:pt idx="7">
                  <c:v>49214976.154521704</c:v>
                </c:pt>
                <c:pt idx="8">
                  <c:v>49995300.549696133</c:v>
                </c:pt>
                <c:pt idx="9">
                  <c:v>50788249.005574062</c:v>
                </c:pt>
                <c:pt idx="10">
                  <c:v>52041619.910463408</c:v>
                </c:pt>
              </c:numCache>
            </c:numRef>
          </c:val>
          <c:smooth val="0"/>
          <c:extLst>
            <c:ext xmlns:c16="http://schemas.microsoft.com/office/drawing/2014/chart" uri="{C3380CC4-5D6E-409C-BE32-E72D297353CC}">
              <c16:uniqueId val="{00000000-EFE0-469A-BBA1-7C2020052D29}"/>
            </c:ext>
          </c:extLst>
        </c:ser>
        <c:ser>
          <c:idx val="1"/>
          <c:order val="1"/>
          <c:tx>
            <c:v>Total expenses without higher cap</c:v>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LTFP'!$D$179:$N$179</c:f>
              <c:numCache>
                <c:formatCode>_-* #,##0_-;\-* #,##0_-;_-* "-"??_-;_-@_-</c:formatCode>
                <c:ptCount val="11"/>
                <c:pt idx="0">
                  <c:v>42919965</c:v>
                </c:pt>
                <c:pt idx="1">
                  <c:v>45767669.487499997</c:v>
                </c:pt>
                <c:pt idx="2">
                  <c:v>45331483.451218747</c:v>
                </c:pt>
                <c:pt idx="3">
                  <c:v>46084280.253558949</c:v>
                </c:pt>
                <c:pt idx="4">
                  <c:v>46964052.408714131</c:v>
                </c:pt>
                <c:pt idx="5">
                  <c:v>47700186.441772416</c:v>
                </c:pt>
                <c:pt idx="6">
                  <c:v>48450414.257291868</c:v>
                </c:pt>
                <c:pt idx="7">
                  <c:v>49214976.154521704</c:v>
                </c:pt>
                <c:pt idx="8">
                  <c:v>49995300.549696133</c:v>
                </c:pt>
                <c:pt idx="9">
                  <c:v>50788249.005574062</c:v>
                </c:pt>
                <c:pt idx="10">
                  <c:v>52041619.910463408</c:v>
                </c:pt>
              </c:numCache>
            </c:numRef>
          </c:val>
          <c:smooth val="0"/>
          <c:extLst>
            <c:ext xmlns:c16="http://schemas.microsoft.com/office/drawing/2014/chart" uri="{C3380CC4-5D6E-409C-BE32-E72D297353CC}">
              <c16:uniqueId val="{00000001-EFE0-469A-BBA1-7C2020052D29}"/>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n-US"/>
              <a:t>Surplus/deficit</a:t>
            </a:r>
          </a:p>
          <a:p>
            <a:pPr>
              <a:defRPr>
                <a:solidFill>
                  <a:schemeClr val="tx2"/>
                </a:solidFill>
              </a:defRPr>
            </a:pPr>
            <a:endParaRPr lang="en-US"/>
          </a:p>
        </c:rich>
      </c:tx>
      <c:layout>
        <c:manualLayout>
          <c:xMode val="edge"/>
          <c:yMode val="edge"/>
          <c:x val="0.39835535041880943"/>
          <c:y val="4.16576470643877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Surplus/deficit with higher cap</c:v>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LTFP'!$D$55:$N$55</c:f>
              <c:numCache>
                <c:formatCode>_-* #,##0_-;\-* #,##0_-;_-* "-"??_-;_-@_-</c:formatCode>
                <c:ptCount val="11"/>
                <c:pt idx="0">
                  <c:v>3513338</c:v>
                </c:pt>
                <c:pt idx="1">
                  <c:v>-5375264.3999999985</c:v>
                </c:pt>
                <c:pt idx="2">
                  <c:v>-5487833.0208000019</c:v>
                </c:pt>
                <c:pt idx="3">
                  <c:v>-5624612.7362267822</c:v>
                </c:pt>
                <c:pt idx="4">
                  <c:v>-5757044.0315447748</c:v>
                </c:pt>
                <c:pt idx="5">
                  <c:v>-5371390.2669851109</c:v>
                </c:pt>
                <c:pt idx="6">
                  <c:v>-5516141.8421321213</c:v>
                </c:pt>
                <c:pt idx="7">
                  <c:v>-5319930.8901081681</c:v>
                </c:pt>
                <c:pt idx="8">
                  <c:v>-4919559.0356722772</c:v>
                </c:pt>
                <c:pt idx="9">
                  <c:v>-5196151.7155142352</c:v>
                </c:pt>
                <c:pt idx="10">
                  <c:v>-5440885.2131521255</c:v>
                </c:pt>
              </c:numCache>
            </c:numRef>
          </c:val>
          <c:smooth val="0"/>
          <c:extLst>
            <c:ext xmlns:c16="http://schemas.microsoft.com/office/drawing/2014/chart" uri="{C3380CC4-5D6E-409C-BE32-E72D297353CC}">
              <c16:uniqueId val="{00000000-7D66-4C8F-B214-D3CB94B229CB}"/>
            </c:ext>
          </c:extLst>
        </c:ser>
        <c:ser>
          <c:idx val="1"/>
          <c:order val="1"/>
          <c:tx>
            <c:v>Surplus/deficit without higher cap</c:v>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LTFP'!$D$181:$N$181</c:f>
              <c:numCache>
                <c:formatCode>_-* #,##0_-;\-* #,##0_-;_-* "-"??_-;_-@_-</c:formatCode>
                <c:ptCount val="11"/>
                <c:pt idx="0">
                  <c:v>3513338</c:v>
                </c:pt>
                <c:pt idx="1">
                  <c:v>-5375263.9399999976</c:v>
                </c:pt>
                <c:pt idx="2">
                  <c:v>-5487832.5493000075</c:v>
                </c:pt>
                <c:pt idx="3">
                  <c:v>-5624612.2529392838</c:v>
                </c:pt>
                <c:pt idx="4">
                  <c:v>-5757043.5361750871</c:v>
                </c:pt>
                <c:pt idx="5">
                  <c:v>-5371389.75923118</c:v>
                </c:pt>
                <c:pt idx="6">
                  <c:v>-5516141.3216843456</c:v>
                </c:pt>
                <c:pt idx="7">
                  <c:v>-5319930.3566491902</c:v>
                </c:pt>
                <c:pt idx="8">
                  <c:v>-4919558.4888768345</c:v>
                </c:pt>
                <c:pt idx="9">
                  <c:v>-5196151.1550489068</c:v>
                </c:pt>
                <c:pt idx="10">
                  <c:v>-5440884.6386751607</c:v>
                </c:pt>
              </c:numCache>
            </c:numRef>
          </c:val>
          <c:smooth val="0"/>
          <c:extLst>
            <c:ext xmlns:c16="http://schemas.microsoft.com/office/drawing/2014/chart" uri="{C3380CC4-5D6E-409C-BE32-E72D297353CC}">
              <c16:uniqueId val="{00000001-7D66-4C8F-B214-D3CB94B229CB}"/>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n-US"/>
              <a:t>Total capped</a:t>
            </a:r>
            <a:r>
              <a:rPr lang="en-US" baseline="0"/>
              <a:t> rates	</a:t>
            </a:r>
            <a:endParaRPr lang="en-US"/>
          </a:p>
        </c:rich>
      </c:tx>
      <c:layout>
        <c:manualLayout>
          <c:xMode val="edge"/>
          <c:yMode val="edge"/>
          <c:x val="0.39835535041880943"/>
          <c:y val="4.16576470643877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Total capped rates with higher cap</c:v>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LTFP'!$D$10:$N$10</c:f>
              <c:numCache>
                <c:formatCode>_-* #,##0_-;\-* #,##0_-;_-* "-"??_-;_-@_-</c:formatCode>
                <c:ptCount val="11"/>
                <c:pt idx="0">
                  <c:v>16397806</c:v>
                </c:pt>
                <c:pt idx="1">
                  <c:v>17691364</c:v>
                </c:pt>
                <c:pt idx="2">
                  <c:v>18133648.099999998</c:v>
                </c:pt>
                <c:pt idx="3">
                  <c:v>18586989.302499995</c:v>
                </c:pt>
                <c:pt idx="4">
                  <c:v>19051664.035062496</c:v>
                </c:pt>
                <c:pt idx="5">
                  <c:v>19527955.635939054</c:v>
                </c:pt>
                <c:pt idx="6">
                  <c:v>20016154.526837531</c:v>
                </c:pt>
                <c:pt idx="7">
                  <c:v>20516558.390008468</c:v>
                </c:pt>
                <c:pt idx="8">
                  <c:v>21029472.349758677</c:v>
                </c:pt>
                <c:pt idx="9">
                  <c:v>21555209.158502642</c:v>
                </c:pt>
                <c:pt idx="10">
                  <c:v>22094089.387465205</c:v>
                </c:pt>
              </c:numCache>
            </c:numRef>
          </c:val>
          <c:smooth val="0"/>
          <c:extLst>
            <c:ext xmlns:c16="http://schemas.microsoft.com/office/drawing/2014/chart" uri="{C3380CC4-5D6E-409C-BE32-E72D297353CC}">
              <c16:uniqueId val="{00000000-0E31-4B5F-A59C-3A32EA593B86}"/>
            </c:ext>
          </c:extLst>
        </c:ser>
        <c:ser>
          <c:idx val="1"/>
          <c:order val="1"/>
          <c:tx>
            <c:v>Total capped rates without higher cap</c:v>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LTFP'!$D$136:$N$136</c:f>
              <c:numCache>
                <c:formatCode>_-* #,##0_-;\-* #,##0_-;_-* "-"??_-;_-@_-</c:formatCode>
                <c:ptCount val="11"/>
                <c:pt idx="0">
                  <c:v>16397806</c:v>
                </c:pt>
                <c:pt idx="1">
                  <c:v>16889740.18</c:v>
                </c:pt>
                <c:pt idx="2">
                  <c:v>17311983.684499998</c:v>
                </c:pt>
                <c:pt idx="3">
                  <c:v>17744783.276612498</c:v>
                </c:pt>
                <c:pt idx="4">
                  <c:v>18188402.858527809</c:v>
                </c:pt>
                <c:pt idx="5">
                  <c:v>18643112.929990999</c:v>
                </c:pt>
                <c:pt idx="6">
                  <c:v>19109190.753240775</c:v>
                </c:pt>
                <c:pt idx="7">
                  <c:v>19586920.522071794</c:v>
                </c:pt>
                <c:pt idx="8">
                  <c:v>20076593.535123587</c:v>
                </c:pt>
                <c:pt idx="9">
                  <c:v>20578508.373501673</c:v>
                </c:pt>
                <c:pt idx="10">
                  <c:v>21092971.082839213</c:v>
                </c:pt>
              </c:numCache>
            </c:numRef>
          </c:val>
          <c:smooth val="0"/>
          <c:extLst>
            <c:ext xmlns:c16="http://schemas.microsoft.com/office/drawing/2014/chart" uri="{C3380CC4-5D6E-409C-BE32-E72D297353CC}">
              <c16:uniqueId val="{00000001-0E31-4B5F-A59C-3A32EA593B86}"/>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n-US"/>
              <a:t>Total capital expenditure</a:t>
            </a:r>
            <a:r>
              <a:rPr lang="en-US" baseline="0"/>
              <a:t>	</a:t>
            </a:r>
            <a:endParaRPr lang="en-US"/>
          </a:p>
        </c:rich>
      </c:tx>
      <c:layout>
        <c:manualLayout>
          <c:xMode val="edge"/>
          <c:yMode val="edge"/>
          <c:x val="0.2330675366107316"/>
          <c:y val="4.6336050099000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Total capital expenditure with higher cap</c:v>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LTFP'!$D$120:$N$120</c:f>
              <c:numCache>
                <c:formatCode>_-* #,##0_-;\-* #,##0_-;_-* "-"??_-;_-@_-</c:formatCode>
                <c:ptCount val="11"/>
                <c:pt idx="0">
                  <c:v>14065446</c:v>
                </c:pt>
                <c:pt idx="1">
                  <c:v>9285756</c:v>
                </c:pt>
                <c:pt idx="2">
                  <c:v>8343601</c:v>
                </c:pt>
                <c:pt idx="3">
                  <c:v>8324757</c:v>
                </c:pt>
                <c:pt idx="4">
                  <c:v>8273009</c:v>
                </c:pt>
                <c:pt idx="5">
                  <c:v>8337763</c:v>
                </c:pt>
                <c:pt idx="6">
                  <c:v>8194763</c:v>
                </c:pt>
                <c:pt idx="7">
                  <c:v>8346345</c:v>
                </c:pt>
                <c:pt idx="8">
                  <c:v>8698872</c:v>
                </c:pt>
                <c:pt idx="9">
                  <c:v>8365662</c:v>
                </c:pt>
                <c:pt idx="10">
                  <c:v>8402797</c:v>
                </c:pt>
              </c:numCache>
            </c:numRef>
          </c:val>
          <c:smooth val="0"/>
          <c:extLst>
            <c:ext xmlns:c16="http://schemas.microsoft.com/office/drawing/2014/chart" uri="{C3380CC4-5D6E-409C-BE32-E72D297353CC}">
              <c16:uniqueId val="{00000000-A21C-43AA-805E-E33F7A722929}"/>
            </c:ext>
          </c:extLst>
        </c:ser>
        <c:ser>
          <c:idx val="1"/>
          <c:order val="1"/>
          <c:tx>
            <c:v>Total capital expenditure without higher cap</c:v>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'2. LTFP'!$D$246:$N$246</c:f>
              <c:numCache>
                <c:formatCode>_-* #,##0_-;\-* #,##0_-;_-* "-"??_-;_-@_-</c:formatCode>
                <c:ptCount val="11"/>
                <c:pt idx="0">
                  <c:v>14065446</c:v>
                </c:pt>
                <c:pt idx="1">
                  <c:v>9285756</c:v>
                </c:pt>
                <c:pt idx="2">
                  <c:v>8343601</c:v>
                </c:pt>
                <c:pt idx="3">
                  <c:v>8324757</c:v>
                </c:pt>
                <c:pt idx="4">
                  <c:v>8273009</c:v>
                </c:pt>
                <c:pt idx="5">
                  <c:v>8337763</c:v>
                </c:pt>
                <c:pt idx="6">
                  <c:v>8194763</c:v>
                </c:pt>
                <c:pt idx="7">
                  <c:v>8346345</c:v>
                </c:pt>
                <c:pt idx="8">
                  <c:v>8698872</c:v>
                </c:pt>
                <c:pt idx="9">
                  <c:v>8365662</c:v>
                </c:pt>
                <c:pt idx="10">
                  <c:v>8402797</c:v>
                </c:pt>
              </c:numCache>
            </c:numRef>
          </c:val>
          <c:smooth val="0"/>
          <c:extLst>
            <c:ext xmlns:c16="http://schemas.microsoft.com/office/drawing/2014/chart" uri="{C3380CC4-5D6E-409C-BE32-E72D297353CC}">
              <c16:uniqueId val="{00000001-A21C-43AA-805E-E33F7A722929}"/>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indicators'!$B$11</c:f>
          <c:strCache>
            <c:ptCount val="1"/>
            <c:pt idx="0">
              <c:v>Operating surplus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indicators'!$B$11:$C$11</c:f>
              <c:strCache>
                <c:ptCount val="2"/>
                <c:pt idx="0">
                  <c:v>Operating surplus</c:v>
                </c:pt>
                <c:pt idx="1">
                  <c:v>with higher cap</c:v>
                </c:pt>
              </c:strCache>
            </c:strRef>
          </c:tx>
          <c:spPr>
            <a:ln w="28575" cap="rnd">
              <a:solidFill>
                <a:schemeClr val="accent1"/>
              </a:solidFill>
              <a:round/>
            </a:ln>
            <a:effectLst/>
          </c:spPr>
          <c:marker>
            <c:symbol val="none"/>
          </c:marker>
          <c:cat>
            <c:strRef>
              <c:f>'5. Financial indicators'!$D$17:$N$17</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indicators'!$D$11:$N$11</c:f>
              <c:numCache>
                <c:formatCode>0.0%</c:formatCode>
                <c:ptCount val="11"/>
                <c:pt idx="0">
                  <c:v>7.5664184389381051E-2</c:v>
                </c:pt>
                <c:pt idx="1">
                  <c:v>-0.13307611637276459</c:v>
                </c:pt>
                <c:pt idx="2">
                  <c:v>-0.1377341925630966</c:v>
                </c:pt>
                <c:pt idx="3">
                  <c:v>-0.13901776958046685</c:v>
                </c:pt>
                <c:pt idx="4">
                  <c:v>-0.1397103128392706</c:v>
                </c:pt>
                <c:pt idx="5">
                  <c:v>-0.12689683507192492</c:v>
                </c:pt>
                <c:pt idx="6">
                  <c:v>-0.12847875442706735</c:v>
                </c:pt>
                <c:pt idx="7">
                  <c:v>-0.12119661474460597</c:v>
                </c:pt>
                <c:pt idx="8">
                  <c:v>-0.10913983598343503</c:v>
                </c:pt>
                <c:pt idx="9">
                  <c:v>-0.11397044716885883</c:v>
                </c:pt>
                <c:pt idx="10">
                  <c:v>-0.11675535264610426</c:v>
                </c:pt>
              </c:numCache>
            </c:numRef>
          </c:val>
          <c:smooth val="0"/>
          <c:extLst>
            <c:ext xmlns:c16="http://schemas.microsoft.com/office/drawing/2014/chart" uri="{C3380CC4-5D6E-409C-BE32-E72D297353CC}">
              <c16:uniqueId val="{00000000-6A17-4A54-A392-64056E0230DC}"/>
            </c:ext>
          </c:extLst>
        </c:ser>
        <c:ser>
          <c:idx val="1"/>
          <c:order val="1"/>
          <c:tx>
            <c:strRef>
              <c:f>'5. Financial indicators'!$B$12:$C$12</c:f>
              <c:strCache>
                <c:ptCount val="2"/>
                <c:pt idx="0">
                  <c:v>Operating surplus</c:v>
                </c:pt>
                <c:pt idx="1">
                  <c:v>without higher cap</c:v>
                </c:pt>
              </c:strCache>
            </c:strRef>
          </c:tx>
          <c:spPr>
            <a:ln w="28575" cap="rnd">
              <a:solidFill>
                <a:schemeClr val="accent2"/>
              </a:solidFill>
              <a:round/>
            </a:ln>
            <a:effectLst/>
          </c:spPr>
          <c:marker>
            <c:symbol val="none"/>
          </c:marker>
          <c:cat>
            <c:strRef>
              <c:f>'5. Financial indicators'!$D$17:$N$17</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indicators'!$D$12:$N$12</c:f>
              <c:numCache>
                <c:formatCode>0.0%</c:formatCode>
                <c:ptCount val="11"/>
                <c:pt idx="0">
                  <c:v>7.5664184389381051E-2</c:v>
                </c:pt>
                <c:pt idx="1">
                  <c:v>-0.13307610346897716</c:v>
                </c:pt>
                <c:pt idx="2">
                  <c:v>-0.13773417909942914</c:v>
                </c:pt>
                <c:pt idx="3">
                  <c:v>-0.13901775597499069</c:v>
                </c:pt>
                <c:pt idx="4">
                  <c:v>-0.13971029913825328</c:v>
                </c:pt>
                <c:pt idx="5">
                  <c:v>-0.12689682155426454</c:v>
                </c:pt>
                <c:pt idx="6">
                  <c:v>-0.12847874074768681</c:v>
                </c:pt>
                <c:pt idx="7">
                  <c:v>-0.12119660111864</c:v>
                </c:pt>
                <c:pt idx="8">
                  <c:v>-0.10913982252891205</c:v>
                </c:pt>
                <c:pt idx="9">
                  <c:v>-0.11397043347477932</c:v>
                </c:pt>
                <c:pt idx="10">
                  <c:v>-0.11675533887914927</c:v>
                </c:pt>
              </c:numCache>
            </c:numRef>
          </c:val>
          <c:smooth val="0"/>
          <c:extLst>
            <c:ext xmlns:c16="http://schemas.microsoft.com/office/drawing/2014/chart" uri="{C3380CC4-5D6E-409C-BE32-E72D297353CC}">
              <c16:uniqueId val="{00000001-6A17-4A54-A392-64056E0230DC}"/>
            </c:ext>
          </c:extLst>
        </c:ser>
        <c:dLbls>
          <c:showLegendKey val="0"/>
          <c:showVal val="0"/>
          <c:showCatName val="0"/>
          <c:showSerName val="0"/>
          <c:showPercent val="0"/>
          <c:showBubbleSize val="0"/>
        </c:dLbls>
        <c:smooth val="0"/>
        <c:axId val="1487832639"/>
        <c:axId val="490933488"/>
      </c:lineChart>
      <c:catAx>
        <c:axId val="1487832639"/>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0933488"/>
        <c:crosses val="autoZero"/>
        <c:auto val="1"/>
        <c:lblAlgn val="ctr"/>
        <c:lblOffset val="100"/>
        <c:noMultiLvlLbl val="0"/>
      </c:catAx>
      <c:valAx>
        <c:axId val="49093348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4878326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indicators'!$B$7</c:f>
          <c:strCache>
            <c:ptCount val="1"/>
            <c:pt idx="0">
              <c:v>Adjusted underlying result</c:v>
            </c:pt>
          </c:strCache>
        </c:strRef>
      </c:tx>
      <c:layout>
        <c:manualLayout>
          <c:xMode val="edge"/>
          <c:yMode val="edge"/>
          <c:x val="0.24420122484689413"/>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indicators'!$B$7:$C$7</c:f>
              <c:strCache>
                <c:ptCount val="2"/>
                <c:pt idx="0">
                  <c:v>Adjusted underlying result</c:v>
                </c:pt>
                <c:pt idx="1">
                  <c:v>with higher cap</c:v>
                </c:pt>
              </c:strCache>
            </c:strRef>
          </c:tx>
          <c:spPr>
            <a:ln w="28575" cap="rnd">
              <a:solidFill>
                <a:schemeClr val="accent1"/>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indicators'!$D$7:$N$7</c:f>
              <c:numCache>
                <c:formatCode>0.0%</c:formatCode>
                <c:ptCount val="11"/>
                <c:pt idx="0">
                  <c:v>-0.17274947157237389</c:v>
                </c:pt>
                <c:pt idx="1">
                  <c:v>-0.19425577253893855</c:v>
                </c:pt>
                <c:pt idx="2">
                  <c:v>-0.18995942665199064</c:v>
                </c:pt>
                <c:pt idx="3">
                  <c:v>-0.18310231969472587</c:v>
                </c:pt>
                <c:pt idx="4">
                  <c:v>-0.17794709021954064</c:v>
                </c:pt>
                <c:pt idx="5">
                  <c:v>-0.16937457305137998</c:v>
                </c:pt>
                <c:pt idx="6">
                  <c:v>-0.16288689509445786</c:v>
                </c:pt>
                <c:pt idx="7">
                  <c:v>-0.15526910950322545</c:v>
                </c:pt>
                <c:pt idx="8">
                  <c:v>-0.14775681888397585</c:v>
                </c:pt>
                <c:pt idx="9">
                  <c:v>-0.14022008723628826</c:v>
                </c:pt>
                <c:pt idx="10">
                  <c:v>-0.13998526861400828</c:v>
                </c:pt>
              </c:numCache>
            </c:numRef>
          </c:val>
          <c:smooth val="0"/>
          <c:extLst>
            <c:ext xmlns:c16="http://schemas.microsoft.com/office/drawing/2014/chart" uri="{C3380CC4-5D6E-409C-BE32-E72D297353CC}">
              <c16:uniqueId val="{00000000-693A-4A27-A67C-EF2C7562425F}"/>
            </c:ext>
          </c:extLst>
        </c:ser>
        <c:ser>
          <c:idx val="1"/>
          <c:order val="1"/>
          <c:tx>
            <c:strRef>
              <c:f>'5. Financial indicators'!$B$8:$C$8</c:f>
              <c:strCache>
                <c:ptCount val="2"/>
                <c:pt idx="0">
                  <c:v>Adjusted underlying result</c:v>
                </c:pt>
                <c:pt idx="1">
                  <c:v>without higher cap</c:v>
                </c:pt>
              </c:strCache>
            </c:strRef>
          </c:tx>
          <c:spPr>
            <a:ln w="28575" cap="rnd">
              <a:solidFill>
                <a:schemeClr val="accent2"/>
              </a:solidFill>
              <a:round/>
            </a:ln>
            <a:effectLst/>
          </c:spPr>
          <c:marker>
            <c:symbol val="none"/>
          </c:marker>
          <c:cat>
            <c:strRef>
              <c:f>'5. Financial indicators'!$D$6:$N$6</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indicators'!$D$8:$N$8</c:f>
              <c:numCache>
                <c:formatCode>0.0%</c:formatCode>
                <c:ptCount val="11"/>
                <c:pt idx="0">
                  <c:v>-0.17274947157237389</c:v>
                </c:pt>
                <c:pt idx="1">
                  <c:v>-0.1942557582040696</c:v>
                </c:pt>
                <c:pt idx="2">
                  <c:v>-0.18995941192391308</c:v>
                </c:pt>
                <c:pt idx="3">
                  <c:v>-0.18310230501569588</c:v>
                </c:pt>
                <c:pt idx="4">
                  <c:v>-0.1779470755837757</c:v>
                </c:pt>
                <c:pt idx="5">
                  <c:v>-0.16937455849543165</c:v>
                </c:pt>
                <c:pt idx="6">
                  <c:v>-0.16288688056817124</c:v>
                </c:pt>
                <c:pt idx="7">
                  <c:v>-0.15526909503650577</c:v>
                </c:pt>
                <c:pt idx="8">
                  <c:v>-0.1477568044762492</c:v>
                </c:pt>
                <c:pt idx="9">
                  <c:v>-0.14022007288922936</c:v>
                </c:pt>
                <c:pt idx="10">
                  <c:v>-0.13998525426835648</c:v>
                </c:pt>
              </c:numCache>
            </c:numRef>
          </c:val>
          <c:smooth val="0"/>
          <c:extLst>
            <c:ext xmlns:c16="http://schemas.microsoft.com/office/drawing/2014/chart" uri="{C3380CC4-5D6E-409C-BE32-E72D297353CC}">
              <c16:uniqueId val="{00000001-693A-4A27-A67C-EF2C7562425F}"/>
            </c:ext>
          </c:extLst>
        </c:ser>
        <c:dLbls>
          <c:showLegendKey val="0"/>
          <c:showVal val="0"/>
          <c:showCatName val="0"/>
          <c:showSerName val="0"/>
          <c:showPercent val="0"/>
          <c:showBubbleSize val="0"/>
        </c:dLbls>
        <c:smooth val="0"/>
        <c:axId val="1474415391"/>
        <c:axId val="1474417311"/>
      </c:lineChart>
      <c:catAx>
        <c:axId val="147441539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4417311"/>
        <c:crosses val="autoZero"/>
        <c:auto val="1"/>
        <c:lblAlgn val="ctr"/>
        <c:lblOffset val="100"/>
        <c:noMultiLvlLbl val="0"/>
      </c:catAx>
      <c:valAx>
        <c:axId val="147441731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74415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indicators'!$B$29</c:f>
          <c:strCache>
            <c:ptCount val="1"/>
            <c:pt idx="0">
              <c:v>Asset renewal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indicators'!$B$29:$C$29</c:f>
              <c:strCache>
                <c:ptCount val="2"/>
                <c:pt idx="0">
                  <c:v>Asset renewal</c:v>
                </c:pt>
                <c:pt idx="1">
                  <c:v>with higher cap</c:v>
                </c:pt>
              </c:strCache>
            </c:strRef>
          </c:tx>
          <c:spPr>
            <a:ln w="28575" cap="rnd">
              <a:solidFill>
                <a:schemeClr val="accent1"/>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indicators'!$D$29:$N$29</c:f>
              <c:numCache>
                <c:formatCode>0.0%</c:formatCode>
                <c:ptCount val="11"/>
                <c:pt idx="0">
                  <c:v>0.91429390074986183</c:v>
                </c:pt>
                <c:pt idx="1">
                  <c:v>0.65086947489254254</c:v>
                </c:pt>
                <c:pt idx="2">
                  <c:v>0.58209372813126059</c:v>
                </c:pt>
                <c:pt idx="3">
                  <c:v>0.63597938246068664</c:v>
                </c:pt>
                <c:pt idx="4">
                  <c:v>0.62327479494928451</c:v>
                </c:pt>
                <c:pt idx="5">
                  <c:v>0.59860887771919891</c:v>
                </c:pt>
                <c:pt idx="6">
                  <c:v>0.6159637007835469</c:v>
                </c:pt>
                <c:pt idx="7">
                  <c:v>0.62098138721989216</c:v>
                </c:pt>
                <c:pt idx="8">
                  <c:v>0.62001723038298395</c:v>
                </c:pt>
                <c:pt idx="9">
                  <c:v>0.65151302038865244</c:v>
                </c:pt>
                <c:pt idx="10">
                  <c:v>0.6552714004158936</c:v>
                </c:pt>
              </c:numCache>
            </c:numRef>
          </c:val>
          <c:smooth val="0"/>
          <c:extLst>
            <c:ext xmlns:c16="http://schemas.microsoft.com/office/drawing/2014/chart" uri="{C3380CC4-5D6E-409C-BE32-E72D297353CC}">
              <c16:uniqueId val="{00000000-B67A-4E66-916C-092AFFD292BB}"/>
            </c:ext>
          </c:extLst>
        </c:ser>
        <c:ser>
          <c:idx val="1"/>
          <c:order val="1"/>
          <c:tx>
            <c:strRef>
              <c:f>'5. Financial indicators'!$B$30:$C$30</c:f>
              <c:strCache>
                <c:ptCount val="2"/>
                <c:pt idx="0">
                  <c:v>Asset renewal</c:v>
                </c:pt>
                <c:pt idx="1">
                  <c:v>without higher cap</c:v>
                </c:pt>
              </c:strCache>
            </c:strRef>
          </c:tx>
          <c:spPr>
            <a:ln w="28575" cap="rnd">
              <a:solidFill>
                <a:schemeClr val="accent2"/>
              </a:solidFill>
              <a:round/>
            </a:ln>
            <a:effectLst/>
          </c:spPr>
          <c:marker>
            <c:symbol val="none"/>
          </c:marker>
          <c:cat>
            <c:strRef>
              <c:f>'5. Financial indicators'!$D$28:$N$28</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indicators'!$D$30:$N$30</c:f>
              <c:numCache>
                <c:formatCode>0.0%</c:formatCode>
                <c:ptCount val="11"/>
                <c:pt idx="0">
                  <c:v>0.91429390074986183</c:v>
                </c:pt>
                <c:pt idx="1">
                  <c:v>0.65086947489254254</c:v>
                </c:pt>
                <c:pt idx="2">
                  <c:v>0.58209372813126059</c:v>
                </c:pt>
                <c:pt idx="3">
                  <c:v>0.63597938246068664</c:v>
                </c:pt>
                <c:pt idx="4">
                  <c:v>0.62327479494928451</c:v>
                </c:pt>
                <c:pt idx="5">
                  <c:v>0.59860887771919891</c:v>
                </c:pt>
                <c:pt idx="6">
                  <c:v>0.6159637007835469</c:v>
                </c:pt>
                <c:pt idx="7">
                  <c:v>0.62098138721989216</c:v>
                </c:pt>
                <c:pt idx="8">
                  <c:v>0.62001723038298395</c:v>
                </c:pt>
                <c:pt idx="9">
                  <c:v>0.65151302038865244</c:v>
                </c:pt>
                <c:pt idx="10">
                  <c:v>0.6552714004158936</c:v>
                </c:pt>
              </c:numCache>
            </c:numRef>
          </c:val>
          <c:smooth val="0"/>
          <c:extLst>
            <c:ext xmlns:c16="http://schemas.microsoft.com/office/drawing/2014/chart" uri="{C3380CC4-5D6E-409C-BE32-E72D297353CC}">
              <c16:uniqueId val="{00000001-B67A-4E66-916C-092AFFD292BB}"/>
            </c:ext>
          </c:extLst>
        </c:ser>
        <c:dLbls>
          <c:showLegendKey val="0"/>
          <c:showVal val="0"/>
          <c:showCatName val="0"/>
          <c:showSerName val="0"/>
          <c:showPercent val="0"/>
          <c:showBubbleSize val="0"/>
        </c:dLbls>
        <c:smooth val="0"/>
        <c:axId val="770303024"/>
        <c:axId val="1021322304"/>
      </c:lineChart>
      <c:catAx>
        <c:axId val="770303024"/>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1322304"/>
        <c:crosses val="autoZero"/>
        <c:auto val="1"/>
        <c:lblAlgn val="ctr"/>
        <c:lblOffset val="100"/>
        <c:noMultiLvlLbl val="0"/>
      </c:catAx>
      <c:valAx>
        <c:axId val="102132230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770303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Financial indicators'!$B$18</c:f>
          <c:strCache>
            <c:ptCount val="1"/>
            <c:pt idx="0">
              <c:v>Working capital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'5. Financial indicators'!$B$18:$C$18</c:f>
              <c:strCache>
                <c:ptCount val="2"/>
                <c:pt idx="0">
                  <c:v>Working capital</c:v>
                </c:pt>
                <c:pt idx="1">
                  <c:v>with higher cap</c:v>
                </c:pt>
              </c:strCache>
            </c:strRef>
          </c:tx>
          <c:spPr>
            <a:ln w="28575" cap="rnd">
              <a:solidFill>
                <a:schemeClr val="accent1"/>
              </a:solidFill>
              <a:round/>
            </a:ln>
            <a:effectLst/>
          </c:spPr>
          <c:marker>
            <c:symbol val="none"/>
          </c:marker>
          <c:cat>
            <c:strRef>
              <c:f>'5. Financial indicators'!$D$17:$N$17</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indicators'!$D$18:$N$18</c:f>
              <c:numCache>
                <c:formatCode>0.0%</c:formatCode>
                <c:ptCount val="11"/>
                <c:pt idx="0">
                  <c:v>0.98947604417374213</c:v>
                </c:pt>
                <c:pt idx="1">
                  <c:v>1.3469322852247247</c:v>
                </c:pt>
                <c:pt idx="2">
                  <c:v>1.3555959285479044</c:v>
                </c:pt>
                <c:pt idx="3">
                  <c:v>1.3637360342562972</c:v>
                </c:pt>
                <c:pt idx="4">
                  <c:v>1.3776151206784168</c:v>
                </c:pt>
                <c:pt idx="5">
                  <c:v>1.389874178906809</c:v>
                </c:pt>
                <c:pt idx="6">
                  <c:v>1.4022381271704776</c:v>
                </c:pt>
                <c:pt idx="7">
                  <c:v>1.4334053879498359</c:v>
                </c:pt>
                <c:pt idx="8">
                  <c:v>1.4496413967255961</c:v>
                </c:pt>
                <c:pt idx="9">
                  <c:v>1.4820057614236402</c:v>
                </c:pt>
                <c:pt idx="10">
                  <c:v>1.4975151834959817</c:v>
                </c:pt>
              </c:numCache>
            </c:numRef>
          </c:val>
          <c:smooth val="0"/>
          <c:extLst>
            <c:ext xmlns:c16="http://schemas.microsoft.com/office/drawing/2014/chart" uri="{C3380CC4-5D6E-409C-BE32-E72D297353CC}">
              <c16:uniqueId val="{00000000-06E7-4917-ACF6-81BFB616AEFE}"/>
            </c:ext>
          </c:extLst>
        </c:ser>
        <c:ser>
          <c:idx val="1"/>
          <c:order val="1"/>
          <c:tx>
            <c:strRef>
              <c:f>'5. Financial indicators'!$B$19:$C$19</c:f>
              <c:strCache>
                <c:ptCount val="2"/>
                <c:pt idx="0">
                  <c:v>Working capital</c:v>
                </c:pt>
                <c:pt idx="1">
                  <c:v>without higher cap</c:v>
                </c:pt>
              </c:strCache>
            </c:strRef>
          </c:tx>
          <c:spPr>
            <a:ln w="28575" cap="rnd">
              <a:solidFill>
                <a:schemeClr val="accent2"/>
              </a:solidFill>
              <a:round/>
            </a:ln>
            <a:effectLst/>
          </c:spPr>
          <c:marker>
            <c:symbol val="none"/>
          </c:marker>
          <c:cat>
            <c:strRef>
              <c:f>'5. Financial indicators'!$D$17:$N$17</c:f>
              <c:strCache>
                <c:ptCount val="11"/>
                <c:pt idx="0">
                  <c:v>2024-25</c:v>
                </c:pt>
                <c:pt idx="1">
                  <c:v>2025-26</c:v>
                </c:pt>
                <c:pt idx="2">
                  <c:v>2026-27</c:v>
                </c:pt>
                <c:pt idx="3">
                  <c:v>2027-28</c:v>
                </c:pt>
                <c:pt idx="4">
                  <c:v>2028-29</c:v>
                </c:pt>
                <c:pt idx="5">
                  <c:v>2029-30</c:v>
                </c:pt>
                <c:pt idx="6">
                  <c:v>2030-31</c:v>
                </c:pt>
                <c:pt idx="7">
                  <c:v>2031-32</c:v>
                </c:pt>
                <c:pt idx="8">
                  <c:v>2032-33</c:v>
                </c:pt>
                <c:pt idx="9">
                  <c:v>2033-34</c:v>
                </c:pt>
                <c:pt idx="10">
                  <c:v>2034-35</c:v>
                </c:pt>
              </c:strCache>
            </c:strRef>
          </c:cat>
          <c:val>
            <c:numRef>
              <c:f>'5. Financial indicators'!$D$19:$N$19</c:f>
              <c:numCache>
                <c:formatCode>0.0%</c:formatCode>
                <c:ptCount val="11"/>
                <c:pt idx="0">
                  <c:v>0.98947604417374213</c:v>
                </c:pt>
                <c:pt idx="1">
                  <c:v>1.3469322852247247</c:v>
                </c:pt>
                <c:pt idx="2">
                  <c:v>1.3555959285479044</c:v>
                </c:pt>
                <c:pt idx="3">
                  <c:v>1.3637360342562972</c:v>
                </c:pt>
                <c:pt idx="4">
                  <c:v>1.3776151206784168</c:v>
                </c:pt>
                <c:pt idx="5">
                  <c:v>1.389874178906809</c:v>
                </c:pt>
                <c:pt idx="6">
                  <c:v>1.4022381271704776</c:v>
                </c:pt>
                <c:pt idx="7">
                  <c:v>1.4334053879498359</c:v>
                </c:pt>
                <c:pt idx="8">
                  <c:v>1.4496413967255961</c:v>
                </c:pt>
                <c:pt idx="9">
                  <c:v>1.4820057614236402</c:v>
                </c:pt>
                <c:pt idx="10">
                  <c:v>1.4975151834959817</c:v>
                </c:pt>
              </c:numCache>
            </c:numRef>
          </c:val>
          <c:smooth val="0"/>
          <c:extLst>
            <c:ext xmlns:c16="http://schemas.microsoft.com/office/drawing/2014/chart" uri="{C3380CC4-5D6E-409C-BE32-E72D297353CC}">
              <c16:uniqueId val="{00000001-06E7-4917-ACF6-81BFB616AEFE}"/>
            </c:ext>
          </c:extLst>
        </c:ser>
        <c:dLbls>
          <c:showLegendKey val="0"/>
          <c:showVal val="0"/>
          <c:showCatName val="0"/>
          <c:showSerName val="0"/>
          <c:showPercent val="0"/>
          <c:showBubbleSize val="0"/>
        </c:dLbls>
        <c:smooth val="0"/>
        <c:axId val="489930192"/>
        <c:axId val="489930672"/>
      </c:lineChart>
      <c:catAx>
        <c:axId val="489930192"/>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930672"/>
        <c:crosses val="autoZero"/>
        <c:auto val="1"/>
        <c:lblAlgn val="ctr"/>
        <c:lblOffset val="100"/>
        <c:noMultiLvlLbl val="0"/>
      </c:catAx>
      <c:valAx>
        <c:axId val="48993067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89930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Supp_waste - detailed'!A1"/><Relationship Id="rId3" Type="http://schemas.openxmlformats.org/officeDocument/2006/relationships/hyperlink" Target="#'3. Service impacts'!A1"/><Relationship Id="rId7" Type="http://schemas.openxmlformats.org/officeDocument/2006/relationships/hyperlink" Target="#'7. Charts'!A1"/><Relationship Id="rId2" Type="http://schemas.openxmlformats.org/officeDocument/2006/relationships/hyperlink" Target="#'2. LTFP'!A1"/><Relationship Id="rId1" Type="http://schemas.openxmlformats.org/officeDocument/2006/relationships/hyperlink" Target="#'1. Coversheet and instructions'!A1"/><Relationship Id="rId6" Type="http://schemas.openxmlformats.org/officeDocument/2006/relationships/hyperlink" Target="#'6. Summary'!A1"/><Relationship Id="rId5" Type="http://schemas.openxmlformats.org/officeDocument/2006/relationships/hyperlink" Target="#'5. Financial indicators'!A1"/><Relationship Id="rId4" Type="http://schemas.openxmlformats.org/officeDocument/2006/relationships/hyperlink" Target="#'4. Higher cap calculation'!A1"/><Relationship Id="rId9" Type="http://schemas.openxmlformats.org/officeDocument/2006/relationships/hyperlink" Target="#'Supp_waste - Long term'!A1"/></Relationships>
</file>

<file path=xl/drawings/_rels/drawing2.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3.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4.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5.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6.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2.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hyperlink" Target="#'1. Coversheet and instruction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1" Type="http://schemas.openxmlformats.org/officeDocument/2006/relationships/hyperlink" Target="#'1. Coversheet and instructions'!A1"/></Relationships>
</file>

<file path=xl/drawings/_rels/drawing9.xml.rels><?xml version="1.0" encoding="UTF-8" standalone="yes"?>
<Relationships xmlns="http://schemas.openxmlformats.org/package/2006/relationships"><Relationship Id="rId3" Type="http://schemas.openxmlformats.org/officeDocument/2006/relationships/hyperlink" Target="#'1. Coversheet and instructions'!A1"/><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1</xdr:col>
      <xdr:colOff>111125</xdr:colOff>
      <xdr:row>37</xdr:row>
      <xdr:rowOff>26458</xdr:rowOff>
    </xdr:from>
    <xdr:to>
      <xdr:col>1</xdr:col>
      <xdr:colOff>1428750</xdr:colOff>
      <xdr:row>40</xdr:row>
      <xdr:rowOff>10583</xdr:rowOff>
    </xdr:to>
    <xdr:sp macro="" textlink="">
      <xdr:nvSpPr>
        <xdr:cNvPr id="742" name="Rectangle: Rounded Corners 1">
          <a:hlinkClick xmlns:r="http://schemas.openxmlformats.org/officeDocument/2006/relationships" r:id="rId1"/>
          <a:extLst>
            <a:ext uri="{FF2B5EF4-FFF2-40B4-BE49-F238E27FC236}">
              <a16:creationId xmlns:a16="http://schemas.microsoft.com/office/drawing/2014/main" id="{2DD8A724-2F3D-2B45-CE4C-698A141B55AC}"/>
            </a:ext>
          </a:extLst>
        </xdr:cNvPr>
        <xdr:cNvSpPr/>
      </xdr:nvSpPr>
      <xdr:spPr>
        <a:xfrm>
          <a:off x="862542" y="6355291"/>
          <a:ext cx="1317625" cy="534459"/>
        </a:xfrm>
        <a:prstGeom prst="roundRect">
          <a:avLst/>
        </a:prstGeom>
        <a:solidFill>
          <a:schemeClr val="accent5"/>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Coversheet</a:t>
          </a:r>
          <a:r>
            <a:rPr lang="en-AU" sz="1100" baseline="0"/>
            <a:t> and instructions</a:t>
          </a:r>
          <a:endParaRPr lang="en-AU" sz="1100"/>
        </a:p>
      </xdr:txBody>
    </xdr:sp>
    <xdr:clientData/>
  </xdr:twoCellAnchor>
  <xdr:twoCellAnchor>
    <xdr:from>
      <xdr:col>2</xdr:col>
      <xdr:colOff>770467</xdr:colOff>
      <xdr:row>37</xdr:row>
      <xdr:rowOff>22226</xdr:rowOff>
    </xdr:from>
    <xdr:to>
      <xdr:col>2</xdr:col>
      <xdr:colOff>2088092</xdr:colOff>
      <xdr:row>40</xdr:row>
      <xdr:rowOff>15876</xdr:rowOff>
    </xdr:to>
    <xdr:sp macro="" textlink="">
      <xdr:nvSpPr>
        <xdr:cNvPr id="741" name="Rectangle: Rounded Corners 2">
          <a:hlinkClick xmlns:r="http://schemas.openxmlformats.org/officeDocument/2006/relationships" r:id="rId2"/>
          <a:extLst>
            <a:ext uri="{FF2B5EF4-FFF2-40B4-BE49-F238E27FC236}">
              <a16:creationId xmlns:a16="http://schemas.microsoft.com/office/drawing/2014/main" id="{E3496AD2-8604-4715-BADE-F69652439A28}"/>
            </a:ext>
          </a:extLst>
        </xdr:cNvPr>
        <xdr:cNvSpPr/>
      </xdr:nvSpPr>
      <xdr:spPr>
        <a:xfrm>
          <a:off x="2971800" y="6351059"/>
          <a:ext cx="1317625" cy="543984"/>
        </a:xfrm>
        <a:prstGeom prst="roundRect">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LTFP</a:t>
          </a:r>
        </a:p>
      </xdr:txBody>
    </xdr:sp>
    <xdr:clientData/>
  </xdr:twoCellAnchor>
  <xdr:twoCellAnchor>
    <xdr:from>
      <xdr:col>2</xdr:col>
      <xdr:colOff>752474</xdr:colOff>
      <xdr:row>42</xdr:row>
      <xdr:rowOff>36589</xdr:rowOff>
    </xdr:from>
    <xdr:to>
      <xdr:col>2</xdr:col>
      <xdr:colOff>2069041</xdr:colOff>
      <xdr:row>45</xdr:row>
      <xdr:rowOff>37647</xdr:rowOff>
    </xdr:to>
    <xdr:sp macro="" textlink="">
      <xdr:nvSpPr>
        <xdr:cNvPr id="775" name="Rectangle: Rounded Corners 3">
          <a:hlinkClick xmlns:r="http://schemas.openxmlformats.org/officeDocument/2006/relationships" r:id="rId3"/>
          <a:extLst>
            <a:ext uri="{FF2B5EF4-FFF2-40B4-BE49-F238E27FC236}">
              <a16:creationId xmlns:a16="http://schemas.microsoft.com/office/drawing/2014/main" id="{B7D7CAD5-BA05-4820-BAA3-9833E87B1E86}"/>
            </a:ext>
          </a:extLst>
        </xdr:cNvPr>
        <xdr:cNvSpPr/>
      </xdr:nvSpPr>
      <xdr:spPr>
        <a:xfrm>
          <a:off x="2943224" y="8051196"/>
          <a:ext cx="1316567" cy="531737"/>
        </a:xfrm>
        <a:prstGeom prst="roundRect">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Service impacts</a:t>
          </a:r>
        </a:p>
      </xdr:txBody>
    </xdr:sp>
    <xdr:clientData/>
  </xdr:twoCellAnchor>
  <xdr:twoCellAnchor>
    <xdr:from>
      <xdr:col>2</xdr:col>
      <xdr:colOff>2921000</xdr:colOff>
      <xdr:row>42</xdr:row>
      <xdr:rowOff>24342</xdr:rowOff>
    </xdr:from>
    <xdr:to>
      <xdr:col>3</xdr:col>
      <xdr:colOff>1073607</xdr:colOff>
      <xdr:row>45</xdr:row>
      <xdr:rowOff>12063</xdr:rowOff>
    </xdr:to>
    <xdr:sp macro="" textlink="">
      <xdr:nvSpPr>
        <xdr:cNvPr id="549" name="Rectangle: Rounded Corners 4">
          <a:hlinkClick xmlns:r="http://schemas.openxmlformats.org/officeDocument/2006/relationships" r:id="rId4"/>
          <a:extLst>
            <a:ext uri="{FF2B5EF4-FFF2-40B4-BE49-F238E27FC236}">
              <a16:creationId xmlns:a16="http://schemas.microsoft.com/office/drawing/2014/main" id="{9DA303D5-2343-4B63-8217-3056809AB1C5}"/>
            </a:ext>
          </a:extLst>
        </xdr:cNvPr>
        <xdr:cNvSpPr/>
      </xdr:nvSpPr>
      <xdr:spPr>
        <a:xfrm>
          <a:off x="5116286" y="8796413"/>
          <a:ext cx="1314000" cy="518400"/>
        </a:xfrm>
        <a:prstGeom prst="roundRect">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Higher cap calculation</a:t>
          </a:r>
        </a:p>
      </xdr:txBody>
    </xdr:sp>
    <xdr:clientData/>
  </xdr:twoCellAnchor>
  <xdr:twoCellAnchor>
    <xdr:from>
      <xdr:col>2</xdr:col>
      <xdr:colOff>2918890</xdr:colOff>
      <xdr:row>37</xdr:row>
      <xdr:rowOff>31750</xdr:rowOff>
    </xdr:from>
    <xdr:to>
      <xdr:col>3</xdr:col>
      <xdr:colOff>1071040</xdr:colOff>
      <xdr:row>40</xdr:row>
      <xdr:rowOff>20108</xdr:rowOff>
    </xdr:to>
    <xdr:sp macro="" textlink="">
      <xdr:nvSpPr>
        <xdr:cNvPr id="548" name="Rectangle: Rounded Corners 5">
          <a:hlinkClick xmlns:r="http://schemas.openxmlformats.org/officeDocument/2006/relationships" r:id="rId5"/>
          <a:extLst>
            <a:ext uri="{FF2B5EF4-FFF2-40B4-BE49-F238E27FC236}">
              <a16:creationId xmlns:a16="http://schemas.microsoft.com/office/drawing/2014/main" id="{C6DE09F9-8E23-4867-A823-EEB37CBCF2C2}"/>
            </a:ext>
          </a:extLst>
        </xdr:cNvPr>
        <xdr:cNvSpPr/>
      </xdr:nvSpPr>
      <xdr:spPr>
        <a:xfrm>
          <a:off x="5120223" y="7260167"/>
          <a:ext cx="1316567" cy="538691"/>
        </a:xfrm>
        <a:prstGeom prst="roundRect">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Financial indicators</a:t>
          </a:r>
        </a:p>
      </xdr:txBody>
    </xdr:sp>
    <xdr:clientData/>
  </xdr:twoCellAnchor>
  <xdr:twoCellAnchor>
    <xdr:from>
      <xdr:col>4</xdr:col>
      <xdr:colOff>504832</xdr:colOff>
      <xdr:row>42</xdr:row>
      <xdr:rowOff>34926</xdr:rowOff>
    </xdr:from>
    <xdr:to>
      <xdr:col>5</xdr:col>
      <xdr:colOff>371939</xdr:colOff>
      <xdr:row>45</xdr:row>
      <xdr:rowOff>22647</xdr:rowOff>
    </xdr:to>
    <xdr:sp macro="" textlink="">
      <xdr:nvSpPr>
        <xdr:cNvPr id="749" name="Rectangle: Rounded Corners 6">
          <a:hlinkClick xmlns:r="http://schemas.openxmlformats.org/officeDocument/2006/relationships" r:id="rId6"/>
          <a:extLst>
            <a:ext uri="{FF2B5EF4-FFF2-40B4-BE49-F238E27FC236}">
              <a16:creationId xmlns:a16="http://schemas.microsoft.com/office/drawing/2014/main" id="{2551BE63-65E3-4E77-96E4-41C8679A6E19}"/>
            </a:ext>
          </a:extLst>
        </xdr:cNvPr>
        <xdr:cNvSpPr/>
      </xdr:nvSpPr>
      <xdr:spPr>
        <a:xfrm>
          <a:off x="7308403" y="8806997"/>
          <a:ext cx="1314000" cy="518400"/>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Summary</a:t>
          </a:r>
        </a:p>
      </xdr:txBody>
    </xdr:sp>
    <xdr:clientData/>
  </xdr:twoCellAnchor>
  <xdr:twoCellAnchor>
    <xdr:from>
      <xdr:col>4</xdr:col>
      <xdr:colOff>505889</xdr:colOff>
      <xdr:row>37</xdr:row>
      <xdr:rowOff>14817</xdr:rowOff>
    </xdr:from>
    <xdr:to>
      <xdr:col>5</xdr:col>
      <xdr:colOff>372540</xdr:colOff>
      <xdr:row>40</xdr:row>
      <xdr:rowOff>1059</xdr:rowOff>
    </xdr:to>
    <xdr:sp macro="" textlink="">
      <xdr:nvSpPr>
        <xdr:cNvPr id="690" name="Rectangle: Rounded Corners 7">
          <a:hlinkClick xmlns:r="http://schemas.openxmlformats.org/officeDocument/2006/relationships" r:id="rId7"/>
          <a:extLst>
            <a:ext uri="{FF2B5EF4-FFF2-40B4-BE49-F238E27FC236}">
              <a16:creationId xmlns:a16="http://schemas.microsoft.com/office/drawing/2014/main" id="{B52B1F83-07F9-4BEB-A08D-937C036E5FD1}"/>
            </a:ext>
          </a:extLst>
        </xdr:cNvPr>
        <xdr:cNvSpPr/>
      </xdr:nvSpPr>
      <xdr:spPr>
        <a:xfrm>
          <a:off x="7321556" y="7243234"/>
          <a:ext cx="1316567" cy="53657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Charts</a:t>
          </a:r>
        </a:p>
      </xdr:txBody>
    </xdr:sp>
    <xdr:clientData/>
  </xdr:twoCellAnchor>
  <xdr:twoCellAnchor>
    <xdr:from>
      <xdr:col>2</xdr:col>
      <xdr:colOff>2095500</xdr:colOff>
      <xdr:row>38</xdr:row>
      <xdr:rowOff>91016</xdr:rowOff>
    </xdr:from>
    <xdr:to>
      <xdr:col>2</xdr:col>
      <xdr:colOff>2923500</xdr:colOff>
      <xdr:row>38</xdr:row>
      <xdr:rowOff>93661</xdr:rowOff>
    </xdr:to>
    <xdr:cxnSp macro="">
      <xdr:nvCxnSpPr>
        <xdr:cNvPr id="349" name="Straight Arrow Connector 23">
          <a:extLst>
            <a:ext uri="{FF2B5EF4-FFF2-40B4-BE49-F238E27FC236}">
              <a16:creationId xmlns:a16="http://schemas.microsoft.com/office/drawing/2014/main" id="{93CAC780-8FEE-4E55-9345-515CA68FFA14}"/>
            </a:ext>
          </a:extLst>
        </xdr:cNvPr>
        <xdr:cNvCxnSpPr/>
      </xdr:nvCxnSpPr>
      <xdr:spPr>
        <a:xfrm flipV="1">
          <a:off x="4296833" y="6610349"/>
          <a:ext cx="828000" cy="26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2487086</xdr:colOff>
      <xdr:row>38</xdr:row>
      <xdr:rowOff>105835</xdr:rowOff>
    </xdr:from>
    <xdr:to>
      <xdr:col>2</xdr:col>
      <xdr:colOff>2921000</xdr:colOff>
      <xdr:row>43</xdr:row>
      <xdr:rowOff>106649</xdr:rowOff>
    </xdr:to>
    <xdr:cxnSp macro="">
      <xdr:nvCxnSpPr>
        <xdr:cNvPr id="354" name="Connector: Elbow 27">
          <a:extLst>
            <a:ext uri="{FF2B5EF4-FFF2-40B4-BE49-F238E27FC236}">
              <a16:creationId xmlns:a16="http://schemas.microsoft.com/office/drawing/2014/main" id="{282ED379-F3FE-C69A-1723-CE04865201C5}"/>
            </a:ext>
          </a:extLst>
        </xdr:cNvPr>
        <xdr:cNvCxnSpPr>
          <a:endCxn id="549" idx="1"/>
        </xdr:cNvCxnSpPr>
      </xdr:nvCxnSpPr>
      <xdr:spPr>
        <a:xfrm rot="16200000" flipH="1">
          <a:off x="4456690" y="8396017"/>
          <a:ext cx="885278" cy="433914"/>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814917</xdr:colOff>
      <xdr:row>32</xdr:row>
      <xdr:rowOff>148167</xdr:rowOff>
    </xdr:from>
    <xdr:to>
      <xdr:col>2</xdr:col>
      <xdr:colOff>2074334</xdr:colOff>
      <xdr:row>34</xdr:row>
      <xdr:rowOff>31750</xdr:rowOff>
    </xdr:to>
    <xdr:sp macro="" textlink="">
      <xdr:nvSpPr>
        <xdr:cNvPr id="743" name="Rectangle: Rounded Corners 43">
          <a:extLst>
            <a:ext uri="{FF2B5EF4-FFF2-40B4-BE49-F238E27FC236}">
              <a16:creationId xmlns:a16="http://schemas.microsoft.com/office/drawing/2014/main" id="{998B722E-1E64-DC5C-A743-8F08FC219208}"/>
            </a:ext>
          </a:extLst>
        </xdr:cNvPr>
        <xdr:cNvSpPr/>
      </xdr:nvSpPr>
      <xdr:spPr>
        <a:xfrm>
          <a:off x="3016250" y="6477000"/>
          <a:ext cx="1259417" cy="243417"/>
        </a:xfrm>
        <a:prstGeom prst="round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t>Inputs</a:t>
          </a:r>
        </a:p>
      </xdr:txBody>
    </xdr:sp>
    <xdr:clientData/>
  </xdr:twoCellAnchor>
  <xdr:twoCellAnchor>
    <xdr:from>
      <xdr:col>2</xdr:col>
      <xdr:colOff>2949572</xdr:colOff>
      <xdr:row>32</xdr:row>
      <xdr:rowOff>137590</xdr:rowOff>
    </xdr:from>
    <xdr:to>
      <xdr:col>3</xdr:col>
      <xdr:colOff>1031872</xdr:colOff>
      <xdr:row>34</xdr:row>
      <xdr:rowOff>27523</xdr:rowOff>
    </xdr:to>
    <xdr:sp macro="" textlink="">
      <xdr:nvSpPr>
        <xdr:cNvPr id="744" name="Rectangle: Rounded Corners 44">
          <a:extLst>
            <a:ext uri="{FF2B5EF4-FFF2-40B4-BE49-F238E27FC236}">
              <a16:creationId xmlns:a16="http://schemas.microsoft.com/office/drawing/2014/main" id="{1259FD44-363F-4682-8A4C-72DFF912D693}"/>
            </a:ext>
          </a:extLst>
        </xdr:cNvPr>
        <xdr:cNvSpPr/>
      </xdr:nvSpPr>
      <xdr:spPr>
        <a:xfrm>
          <a:off x="5150905" y="6466423"/>
          <a:ext cx="1246717" cy="249767"/>
        </a:xfrm>
        <a:prstGeom prst="round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t>Calculations</a:t>
          </a:r>
        </a:p>
      </xdr:txBody>
    </xdr:sp>
    <xdr:clientData/>
  </xdr:twoCellAnchor>
  <xdr:twoCellAnchor>
    <xdr:from>
      <xdr:col>4</xdr:col>
      <xdr:colOff>553513</xdr:colOff>
      <xdr:row>32</xdr:row>
      <xdr:rowOff>165102</xdr:rowOff>
    </xdr:from>
    <xdr:to>
      <xdr:col>5</xdr:col>
      <xdr:colOff>363014</xdr:colOff>
      <xdr:row>34</xdr:row>
      <xdr:rowOff>67735</xdr:rowOff>
    </xdr:to>
    <xdr:sp macro="" textlink="">
      <xdr:nvSpPr>
        <xdr:cNvPr id="747" name="Rectangle: Rounded Corners 46">
          <a:extLst>
            <a:ext uri="{FF2B5EF4-FFF2-40B4-BE49-F238E27FC236}">
              <a16:creationId xmlns:a16="http://schemas.microsoft.com/office/drawing/2014/main" id="{ED538E29-9C5A-4757-B1FC-FD233443201D}"/>
            </a:ext>
          </a:extLst>
        </xdr:cNvPr>
        <xdr:cNvSpPr/>
      </xdr:nvSpPr>
      <xdr:spPr>
        <a:xfrm>
          <a:off x="7348013" y="6356352"/>
          <a:ext cx="1254126" cy="251883"/>
        </a:xfrm>
        <a:prstGeom prst="round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b="1"/>
            <a:t>Outputs</a:t>
          </a:r>
        </a:p>
        <a:p>
          <a:pPr algn="l"/>
          <a:endParaRPr lang="en-AU" sz="1100" b="1"/>
        </a:p>
      </xdr:txBody>
    </xdr:sp>
    <xdr:clientData/>
  </xdr:twoCellAnchor>
  <xdr:twoCellAnchor>
    <xdr:from>
      <xdr:col>2</xdr:col>
      <xdr:colOff>1343025</xdr:colOff>
      <xdr:row>46</xdr:row>
      <xdr:rowOff>104775</xdr:rowOff>
    </xdr:from>
    <xdr:to>
      <xdr:col>4</xdr:col>
      <xdr:colOff>752475</xdr:colOff>
      <xdr:row>52</xdr:row>
      <xdr:rowOff>85725</xdr:rowOff>
    </xdr:to>
    <xdr:grpSp>
      <xdr:nvGrpSpPr>
        <xdr:cNvPr id="10" name="Group 9">
          <a:extLst>
            <a:ext uri="{FF2B5EF4-FFF2-40B4-BE49-F238E27FC236}">
              <a16:creationId xmlns:a16="http://schemas.microsoft.com/office/drawing/2014/main" id="{D33B2175-BAAC-784B-5591-CD8DF4D5786C}"/>
            </a:ext>
          </a:extLst>
        </xdr:cNvPr>
        <xdr:cNvGrpSpPr/>
      </xdr:nvGrpSpPr>
      <xdr:grpSpPr>
        <a:xfrm>
          <a:off x="3539378" y="9685804"/>
          <a:ext cx="4015068" cy="1056715"/>
          <a:chOff x="3543300" y="9001125"/>
          <a:chExt cx="4019550" cy="1066800"/>
        </a:xfrm>
      </xdr:grpSpPr>
      <xdr:sp macro="" textlink="">
        <xdr:nvSpPr>
          <xdr:cNvPr id="5" name="Rectangle 4">
            <a:extLst>
              <a:ext uri="{FF2B5EF4-FFF2-40B4-BE49-F238E27FC236}">
                <a16:creationId xmlns:a16="http://schemas.microsoft.com/office/drawing/2014/main" id="{59865DAA-3C4D-F781-A4A9-1016AEFAE336}"/>
              </a:ext>
            </a:extLst>
          </xdr:cNvPr>
          <xdr:cNvSpPr/>
        </xdr:nvSpPr>
        <xdr:spPr>
          <a:xfrm>
            <a:off x="3543300" y="9001125"/>
            <a:ext cx="4019550" cy="1066800"/>
          </a:xfrm>
          <a:prstGeom prst="rect">
            <a:avLst/>
          </a:prstGeom>
          <a:no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Supplementary sheets - only</a:t>
            </a:r>
            <a:r>
              <a:rPr lang="en-AU" sz="1100" baseline="0">
                <a:solidFill>
                  <a:sysClr val="windowText" lastClr="000000"/>
                </a:solidFill>
              </a:rPr>
              <a:t> </a:t>
            </a:r>
            <a:r>
              <a:rPr lang="en-AU" sz="1100">
                <a:solidFill>
                  <a:sysClr val="windowText" lastClr="000000"/>
                </a:solidFill>
              </a:rPr>
              <a:t>for councils shifting service charge revenue to general</a:t>
            </a:r>
            <a:r>
              <a:rPr lang="en-AU" sz="1100" baseline="0">
                <a:solidFill>
                  <a:sysClr val="windowText" lastClr="000000"/>
                </a:solidFill>
              </a:rPr>
              <a:t> rates</a:t>
            </a:r>
            <a:r>
              <a:rPr lang="en-AU" sz="1100">
                <a:solidFill>
                  <a:sysClr val="windowText" lastClr="000000"/>
                </a:solidFill>
              </a:rPr>
              <a:t> </a:t>
            </a:r>
          </a:p>
        </xdr:txBody>
      </xdr:sp>
      <xdr:grpSp>
        <xdr:nvGrpSpPr>
          <xdr:cNvPr id="9" name="Group 8">
            <a:extLst>
              <a:ext uri="{FF2B5EF4-FFF2-40B4-BE49-F238E27FC236}">
                <a16:creationId xmlns:a16="http://schemas.microsoft.com/office/drawing/2014/main" id="{15D469CE-6B7B-0380-6882-4952520CBFDC}"/>
              </a:ext>
            </a:extLst>
          </xdr:cNvPr>
          <xdr:cNvGrpSpPr/>
        </xdr:nvGrpSpPr>
        <xdr:grpSpPr>
          <a:xfrm>
            <a:off x="3762375" y="9429750"/>
            <a:ext cx="3451225" cy="565150"/>
            <a:chOff x="3762375" y="9429750"/>
            <a:chExt cx="3451225" cy="565150"/>
          </a:xfrm>
        </xdr:grpSpPr>
        <xdr:sp macro="" textlink="">
          <xdr:nvSpPr>
            <xdr:cNvPr id="6" name="Rectangle: Rounded Corners 2">
              <a:hlinkClick xmlns:r="http://schemas.openxmlformats.org/officeDocument/2006/relationships" r:id="rId8"/>
              <a:extLst>
                <a:ext uri="{FF2B5EF4-FFF2-40B4-BE49-F238E27FC236}">
                  <a16:creationId xmlns:a16="http://schemas.microsoft.com/office/drawing/2014/main" id="{66522F7D-A9C6-4ECD-D6EB-DF6D72146A42}"/>
                </a:ext>
              </a:extLst>
            </xdr:cNvPr>
            <xdr:cNvSpPr/>
          </xdr:nvSpPr>
          <xdr:spPr>
            <a:xfrm>
              <a:off x="3762375" y="9448800"/>
              <a:ext cx="1317625" cy="546100"/>
            </a:xfrm>
            <a:prstGeom prst="roundRect">
              <a:avLst/>
            </a:prstGeom>
            <a:solidFill>
              <a:schemeClr val="tx2">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Supp_waste detailed</a:t>
              </a:r>
            </a:p>
          </xdr:txBody>
        </xdr:sp>
        <xdr:sp macro="" textlink="">
          <xdr:nvSpPr>
            <xdr:cNvPr id="7" name="Rectangle: Rounded Corners 6">
              <a:hlinkClick xmlns:r="http://schemas.openxmlformats.org/officeDocument/2006/relationships" r:id="rId9"/>
              <a:extLst>
                <a:ext uri="{FF2B5EF4-FFF2-40B4-BE49-F238E27FC236}">
                  <a16:creationId xmlns:a16="http://schemas.microsoft.com/office/drawing/2014/main" id="{10132FDE-2E93-75BD-4849-F9093500C7A0}"/>
                </a:ext>
              </a:extLst>
            </xdr:cNvPr>
            <xdr:cNvSpPr/>
          </xdr:nvSpPr>
          <xdr:spPr>
            <a:xfrm>
              <a:off x="5895975" y="9429750"/>
              <a:ext cx="1317625" cy="546100"/>
            </a:xfrm>
            <a:prstGeom prst="roundRect">
              <a:avLst/>
            </a:prstGeom>
            <a:solidFill>
              <a:schemeClr val="tx2">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Supp_waste long-term</a:t>
              </a:r>
            </a:p>
          </xdr:txBody>
        </xdr:sp>
        <xdr:cxnSp macro="">
          <xdr:nvCxnSpPr>
            <xdr:cNvPr id="8" name="Straight Arrow Connector 23">
              <a:extLst>
                <a:ext uri="{FF2B5EF4-FFF2-40B4-BE49-F238E27FC236}">
                  <a16:creationId xmlns:a16="http://schemas.microsoft.com/office/drawing/2014/main" id="{0A54AAB4-969E-DF59-DE85-32FC837FBC04}"/>
                </a:ext>
              </a:extLst>
            </xdr:cNvPr>
            <xdr:cNvCxnSpPr/>
          </xdr:nvCxnSpPr>
          <xdr:spPr>
            <a:xfrm flipV="1">
              <a:off x="5077883" y="9725024"/>
              <a:ext cx="828000" cy="26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1061362</xdr:colOff>
      <xdr:row>38</xdr:row>
      <xdr:rowOff>95247</xdr:rowOff>
    </xdr:from>
    <xdr:to>
      <xdr:col>4</xdr:col>
      <xdr:colOff>514470</xdr:colOff>
      <xdr:row>38</xdr:row>
      <xdr:rowOff>95247</xdr:rowOff>
    </xdr:to>
    <xdr:cxnSp macro="">
      <xdr:nvCxnSpPr>
        <xdr:cNvPr id="11" name="Straight Arrow Connector 10">
          <a:extLst>
            <a:ext uri="{FF2B5EF4-FFF2-40B4-BE49-F238E27FC236}">
              <a16:creationId xmlns:a16="http://schemas.microsoft.com/office/drawing/2014/main" id="{4FA92D40-1A29-0BC7-5259-84E8091ED0F2}"/>
            </a:ext>
          </a:extLst>
        </xdr:cNvPr>
        <xdr:cNvCxnSpPr/>
      </xdr:nvCxnSpPr>
      <xdr:spPr>
        <a:xfrm>
          <a:off x="6418041" y="8159747"/>
          <a:ext cx="900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1068618</xdr:colOff>
      <xdr:row>43</xdr:row>
      <xdr:rowOff>88895</xdr:rowOff>
    </xdr:from>
    <xdr:to>
      <xdr:col>4</xdr:col>
      <xdr:colOff>503726</xdr:colOff>
      <xdr:row>43</xdr:row>
      <xdr:rowOff>88895</xdr:rowOff>
    </xdr:to>
    <xdr:cxnSp macro="">
      <xdr:nvCxnSpPr>
        <xdr:cNvPr id="12" name="Straight Arrow Connector 11">
          <a:extLst>
            <a:ext uri="{FF2B5EF4-FFF2-40B4-BE49-F238E27FC236}">
              <a16:creationId xmlns:a16="http://schemas.microsoft.com/office/drawing/2014/main" id="{0CC01C26-66F5-4D26-9601-EA598C4A8582}"/>
            </a:ext>
          </a:extLst>
        </xdr:cNvPr>
        <xdr:cNvCxnSpPr/>
      </xdr:nvCxnSpPr>
      <xdr:spPr>
        <a:xfrm>
          <a:off x="6425297" y="9037859"/>
          <a:ext cx="882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1435232</xdr:colOff>
      <xdr:row>40</xdr:row>
      <xdr:rowOff>27081</xdr:rowOff>
    </xdr:from>
    <xdr:to>
      <xdr:col>2</xdr:col>
      <xdr:colOff>1435232</xdr:colOff>
      <xdr:row>42</xdr:row>
      <xdr:rowOff>33296</xdr:rowOff>
    </xdr:to>
    <xdr:cxnSp macro="">
      <xdr:nvCxnSpPr>
        <xdr:cNvPr id="13" name="Straight Arrow Connector 12">
          <a:extLst>
            <a:ext uri="{FF2B5EF4-FFF2-40B4-BE49-F238E27FC236}">
              <a16:creationId xmlns:a16="http://schemas.microsoft.com/office/drawing/2014/main" id="{6F7B6B83-022F-4ED6-8E25-0CDE277F87E4}"/>
            </a:ext>
          </a:extLst>
        </xdr:cNvPr>
        <xdr:cNvCxnSpPr/>
      </xdr:nvCxnSpPr>
      <xdr:spPr>
        <a:xfrm rot="5400000">
          <a:off x="3450518" y="8625367"/>
          <a:ext cx="360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317500</xdr:colOff>
      <xdr:row>0</xdr:row>
      <xdr:rowOff>158749</xdr:rowOff>
    </xdr:from>
    <xdr:to>
      <xdr:col>15</xdr:col>
      <xdr:colOff>1428749</xdr:colOff>
      <xdr:row>1</xdr:row>
      <xdr:rowOff>269874</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104374EE-BEC2-DFF1-E189-9EB03A0E9C0C}"/>
            </a:ext>
          </a:extLst>
        </xdr:cNvPr>
        <xdr:cNvSpPr/>
      </xdr:nvSpPr>
      <xdr:spPr>
        <a:xfrm>
          <a:off x="23352125" y="158749"/>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460375</xdr:colOff>
      <xdr:row>0</xdr:row>
      <xdr:rowOff>127000</xdr:rowOff>
    </xdr:from>
    <xdr:to>
      <xdr:col>15</xdr:col>
      <xdr:colOff>714374</xdr:colOff>
      <xdr:row>1</xdr:row>
      <xdr:rowOff>238125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FCBDCA01-42E3-442E-BAA4-233E92CD9C92}"/>
            </a:ext>
          </a:extLst>
        </xdr:cNvPr>
        <xdr:cNvSpPr/>
      </xdr:nvSpPr>
      <xdr:spPr>
        <a:xfrm>
          <a:off x="22447250" y="127000"/>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166688</xdr:colOff>
      <xdr:row>0</xdr:row>
      <xdr:rowOff>119063</xdr:rowOff>
    </xdr:from>
    <xdr:to>
      <xdr:col>15</xdr:col>
      <xdr:colOff>587374</xdr:colOff>
      <xdr:row>1</xdr:row>
      <xdr:rowOff>234157</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55F6401C-8655-447A-8468-AA4A71ECAD9A}"/>
            </a:ext>
          </a:extLst>
        </xdr:cNvPr>
        <xdr:cNvSpPr/>
      </xdr:nvSpPr>
      <xdr:spPr>
        <a:xfrm>
          <a:off x="16894969" y="119063"/>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54428</xdr:colOff>
      <xdr:row>0</xdr:row>
      <xdr:rowOff>163286</xdr:rowOff>
    </xdr:from>
    <xdr:to>
      <xdr:col>15</xdr:col>
      <xdr:colOff>485320</xdr:colOff>
      <xdr:row>1</xdr:row>
      <xdr:rowOff>283482</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98ECFC8-8E8A-4FD1-816F-79920AB76E7C}"/>
            </a:ext>
          </a:extLst>
        </xdr:cNvPr>
        <xdr:cNvSpPr/>
      </xdr:nvSpPr>
      <xdr:spPr>
        <a:xfrm>
          <a:off x="12899571" y="163286"/>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825500</xdr:colOff>
      <xdr:row>0</xdr:row>
      <xdr:rowOff>111125</xdr:rowOff>
    </xdr:from>
    <xdr:to>
      <xdr:col>15</xdr:col>
      <xdr:colOff>920749</xdr:colOff>
      <xdr:row>1</xdr:row>
      <xdr:rowOff>222250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8292DCB6-B158-4493-81F1-9ACB7D2E1D2C}"/>
            </a:ext>
          </a:extLst>
        </xdr:cNvPr>
        <xdr:cNvSpPr/>
      </xdr:nvSpPr>
      <xdr:spPr>
        <a:xfrm>
          <a:off x="17462500" y="111125"/>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0</xdr:colOff>
      <xdr:row>5</xdr:row>
      <xdr:rowOff>0</xdr:rowOff>
    </xdr:from>
    <xdr:to>
      <xdr:col>6</xdr:col>
      <xdr:colOff>585108</xdr:colOff>
      <xdr:row>20</xdr:row>
      <xdr:rowOff>95250</xdr:rowOff>
    </xdr:to>
    <xdr:graphicFrame macro="">
      <xdr:nvGraphicFramePr>
        <xdr:cNvPr id="26" name="Chart 25">
          <a:extLst>
            <a:ext uri="{FF2B5EF4-FFF2-40B4-BE49-F238E27FC236}">
              <a16:creationId xmlns:a16="http://schemas.microsoft.com/office/drawing/2014/main" id="{6A1716B8-C5D0-47B6-9830-2C6345EFA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0</xdr:colOff>
      <xdr:row>5</xdr:row>
      <xdr:rowOff>0</xdr:rowOff>
    </xdr:from>
    <xdr:to>
      <xdr:col>12</xdr:col>
      <xdr:colOff>585106</xdr:colOff>
      <xdr:row>20</xdr:row>
      <xdr:rowOff>95250</xdr:rowOff>
    </xdr:to>
    <xdr:graphicFrame macro="">
      <xdr:nvGraphicFramePr>
        <xdr:cNvPr id="27" name="Chart 26">
          <a:extLst>
            <a:ext uri="{FF2B5EF4-FFF2-40B4-BE49-F238E27FC236}">
              <a16:creationId xmlns:a16="http://schemas.microsoft.com/office/drawing/2014/main" id="{A09992FD-EDA6-4128-8EED-113195018F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13</xdr:col>
      <xdr:colOff>0</xdr:colOff>
      <xdr:row>5</xdr:row>
      <xdr:rowOff>0</xdr:rowOff>
    </xdr:from>
    <xdr:to>
      <xdr:col>19</xdr:col>
      <xdr:colOff>340178</xdr:colOff>
      <xdr:row>20</xdr:row>
      <xdr:rowOff>95250</xdr:rowOff>
    </xdr:to>
    <xdr:graphicFrame macro="">
      <xdr:nvGraphicFramePr>
        <xdr:cNvPr id="28" name="Chart 27">
          <a:extLst>
            <a:ext uri="{FF2B5EF4-FFF2-40B4-BE49-F238E27FC236}">
              <a16:creationId xmlns:a16="http://schemas.microsoft.com/office/drawing/2014/main" id="{10C49297-0395-406C-8735-C9C841927B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22</xdr:row>
      <xdr:rowOff>0</xdr:rowOff>
    </xdr:from>
    <xdr:to>
      <xdr:col>6</xdr:col>
      <xdr:colOff>585108</xdr:colOff>
      <xdr:row>37</xdr:row>
      <xdr:rowOff>95250</xdr:rowOff>
    </xdr:to>
    <xdr:graphicFrame macro="">
      <xdr:nvGraphicFramePr>
        <xdr:cNvPr id="30" name="Chart 29">
          <a:extLst>
            <a:ext uri="{FF2B5EF4-FFF2-40B4-BE49-F238E27FC236}">
              <a16:creationId xmlns:a16="http://schemas.microsoft.com/office/drawing/2014/main" id="{66942A5F-C36A-49EC-9E06-489D5EF469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7</xdr:col>
      <xdr:colOff>0</xdr:colOff>
      <xdr:row>22</xdr:row>
      <xdr:rowOff>0</xdr:rowOff>
    </xdr:from>
    <xdr:to>
      <xdr:col>12</xdr:col>
      <xdr:colOff>585106</xdr:colOff>
      <xdr:row>37</xdr:row>
      <xdr:rowOff>95250</xdr:rowOff>
    </xdr:to>
    <xdr:graphicFrame macro="">
      <xdr:nvGraphicFramePr>
        <xdr:cNvPr id="31" name="Chart 30">
          <a:extLst>
            <a:ext uri="{FF2B5EF4-FFF2-40B4-BE49-F238E27FC236}">
              <a16:creationId xmlns:a16="http://schemas.microsoft.com/office/drawing/2014/main" id="{064EB5D5-1144-4FA4-9711-307FBEC64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7</xdr:col>
      <xdr:colOff>0</xdr:colOff>
      <xdr:row>42</xdr:row>
      <xdr:rowOff>0</xdr:rowOff>
    </xdr:from>
    <xdr:to>
      <xdr:col>12</xdr:col>
      <xdr:colOff>625928</xdr:colOff>
      <xdr:row>57</xdr:row>
      <xdr:rowOff>89807</xdr:rowOff>
    </xdr:to>
    <xdr:graphicFrame macro="">
      <xdr:nvGraphicFramePr>
        <xdr:cNvPr id="33" name="Chart 32">
          <a:extLst>
            <a:ext uri="{FF2B5EF4-FFF2-40B4-BE49-F238E27FC236}">
              <a16:creationId xmlns:a16="http://schemas.microsoft.com/office/drawing/2014/main" id="{4485BA02-DCF9-4E8B-B06E-C30ED8434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0</xdr:colOff>
      <xdr:row>42</xdr:row>
      <xdr:rowOff>0</xdr:rowOff>
    </xdr:from>
    <xdr:to>
      <xdr:col>6</xdr:col>
      <xdr:colOff>625928</xdr:colOff>
      <xdr:row>57</xdr:row>
      <xdr:rowOff>89807</xdr:rowOff>
    </xdr:to>
    <xdr:graphicFrame macro="">
      <xdr:nvGraphicFramePr>
        <xdr:cNvPr id="34" name="Chart 33">
          <a:extLst>
            <a:ext uri="{FF2B5EF4-FFF2-40B4-BE49-F238E27FC236}">
              <a16:creationId xmlns:a16="http://schemas.microsoft.com/office/drawing/2014/main" id="{999E4985-3F13-414F-94EC-92F6CC88D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13</xdr:col>
      <xdr:colOff>0</xdr:colOff>
      <xdr:row>42</xdr:row>
      <xdr:rowOff>0</xdr:rowOff>
    </xdr:from>
    <xdr:to>
      <xdr:col>19</xdr:col>
      <xdr:colOff>381000</xdr:colOff>
      <xdr:row>57</xdr:row>
      <xdr:rowOff>89807</xdr:rowOff>
    </xdr:to>
    <xdr:graphicFrame macro="">
      <xdr:nvGraphicFramePr>
        <xdr:cNvPr id="35" name="Chart 34">
          <a:extLst>
            <a:ext uri="{FF2B5EF4-FFF2-40B4-BE49-F238E27FC236}">
              <a16:creationId xmlns:a16="http://schemas.microsoft.com/office/drawing/2014/main" id="{23E62A57-E1A1-4CE4-8038-E2351DA4B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1</xdr:col>
      <xdr:colOff>0</xdr:colOff>
      <xdr:row>59</xdr:row>
      <xdr:rowOff>0</xdr:rowOff>
    </xdr:from>
    <xdr:to>
      <xdr:col>6</xdr:col>
      <xdr:colOff>625928</xdr:colOff>
      <xdr:row>74</xdr:row>
      <xdr:rowOff>89807</xdr:rowOff>
    </xdr:to>
    <xdr:graphicFrame macro="">
      <xdr:nvGraphicFramePr>
        <xdr:cNvPr id="36" name="Chart 35">
          <a:extLst>
            <a:ext uri="{FF2B5EF4-FFF2-40B4-BE49-F238E27FC236}">
              <a16:creationId xmlns:a16="http://schemas.microsoft.com/office/drawing/2014/main" id="{69510D76-FE08-4886-B125-C08BC28819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7</xdr:col>
      <xdr:colOff>0</xdr:colOff>
      <xdr:row>59</xdr:row>
      <xdr:rowOff>0</xdr:rowOff>
    </xdr:from>
    <xdr:to>
      <xdr:col>12</xdr:col>
      <xdr:colOff>625928</xdr:colOff>
      <xdr:row>74</xdr:row>
      <xdr:rowOff>89807</xdr:rowOff>
    </xdr:to>
    <xdr:graphicFrame macro="">
      <xdr:nvGraphicFramePr>
        <xdr:cNvPr id="37" name="Chart 36">
          <a:extLst>
            <a:ext uri="{FF2B5EF4-FFF2-40B4-BE49-F238E27FC236}">
              <a16:creationId xmlns:a16="http://schemas.microsoft.com/office/drawing/2014/main" id="{53F0EE38-ACEE-46DC-960B-FDB04E4C4A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13</xdr:col>
      <xdr:colOff>0</xdr:colOff>
      <xdr:row>59</xdr:row>
      <xdr:rowOff>0</xdr:rowOff>
    </xdr:from>
    <xdr:to>
      <xdr:col>19</xdr:col>
      <xdr:colOff>381000</xdr:colOff>
      <xdr:row>74</xdr:row>
      <xdr:rowOff>89807</xdr:rowOff>
    </xdr:to>
    <xdr:graphicFrame macro="">
      <xdr:nvGraphicFramePr>
        <xdr:cNvPr id="38" name="Chart 37">
          <a:extLst>
            <a:ext uri="{FF2B5EF4-FFF2-40B4-BE49-F238E27FC236}">
              <a16:creationId xmlns:a16="http://schemas.microsoft.com/office/drawing/2014/main" id="{98099959-E38D-48D8-BAF2-73E265FD1D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18</xdr:col>
      <xdr:colOff>158750</xdr:colOff>
      <xdr:row>0</xdr:row>
      <xdr:rowOff>142875</xdr:rowOff>
    </xdr:from>
    <xdr:to>
      <xdr:col>19</xdr:col>
      <xdr:colOff>587374</xdr:colOff>
      <xdr:row>1</xdr:row>
      <xdr:rowOff>254000</xdr:rowOff>
    </xdr:to>
    <xdr:sp macro="" textlink="">
      <xdr:nvSpPr>
        <xdr:cNvPr id="2" name="Rectangle: Rounded Corners 1">
          <a:hlinkClick xmlns:r="http://schemas.openxmlformats.org/officeDocument/2006/relationships" r:id="rId12"/>
          <a:extLst>
            <a:ext uri="{FF2B5EF4-FFF2-40B4-BE49-F238E27FC236}">
              <a16:creationId xmlns:a16="http://schemas.microsoft.com/office/drawing/2014/main" id="{E22139C0-3C5B-4398-862F-E468018E1269}"/>
            </a:ext>
          </a:extLst>
        </xdr:cNvPr>
        <xdr:cNvSpPr/>
      </xdr:nvSpPr>
      <xdr:spPr>
        <a:xfrm>
          <a:off x="13954125" y="142875"/>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twoCellAnchor editAs="absolute">
    <xdr:from>
      <xdr:col>1</xdr:col>
      <xdr:colOff>0</xdr:colOff>
      <xdr:row>86</xdr:row>
      <xdr:rowOff>0</xdr:rowOff>
    </xdr:from>
    <xdr:to>
      <xdr:col>6</xdr:col>
      <xdr:colOff>625928</xdr:colOff>
      <xdr:row>101</xdr:row>
      <xdr:rowOff>89807</xdr:rowOff>
    </xdr:to>
    <xdr:graphicFrame macro="">
      <xdr:nvGraphicFramePr>
        <xdr:cNvPr id="3" name="Chart 2">
          <a:extLst>
            <a:ext uri="{FF2B5EF4-FFF2-40B4-BE49-F238E27FC236}">
              <a16:creationId xmlns:a16="http://schemas.microsoft.com/office/drawing/2014/main" id="{6E1D48F9-4951-4061-8570-06E5D1F192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7</xdr:col>
      <xdr:colOff>762000</xdr:colOff>
      <xdr:row>88</xdr:row>
      <xdr:rowOff>22412</xdr:rowOff>
    </xdr:from>
    <xdr:to>
      <xdr:col>13</xdr:col>
      <xdr:colOff>592310</xdr:colOff>
      <xdr:row>103</xdr:row>
      <xdr:rowOff>112220</xdr:rowOff>
    </xdr:to>
    <xdr:graphicFrame macro="">
      <xdr:nvGraphicFramePr>
        <xdr:cNvPr id="4" name="Chart 3">
          <a:extLst>
            <a:ext uri="{FF2B5EF4-FFF2-40B4-BE49-F238E27FC236}">
              <a16:creationId xmlns:a16="http://schemas.microsoft.com/office/drawing/2014/main" id="{F5EB2FE7-67D3-4BE4-A40D-F18D7FB92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3</xdr:col>
      <xdr:colOff>0</xdr:colOff>
      <xdr:row>106</xdr:row>
      <xdr:rowOff>0</xdr:rowOff>
    </xdr:from>
    <xdr:to>
      <xdr:col>8</xdr:col>
      <xdr:colOff>616323</xdr:colOff>
      <xdr:row>121</xdr:row>
      <xdr:rowOff>89807</xdr:rowOff>
    </xdr:to>
    <xdr:graphicFrame macro="">
      <xdr:nvGraphicFramePr>
        <xdr:cNvPr id="5" name="Chart 4">
          <a:extLst>
            <a:ext uri="{FF2B5EF4-FFF2-40B4-BE49-F238E27FC236}">
              <a16:creationId xmlns:a16="http://schemas.microsoft.com/office/drawing/2014/main" id="{EE6CF12D-DFE8-43BC-9576-83ACFED43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9</xdr:col>
      <xdr:colOff>502227</xdr:colOff>
      <xdr:row>0</xdr:row>
      <xdr:rowOff>155864</xdr:rowOff>
    </xdr:from>
    <xdr:to>
      <xdr:col>9</xdr:col>
      <xdr:colOff>1613476</xdr:colOff>
      <xdr:row>1</xdr:row>
      <xdr:rowOff>278534</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C007D193-6929-4C7E-A7F2-49159E9A9D26}"/>
            </a:ext>
          </a:extLst>
        </xdr:cNvPr>
        <xdr:cNvSpPr/>
      </xdr:nvSpPr>
      <xdr:spPr>
        <a:xfrm>
          <a:off x="15603682" y="155864"/>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22884</xdr:colOff>
      <xdr:row>40</xdr:row>
      <xdr:rowOff>170957</xdr:rowOff>
    </xdr:from>
    <xdr:to>
      <xdr:col>6</xdr:col>
      <xdr:colOff>1043215</xdr:colOff>
      <xdr:row>59</xdr:row>
      <xdr:rowOff>76695</xdr:rowOff>
    </xdr:to>
    <xdr:graphicFrame macro="">
      <xdr:nvGraphicFramePr>
        <xdr:cNvPr id="3" name="Chart 2">
          <a:extLst>
            <a:ext uri="{FF2B5EF4-FFF2-40B4-BE49-F238E27FC236}">
              <a16:creationId xmlns:a16="http://schemas.microsoft.com/office/drawing/2014/main" id="{DB6A9293-9C75-4BC3-8DD1-0D9732A6D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599921</xdr:colOff>
      <xdr:row>40</xdr:row>
      <xdr:rowOff>158147</xdr:rowOff>
    </xdr:from>
    <xdr:to>
      <xdr:col>11</xdr:col>
      <xdr:colOff>208643</xdr:colOff>
      <xdr:row>59</xdr:row>
      <xdr:rowOff>109002</xdr:rowOff>
    </xdr:to>
    <xdr:graphicFrame macro="">
      <xdr:nvGraphicFramePr>
        <xdr:cNvPr id="4" name="Chart 3">
          <a:extLst>
            <a:ext uri="{FF2B5EF4-FFF2-40B4-BE49-F238E27FC236}">
              <a16:creationId xmlns:a16="http://schemas.microsoft.com/office/drawing/2014/main" id="{F5427B82-3F81-C266-AAC8-E11E9DC239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294410</xdr:colOff>
      <xdr:row>0</xdr:row>
      <xdr:rowOff>138546</xdr:rowOff>
    </xdr:from>
    <xdr:to>
      <xdr:col>17</xdr:col>
      <xdr:colOff>626341</xdr:colOff>
      <xdr:row>1</xdr:row>
      <xdr:rowOff>261216</xdr:rowOff>
    </xdr:to>
    <xdr:sp macro="" textlink="">
      <xdr:nvSpPr>
        <xdr:cNvPr id="2" name="Rectangle: Rounded Corners 1">
          <a:hlinkClick xmlns:r="http://schemas.openxmlformats.org/officeDocument/2006/relationships" r:id="rId3"/>
          <a:extLst>
            <a:ext uri="{FF2B5EF4-FFF2-40B4-BE49-F238E27FC236}">
              <a16:creationId xmlns:a16="http://schemas.microsoft.com/office/drawing/2014/main" id="{444697EE-32F0-4213-995E-018937C6F065}"/>
            </a:ext>
          </a:extLst>
        </xdr:cNvPr>
        <xdr:cNvSpPr/>
      </xdr:nvSpPr>
      <xdr:spPr>
        <a:xfrm>
          <a:off x="22860001" y="138546"/>
          <a:ext cx="1111249" cy="7461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lang="en-AU" sz="1100">
              <a:solidFill>
                <a:schemeClr val="bg1"/>
              </a:solidFill>
            </a:rPr>
            <a:t>Coversheet and instructions</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Local%20Government\Reporting%20Requirements\Annual%20Compliance%20Information\2024-25%20Compliance\SS%20-%20Annual%20Compliance%20Information%20Template%202024-25%20-%20unprotected%20-%2020240112.xlsx" TargetMode="External"/><Relationship Id="rId1" Type="http://schemas.openxmlformats.org/officeDocument/2006/relationships/externalLinkPath" Target="/Local%20Government/Reporting%20Requirements/Annual%20Compliance%20Information/2024-25%20Compliance/SS%20-%20Annual%20Compliance%20Information%20Template%202024-25%20-%20unprotected%20-%20202401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sheet_and_Instructions"/>
      <sheetName val="Compliance_Information"/>
      <sheetName val="Waste_Monitoring"/>
      <sheetName val="Rates_Request"/>
      <sheetName val="Notes"/>
      <sheetName val="GEN_A"/>
      <sheetName val="Change_log"/>
      <sheetName val="Certification_Statement"/>
      <sheetName val="Better_Practice_Checklist"/>
    </sheetNames>
    <sheetDataSet>
      <sheetData sheetId="0" refreshError="1"/>
      <sheetData sheetId="1" refreshError="1"/>
      <sheetData sheetId="2" refreshError="1"/>
      <sheetData sheetId="3" refreshError="1"/>
      <sheetData sheetId="4" refreshError="1"/>
      <sheetData sheetId="5">
        <row r="11">
          <cell r="E11" t="str">
            <v>Annual Compliance Information Template</v>
          </cell>
        </row>
        <row r="17">
          <cell r="E17">
            <v>45474</v>
          </cell>
        </row>
        <row r="41">
          <cell r="E41">
            <v>1</v>
          </cell>
        </row>
        <row r="46">
          <cell r="E46">
            <v>100</v>
          </cell>
        </row>
        <row r="47">
          <cell r="E47">
            <v>1</v>
          </cell>
        </row>
        <row r="48">
          <cell r="E48">
            <v>0.01</v>
          </cell>
        </row>
        <row r="67">
          <cell r="E67" t="str">
            <v>n.a.</v>
          </cell>
        </row>
      </sheetData>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ESC">
      <a:dk1>
        <a:sysClr val="windowText" lastClr="000000"/>
      </a:dk1>
      <a:lt1>
        <a:sysClr val="window" lastClr="FFFFFF"/>
      </a:lt1>
      <a:dk2>
        <a:srgbClr val="4986A0"/>
      </a:dk2>
      <a:lt2>
        <a:srgbClr val="75787B"/>
      </a:lt2>
      <a:accent1>
        <a:srgbClr val="236192"/>
      </a:accent1>
      <a:accent2>
        <a:srgbClr val="CE0058"/>
      </a:accent2>
      <a:accent3>
        <a:srgbClr val="4986A0"/>
      </a:accent3>
      <a:accent4>
        <a:srgbClr val="ED8B00"/>
      </a:accent4>
      <a:accent5>
        <a:srgbClr val="183028"/>
      </a:accent5>
      <a:accent6>
        <a:srgbClr val="D50032"/>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sc.vic.gov.au/local-government/higher-rate-cap-applications/guidance-councils-applying-higher-cap/community-engagement-resources-councils" TargetMode="External"/><Relationship Id="rId2" Type="http://schemas.openxmlformats.org/officeDocument/2006/relationships/hyperlink" Target="https://www.esc.vic.gov.au/local-government/higher-rate-cap-applications/guidance-councils-applying-higher-cap" TargetMode="External"/><Relationship Id="rId1" Type="http://schemas.openxmlformats.org/officeDocument/2006/relationships/hyperlink" Target="mailto:localgovernment@esc.vic.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D16E6-084D-42E5-9D45-3892F676B55E}">
  <sheetPr codeName="Sheet1">
    <tabColor rgb="FF7F7F7F"/>
  </sheetPr>
  <dimension ref="A1:P135"/>
  <sheetViews>
    <sheetView showGridLines="0" zoomScale="85" zoomScaleNormal="85" zoomScaleSheetLayoutView="100" workbookViewId="0">
      <pane ySplit="2" topLeftCell="A3" activePane="bottomLeft" state="frozen"/>
      <selection activeCell="C38" sqref="C38"/>
      <selection pane="bottomLeft" activeCell="E13" sqref="E13"/>
    </sheetView>
  </sheetViews>
  <sheetFormatPr defaultRowHeight="14.25" zeroHeight="1" x14ac:dyDescent="0.2"/>
  <cols>
    <col min="1" max="1" width="9.875" style="12" customWidth="1"/>
    <col min="2" max="2" width="19" customWidth="1"/>
    <col min="3" max="3" width="41.5" customWidth="1"/>
    <col min="4" max="6" width="19" customWidth="1"/>
    <col min="7" max="10" width="5.375" customWidth="1"/>
    <col min="11" max="16383" width="0" hidden="1" customWidth="1"/>
    <col min="16384" max="16384" width="8" customWidth="1"/>
  </cols>
  <sheetData>
    <row r="1" spans="1:10" ht="50.1" customHeight="1" x14ac:dyDescent="0.2">
      <c r="A1" s="3"/>
      <c r="B1" s="3" t="str">
        <f>title</f>
        <v>Higher cap information template</v>
      </c>
      <c r="C1" s="146"/>
      <c r="D1" s="3"/>
      <c r="E1" s="3"/>
      <c r="F1" s="3"/>
      <c r="G1" s="3"/>
      <c r="H1" s="3"/>
      <c r="I1" s="3"/>
      <c r="J1" s="3"/>
    </row>
    <row r="2" spans="1:10" ht="30" customHeight="1" x14ac:dyDescent="0.2">
      <c r="A2" s="2">
        <f ca="1">_xlfn.SHEET()</f>
        <v>1</v>
      </c>
      <c r="B2" s="1" t="s">
        <v>271</v>
      </c>
      <c r="C2" s="1"/>
      <c r="D2" s="1"/>
      <c r="E2" s="1"/>
      <c r="F2" s="1"/>
      <c r="G2" s="1"/>
      <c r="H2" s="1"/>
      <c r="I2" s="1"/>
      <c r="J2" s="1"/>
    </row>
    <row r="3" spans="1:10" x14ac:dyDescent="0.2">
      <c r="A3"/>
    </row>
    <row r="4" spans="1:10" ht="16.5" thickBot="1" x14ac:dyDescent="0.25">
      <c r="A4" s="4">
        <f ca="1">MAX(A$2:A3)+0.1</f>
        <v>1.1000000000000001</v>
      </c>
      <c r="B4" s="5" t="s">
        <v>173</v>
      </c>
      <c r="C4" s="5"/>
      <c r="D4" s="5"/>
      <c r="E4" s="5"/>
      <c r="F4" s="5"/>
      <c r="G4" s="5"/>
      <c r="H4" s="5"/>
      <c r="I4" s="5"/>
      <c r="J4" s="5"/>
    </row>
    <row r="5" spans="1:10" x14ac:dyDescent="0.2">
      <c r="A5"/>
    </row>
    <row r="6" spans="1:10" x14ac:dyDescent="0.2"/>
    <row r="7" spans="1:10" ht="14.25" customHeight="1" x14ac:dyDescent="0.2">
      <c r="B7" t="s">
        <v>135</v>
      </c>
      <c r="C7" s="18" t="s">
        <v>223</v>
      </c>
      <c r="D7" s="165" t="s">
        <v>398</v>
      </c>
      <c r="E7" s="165"/>
      <c r="F7" s="165"/>
      <c r="G7" s="165"/>
      <c r="H7" s="165"/>
      <c r="I7" s="165"/>
      <c r="J7" s="165"/>
    </row>
    <row r="8" spans="1:10" x14ac:dyDescent="0.2">
      <c r="B8" t="s">
        <v>168</v>
      </c>
      <c r="C8" s="163" t="str">
        <f>+YEAR(period)-1&amp;"–"&amp;RIGHT(YEAR(period),2)</f>
        <v>2024–25</v>
      </c>
      <c r="D8" s="171" t="s">
        <v>391</v>
      </c>
      <c r="E8" s="172"/>
      <c r="F8" s="172"/>
      <c r="G8" s="172"/>
      <c r="H8" s="172"/>
      <c r="I8" s="172"/>
      <c r="J8" s="172"/>
    </row>
    <row r="9" spans="1:10" x14ac:dyDescent="0.2">
      <c r="D9" s="91"/>
      <c r="E9" s="90"/>
      <c r="F9" s="90"/>
      <c r="G9" s="90"/>
      <c r="H9" s="90"/>
      <c r="I9" s="90"/>
      <c r="J9" s="90"/>
    </row>
    <row r="10" spans="1:10" x14ac:dyDescent="0.2"/>
    <row r="11" spans="1:10" x14ac:dyDescent="0.2">
      <c r="B11" t="s">
        <v>136</v>
      </c>
      <c r="C11" s="18">
        <v>1</v>
      </c>
    </row>
    <row r="12" spans="1:10" x14ac:dyDescent="0.2"/>
    <row r="13" spans="1:10" x14ac:dyDescent="0.2">
      <c r="B13" t="s">
        <v>169</v>
      </c>
      <c r="C13" s="18" t="s">
        <v>425</v>
      </c>
    </row>
    <row r="14" spans="1:10" x14ac:dyDescent="0.2">
      <c r="B14" t="s">
        <v>170</v>
      </c>
      <c r="C14" s="18" t="s">
        <v>426</v>
      </c>
    </row>
    <row r="15" spans="1:10" x14ac:dyDescent="0.2">
      <c r="B15" t="s">
        <v>171</v>
      </c>
      <c r="C15" s="18" t="s">
        <v>427</v>
      </c>
    </row>
    <row r="16" spans="1:10" x14ac:dyDescent="0.2">
      <c r="B16" t="s">
        <v>172</v>
      </c>
      <c r="C16" s="18" t="s">
        <v>428</v>
      </c>
    </row>
    <row r="17" spans="1:10" x14ac:dyDescent="0.2"/>
    <row r="18" spans="1:10" ht="16.5" thickBot="1" x14ac:dyDescent="0.25">
      <c r="A18" s="4">
        <f ca="1">MAX(A$2:A17)+0.1</f>
        <v>1.2000000000000002</v>
      </c>
      <c r="B18" s="5" t="s">
        <v>307</v>
      </c>
      <c r="C18" s="5"/>
      <c r="D18" s="5"/>
      <c r="E18" s="5"/>
      <c r="F18" s="5"/>
      <c r="G18" s="5"/>
      <c r="H18" s="5"/>
      <c r="I18" s="5"/>
      <c r="J18" s="5"/>
    </row>
    <row r="19" spans="1:10" x14ac:dyDescent="0.2"/>
    <row r="20" spans="1:10" ht="15" x14ac:dyDescent="0.25">
      <c r="B20" s="141" t="s">
        <v>399</v>
      </c>
    </row>
    <row r="21" spans="1:10" ht="32.1" customHeight="1" x14ac:dyDescent="0.2">
      <c r="B21" s="168" t="s">
        <v>400</v>
      </c>
      <c r="C21" s="168"/>
      <c r="D21" s="168"/>
      <c r="E21" s="168"/>
      <c r="F21" s="168"/>
      <c r="G21" s="168"/>
      <c r="H21" s="168"/>
      <c r="I21" s="168"/>
      <c r="J21" s="168"/>
    </row>
    <row r="22" spans="1:10" ht="15.95" customHeight="1" x14ac:dyDescent="0.2">
      <c r="B22" s="169" t="s">
        <v>389</v>
      </c>
      <c r="C22" s="169"/>
      <c r="D22" s="169"/>
      <c r="E22" s="169"/>
      <c r="F22" s="169"/>
      <c r="G22" s="169"/>
      <c r="H22" s="169"/>
      <c r="I22" s="169"/>
      <c r="J22" s="169"/>
    </row>
    <row r="23" spans="1:10" ht="15.95" customHeight="1" x14ac:dyDescent="0.2">
      <c r="B23" s="170" t="s">
        <v>390</v>
      </c>
      <c r="C23" s="170"/>
      <c r="D23" s="170"/>
      <c r="E23" s="170"/>
      <c r="F23" s="170"/>
      <c r="G23" s="170"/>
      <c r="H23" s="170"/>
      <c r="I23" s="170"/>
      <c r="J23" s="170"/>
    </row>
    <row r="24" spans="1:10" ht="32.1" customHeight="1" x14ac:dyDescent="0.2">
      <c r="B24" s="173" t="s">
        <v>401</v>
      </c>
      <c r="C24" s="173"/>
      <c r="D24" s="173"/>
      <c r="E24" s="173"/>
      <c r="F24" s="173"/>
      <c r="G24" s="173"/>
      <c r="H24" s="173"/>
      <c r="I24" s="173"/>
      <c r="J24" s="173"/>
    </row>
    <row r="25" spans="1:10" ht="15.95" customHeight="1" x14ac:dyDescent="0.2">
      <c r="B25" t="s">
        <v>402</v>
      </c>
    </row>
    <row r="26" spans="1:10" ht="15.95" customHeight="1" x14ac:dyDescent="0.2">
      <c r="B26" t="s">
        <v>308</v>
      </c>
    </row>
    <row r="27" spans="1:10" ht="15.95" customHeight="1" x14ac:dyDescent="0.2">
      <c r="B27" t="s">
        <v>309</v>
      </c>
    </row>
    <row r="28" spans="1:10" x14ac:dyDescent="0.2">
      <c r="B28" t="s">
        <v>311</v>
      </c>
      <c r="C28" s="143" t="s">
        <v>313</v>
      </c>
      <c r="D28" t="s">
        <v>312</v>
      </c>
    </row>
    <row r="29" spans="1:10" x14ac:dyDescent="0.2"/>
    <row r="30" spans="1:10" x14ac:dyDescent="0.2"/>
    <row r="31" spans="1:10" ht="16.5" thickBot="1" x14ac:dyDescent="0.25">
      <c r="A31" s="4">
        <f ca="1">MAX(A$2:A30)+0.1</f>
        <v>1.3000000000000003</v>
      </c>
      <c r="B31" s="5" t="s">
        <v>310</v>
      </c>
      <c r="C31" s="5"/>
      <c r="D31" s="5"/>
      <c r="E31" s="5"/>
      <c r="F31" s="5"/>
      <c r="G31" s="5"/>
      <c r="H31" s="5"/>
      <c r="I31" s="5"/>
      <c r="J31" s="5"/>
    </row>
    <row r="32" spans="1:10" x14ac:dyDescent="0.2"/>
    <row r="33" spans="3:3" x14ac:dyDescent="0.2"/>
    <row r="34" spans="3:3" x14ac:dyDescent="0.2"/>
    <row r="35" spans="3:3" x14ac:dyDescent="0.2"/>
    <row r="36" spans="3:3" x14ac:dyDescent="0.2"/>
    <row r="37" spans="3:3" x14ac:dyDescent="0.2"/>
    <row r="38" spans="3:3" ht="15" x14ac:dyDescent="0.2">
      <c r="C38" s="77"/>
    </row>
    <row r="39" spans="3:3" x14ac:dyDescent="0.2"/>
    <row r="40" spans="3:3" x14ac:dyDescent="0.2"/>
    <row r="41" spans="3:3" x14ac:dyDescent="0.2"/>
    <row r="42" spans="3:3" x14ac:dyDescent="0.2"/>
    <row r="43" spans="3:3" x14ac:dyDescent="0.2"/>
    <row r="44" spans="3:3" x14ac:dyDescent="0.2"/>
    <row r="45" spans="3:3" x14ac:dyDescent="0.2"/>
    <row r="46" spans="3:3" x14ac:dyDescent="0.2"/>
    <row r="47" spans="3:3" x14ac:dyDescent="0.2"/>
    <row r="48" spans="3:3" x14ac:dyDescent="0.2"/>
    <row r="49" spans="1:15" x14ac:dyDescent="0.2"/>
    <row r="50" spans="1:15" x14ac:dyDescent="0.2"/>
    <row r="51" spans="1:15" x14ac:dyDescent="0.2"/>
    <row r="52" spans="1:15" x14ac:dyDescent="0.2"/>
    <row r="53" spans="1:15" ht="16.5" thickBot="1" x14ac:dyDescent="0.25">
      <c r="A53" s="4">
        <f ca="1">MAX(A$2:A52)+0.1</f>
        <v>1.4000000000000004</v>
      </c>
      <c r="B53" s="5" t="s">
        <v>314</v>
      </c>
      <c r="C53" s="5"/>
      <c r="D53" s="5"/>
      <c r="E53" s="5"/>
      <c r="F53" s="5"/>
      <c r="G53" s="5"/>
      <c r="H53" s="5"/>
      <c r="I53" s="5"/>
      <c r="J53" s="5"/>
    </row>
    <row r="54" spans="1:15" x14ac:dyDescent="0.2"/>
    <row r="55" spans="1:15" x14ac:dyDescent="0.2">
      <c r="B55" s="158" t="s">
        <v>315</v>
      </c>
      <c r="C55" s="159" t="s">
        <v>316</v>
      </c>
      <c r="D55" s="144"/>
      <c r="E55" s="144"/>
      <c r="F55" s="145"/>
      <c r="G55" s="144"/>
      <c r="H55" s="144"/>
      <c r="I55" s="144"/>
      <c r="J55" s="144"/>
      <c r="K55" s="144"/>
      <c r="L55" s="144"/>
      <c r="M55" s="144"/>
      <c r="N55" s="144"/>
      <c r="O55" s="144"/>
    </row>
    <row r="56" spans="1:15" x14ac:dyDescent="0.2">
      <c r="B56" s="160" t="s">
        <v>317</v>
      </c>
      <c r="C56" s="159" t="s">
        <v>318</v>
      </c>
      <c r="D56" s="144"/>
      <c r="E56" s="144"/>
      <c r="F56" s="145"/>
      <c r="G56" s="144"/>
      <c r="H56" s="144"/>
      <c r="I56" s="144"/>
      <c r="J56" s="144"/>
      <c r="K56" s="144"/>
      <c r="L56" s="144"/>
      <c r="M56" s="144"/>
      <c r="N56" s="144"/>
      <c r="O56" s="144"/>
    </row>
    <row r="57" spans="1:15" x14ac:dyDescent="0.2">
      <c r="B57" s="161" t="s">
        <v>319</v>
      </c>
      <c r="C57" s="159" t="s">
        <v>320</v>
      </c>
      <c r="D57" s="144"/>
      <c r="E57" s="144"/>
      <c r="F57" s="145"/>
      <c r="G57" s="144"/>
      <c r="H57" s="144"/>
      <c r="I57" s="144"/>
      <c r="J57" s="144"/>
      <c r="K57" s="144"/>
      <c r="L57" s="144"/>
      <c r="M57" s="144"/>
      <c r="N57" s="144"/>
      <c r="O57" s="144"/>
    </row>
    <row r="58" spans="1:15" x14ac:dyDescent="0.2"/>
    <row r="59" spans="1:15" x14ac:dyDescent="0.2"/>
    <row r="60" spans="1:15" ht="16.5" thickBot="1" x14ac:dyDescent="0.25">
      <c r="A60" s="4">
        <f ca="1">MAX(A$2:A59)+0.1</f>
        <v>1.5000000000000004</v>
      </c>
      <c r="B60" s="5" t="s">
        <v>174</v>
      </c>
      <c r="C60" s="5"/>
      <c r="D60" s="5"/>
      <c r="E60" s="5"/>
      <c r="F60" s="5"/>
      <c r="G60" s="5"/>
      <c r="H60" s="5"/>
      <c r="I60" s="5"/>
      <c r="J60" s="5"/>
    </row>
    <row r="61" spans="1:15" x14ac:dyDescent="0.2"/>
    <row r="62" spans="1:15" ht="15.75" x14ac:dyDescent="0.2">
      <c r="B62" s="147" t="s">
        <v>321</v>
      </c>
    </row>
    <row r="63" spans="1:15" ht="15.95" customHeight="1" x14ac:dyDescent="0.2">
      <c r="B63" s="168" t="s">
        <v>403</v>
      </c>
      <c r="C63" s="168"/>
      <c r="D63" s="168"/>
      <c r="E63" s="168"/>
      <c r="F63" s="168"/>
      <c r="G63" s="168"/>
      <c r="H63" s="168"/>
      <c r="I63" s="168"/>
      <c r="J63" s="168"/>
    </row>
    <row r="64" spans="1:15" ht="15.95" customHeight="1" x14ac:dyDescent="0.2">
      <c r="B64" s="168"/>
      <c r="C64" s="168"/>
      <c r="D64" s="168"/>
      <c r="E64" s="168"/>
      <c r="F64" s="168"/>
      <c r="G64" s="168"/>
      <c r="H64" s="168"/>
      <c r="I64" s="168"/>
      <c r="J64" s="168"/>
    </row>
    <row r="65" spans="2:10" ht="32.1" customHeight="1" x14ac:dyDescent="0.2">
      <c r="B65" s="168" t="s">
        <v>404</v>
      </c>
      <c r="C65" s="168"/>
      <c r="D65" s="168"/>
      <c r="E65" s="168"/>
      <c r="F65" s="168"/>
      <c r="G65" s="168"/>
      <c r="H65" s="168"/>
      <c r="I65" s="168"/>
      <c r="J65" s="168"/>
    </row>
    <row r="66" spans="2:10" ht="15.95" customHeight="1" x14ac:dyDescent="0.2">
      <c r="B66" s="168" t="s">
        <v>405</v>
      </c>
      <c r="C66" s="168"/>
      <c r="D66" s="168"/>
      <c r="E66" s="168"/>
      <c r="F66" s="168"/>
      <c r="G66" s="168"/>
      <c r="H66" s="168"/>
      <c r="I66" s="168"/>
      <c r="J66" s="168"/>
    </row>
    <row r="67" spans="2:10" ht="15.95" customHeight="1" x14ac:dyDescent="0.2">
      <c r="B67" s="168"/>
      <c r="C67" s="168"/>
      <c r="D67" s="168"/>
      <c r="E67" s="168"/>
      <c r="F67" s="168"/>
      <c r="G67" s="168"/>
      <c r="H67" s="168"/>
      <c r="I67" s="168"/>
      <c r="J67" s="168"/>
    </row>
    <row r="68" spans="2:10" ht="15.95" customHeight="1" x14ac:dyDescent="0.2">
      <c r="B68" s="148"/>
      <c r="C68" s="148"/>
      <c r="D68" s="148"/>
      <c r="E68" s="148"/>
      <c r="F68" s="148"/>
      <c r="G68" s="148"/>
      <c r="H68" s="148"/>
      <c r="I68" s="148"/>
      <c r="J68" s="148"/>
    </row>
    <row r="69" spans="2:10" ht="15.75" x14ac:dyDescent="0.2">
      <c r="B69" s="147" t="s">
        <v>339</v>
      </c>
    </row>
    <row r="70" spans="2:10" ht="32.1" customHeight="1" x14ac:dyDescent="0.2">
      <c r="B70" s="168" t="s">
        <v>378</v>
      </c>
      <c r="C70" s="168"/>
      <c r="D70" s="168"/>
      <c r="E70" s="168"/>
      <c r="F70" s="168"/>
      <c r="G70" s="168"/>
      <c r="H70" s="168"/>
      <c r="I70" s="168"/>
      <c r="J70" s="168"/>
    </row>
    <row r="71" spans="2:10" ht="32.1" customHeight="1" x14ac:dyDescent="0.2">
      <c r="B71" s="168" t="s">
        <v>406</v>
      </c>
      <c r="C71" s="168"/>
      <c r="D71" s="168"/>
      <c r="E71" s="168"/>
      <c r="F71" s="168"/>
      <c r="G71" s="168"/>
      <c r="H71" s="168"/>
      <c r="I71" s="168"/>
      <c r="J71" s="168"/>
    </row>
    <row r="72" spans="2:10" ht="32.1" customHeight="1" x14ac:dyDescent="0.2">
      <c r="B72" s="168" t="s">
        <v>407</v>
      </c>
      <c r="C72" s="168"/>
      <c r="D72" s="168"/>
      <c r="E72" s="168"/>
      <c r="F72" s="168"/>
      <c r="G72" s="168"/>
      <c r="H72" s="168"/>
      <c r="I72" s="168"/>
      <c r="J72" s="168"/>
    </row>
    <row r="73" spans="2:10" x14ac:dyDescent="0.2">
      <c r="B73" t="s">
        <v>322</v>
      </c>
    </row>
    <row r="74" spans="2:10" x14ac:dyDescent="0.2">
      <c r="B74" t="s">
        <v>324</v>
      </c>
    </row>
    <row r="75" spans="2:10" x14ac:dyDescent="0.2">
      <c r="B75" t="s">
        <v>323</v>
      </c>
    </row>
    <row r="76" spans="2:10" x14ac:dyDescent="0.2">
      <c r="B76" t="s">
        <v>325</v>
      </c>
    </row>
    <row r="77" spans="2:10" x14ac:dyDescent="0.2"/>
    <row r="78" spans="2:10" ht="15.75" x14ac:dyDescent="0.2">
      <c r="B78" s="147" t="s">
        <v>340</v>
      </c>
    </row>
    <row r="79" spans="2:10" ht="32.1" customHeight="1" x14ac:dyDescent="0.2">
      <c r="B79" s="168" t="s">
        <v>408</v>
      </c>
      <c r="C79" s="168"/>
      <c r="D79" s="168"/>
      <c r="E79" s="168"/>
      <c r="F79" s="168"/>
      <c r="G79" s="168"/>
      <c r="H79" s="168"/>
      <c r="I79" s="168"/>
      <c r="J79" s="168"/>
    </row>
    <row r="80" spans="2:10" ht="15.95" customHeight="1" x14ac:dyDescent="0.2">
      <c r="B80" t="s">
        <v>392</v>
      </c>
    </row>
    <row r="81" spans="2:10" ht="15.95" customHeight="1" x14ac:dyDescent="0.2">
      <c r="B81" t="s">
        <v>409</v>
      </c>
    </row>
    <row r="82" spans="2:10" ht="15.95" customHeight="1" x14ac:dyDescent="0.2">
      <c r="B82" s="168" t="s">
        <v>387</v>
      </c>
      <c r="C82" s="168"/>
      <c r="D82" s="168"/>
      <c r="E82" s="168"/>
      <c r="F82" s="168"/>
      <c r="G82" s="168"/>
      <c r="H82" s="168"/>
      <c r="I82" s="168"/>
      <c r="J82" s="168"/>
    </row>
    <row r="83" spans="2:10" ht="15.95" customHeight="1" x14ac:dyDescent="0.2">
      <c r="B83" s="168"/>
      <c r="C83" s="168"/>
      <c r="D83" s="168"/>
      <c r="E83" s="168"/>
      <c r="F83" s="168"/>
      <c r="G83" s="168"/>
      <c r="H83" s="168"/>
      <c r="I83" s="168"/>
      <c r="J83" s="168"/>
    </row>
    <row r="84" spans="2:10" ht="32.1" customHeight="1" x14ac:dyDescent="0.2">
      <c r="B84" s="168" t="s">
        <v>388</v>
      </c>
      <c r="C84" s="168"/>
      <c r="D84" s="168"/>
      <c r="E84" s="168"/>
      <c r="F84" s="168"/>
      <c r="G84" s="168"/>
      <c r="H84" s="168"/>
      <c r="I84" s="168"/>
      <c r="J84" s="168"/>
    </row>
    <row r="85" spans="2:10" ht="15.95" customHeight="1" x14ac:dyDescent="0.2">
      <c r="B85" t="s">
        <v>326</v>
      </c>
    </row>
    <row r="86" spans="2:10" ht="15.95" customHeight="1" x14ac:dyDescent="0.2">
      <c r="B86" t="s">
        <v>327</v>
      </c>
    </row>
    <row r="87" spans="2:10" ht="15.95" customHeight="1" x14ac:dyDescent="0.2">
      <c r="B87" t="s">
        <v>328</v>
      </c>
    </row>
    <row r="88" spans="2:10" x14ac:dyDescent="0.2"/>
    <row r="89" spans="2:10" ht="15.75" x14ac:dyDescent="0.2">
      <c r="B89" s="147" t="s">
        <v>329</v>
      </c>
    </row>
    <row r="90" spans="2:10" ht="15.95" customHeight="1" x14ac:dyDescent="0.2">
      <c r="B90" t="s">
        <v>330</v>
      </c>
    </row>
    <row r="91" spans="2:10" ht="32.1" customHeight="1" x14ac:dyDescent="0.2">
      <c r="B91" s="168" t="s">
        <v>393</v>
      </c>
      <c r="C91" s="168"/>
      <c r="D91" s="168"/>
      <c r="E91" s="168"/>
      <c r="F91" s="168"/>
      <c r="G91" s="168"/>
      <c r="H91" s="168"/>
      <c r="I91" s="168"/>
      <c r="J91" s="168"/>
    </row>
    <row r="92" spans="2:10" ht="15.95" customHeight="1" x14ac:dyDescent="0.2">
      <c r="B92" t="s">
        <v>394</v>
      </c>
    </row>
    <row r="93" spans="2:10" ht="15.95" customHeight="1" x14ac:dyDescent="0.2">
      <c r="B93" t="s">
        <v>331</v>
      </c>
    </row>
    <row r="94" spans="2:10" ht="32.1" customHeight="1" x14ac:dyDescent="0.2">
      <c r="B94" s="168" t="s">
        <v>332</v>
      </c>
      <c r="C94" s="168"/>
      <c r="D94" s="168"/>
      <c r="E94" s="168"/>
      <c r="F94" s="168"/>
      <c r="G94" s="168"/>
      <c r="H94" s="168"/>
      <c r="I94" s="168"/>
      <c r="J94" s="168"/>
    </row>
    <row r="95" spans="2:10" ht="29.1" customHeight="1" x14ac:dyDescent="0.2">
      <c r="B95" s="168" t="s">
        <v>333</v>
      </c>
      <c r="C95" s="168"/>
      <c r="D95" s="168"/>
      <c r="E95" s="168"/>
      <c r="F95" s="168"/>
      <c r="G95" s="168"/>
      <c r="H95" s="168"/>
      <c r="I95" s="168"/>
      <c r="J95" s="168"/>
    </row>
    <row r="96" spans="2:10" ht="15.95" customHeight="1" x14ac:dyDescent="0.2">
      <c r="B96" s="168"/>
      <c r="C96" s="168"/>
      <c r="D96" s="168"/>
      <c r="E96" s="168"/>
      <c r="F96" s="168"/>
      <c r="G96" s="168"/>
      <c r="H96" s="168"/>
      <c r="I96" s="168"/>
      <c r="J96" s="168"/>
    </row>
    <row r="97" spans="2:10" ht="15.95" customHeight="1" x14ac:dyDescent="0.2">
      <c r="B97" t="s">
        <v>334</v>
      </c>
    </row>
    <row r="98" spans="2:10" ht="32.1" customHeight="1" x14ac:dyDescent="0.2">
      <c r="B98" s="168" t="s">
        <v>379</v>
      </c>
      <c r="C98" s="168"/>
      <c r="D98" s="168"/>
      <c r="E98" s="168"/>
      <c r="F98" s="168"/>
      <c r="G98" s="168"/>
      <c r="H98" s="168"/>
      <c r="I98" s="168"/>
      <c r="J98" s="168"/>
    </row>
    <row r="99" spans="2:10" ht="29.1" customHeight="1" x14ac:dyDescent="0.2">
      <c r="B99" s="168" t="s">
        <v>335</v>
      </c>
      <c r="C99" s="168"/>
      <c r="D99" s="168"/>
      <c r="E99" s="168"/>
      <c r="F99" s="168"/>
      <c r="G99" s="168"/>
      <c r="H99" s="168"/>
      <c r="I99" s="168"/>
      <c r="J99" s="168"/>
    </row>
    <row r="100" spans="2:10" x14ac:dyDescent="0.2"/>
    <row r="101" spans="2:10" ht="15.75" x14ac:dyDescent="0.2">
      <c r="B101" s="147" t="s">
        <v>336</v>
      </c>
    </row>
    <row r="102" spans="2:10" ht="15.95" customHeight="1" x14ac:dyDescent="0.2">
      <c r="B102" s="168" t="s">
        <v>337</v>
      </c>
      <c r="C102" s="168"/>
      <c r="D102" s="168"/>
      <c r="E102" s="168"/>
      <c r="F102" s="168"/>
      <c r="G102" s="168"/>
      <c r="H102" s="168"/>
      <c r="I102" s="168"/>
      <c r="J102" s="168"/>
    </row>
    <row r="103" spans="2:10" ht="15.95" customHeight="1" x14ac:dyDescent="0.2">
      <c r="B103" s="168"/>
      <c r="C103" s="168"/>
      <c r="D103" s="168"/>
      <c r="E103" s="168"/>
      <c r="F103" s="168"/>
      <c r="G103" s="168"/>
      <c r="H103" s="168"/>
      <c r="I103" s="168"/>
      <c r="J103" s="168"/>
    </row>
    <row r="104" spans="2:10" ht="15.95" customHeight="1" x14ac:dyDescent="0.2">
      <c r="B104" t="s">
        <v>410</v>
      </c>
    </row>
    <row r="105" spans="2:10" x14ac:dyDescent="0.2"/>
    <row r="106" spans="2:10" ht="15.75" x14ac:dyDescent="0.2">
      <c r="B106" s="147" t="s">
        <v>338</v>
      </c>
    </row>
    <row r="107" spans="2:10" ht="32.1" customHeight="1" x14ac:dyDescent="0.2">
      <c r="B107" s="168" t="s">
        <v>411</v>
      </c>
      <c r="C107" s="168"/>
      <c r="D107" s="168"/>
      <c r="E107" s="168"/>
      <c r="F107" s="168"/>
      <c r="G107" s="168"/>
      <c r="H107" s="168"/>
      <c r="I107" s="168"/>
      <c r="J107" s="168"/>
    </row>
    <row r="108" spans="2:10" x14ac:dyDescent="0.2"/>
    <row r="109" spans="2:10" ht="15.75" x14ac:dyDescent="0.2">
      <c r="B109" s="147" t="s">
        <v>395</v>
      </c>
    </row>
    <row r="110" spans="2:10" ht="15.95" customHeight="1" x14ac:dyDescent="0.2">
      <c r="B110" t="s">
        <v>364</v>
      </c>
    </row>
    <row r="111" spans="2:10" ht="15.95" customHeight="1" x14ac:dyDescent="0.2">
      <c r="B111" t="s">
        <v>365</v>
      </c>
    </row>
    <row r="112" spans="2:10" ht="15.95" customHeight="1" x14ac:dyDescent="0.2">
      <c r="B112" t="s">
        <v>396</v>
      </c>
    </row>
    <row r="113" spans="1:10" x14ac:dyDescent="0.2"/>
    <row r="114" spans="1:10" ht="16.5" thickBot="1" x14ac:dyDescent="0.25">
      <c r="A114" s="4">
        <f ca="1">MAX(A$2:A112)+0.1</f>
        <v>1.6000000000000005</v>
      </c>
      <c r="B114" s="5" t="s">
        <v>363</v>
      </c>
      <c r="C114" s="5"/>
      <c r="D114" s="5"/>
      <c r="E114" s="5"/>
      <c r="F114" s="5"/>
      <c r="G114" s="5"/>
      <c r="H114" s="5"/>
      <c r="I114" s="5"/>
      <c r="J114" s="5"/>
    </row>
    <row r="115" spans="1:10" x14ac:dyDescent="0.2"/>
    <row r="116" spans="1:10" ht="15.75" x14ac:dyDescent="0.2">
      <c r="B116" s="147" t="s">
        <v>374</v>
      </c>
    </row>
    <row r="117" spans="1:10" ht="32.1" customHeight="1" x14ac:dyDescent="0.2">
      <c r="B117" s="168" t="s">
        <v>412</v>
      </c>
      <c r="C117" s="168"/>
      <c r="D117" s="168"/>
      <c r="E117" s="168"/>
      <c r="F117" s="168"/>
      <c r="G117" s="168"/>
      <c r="H117" s="168"/>
      <c r="I117" s="168"/>
      <c r="J117" s="168"/>
    </row>
    <row r="118" spans="1:10" ht="32.1" customHeight="1" x14ac:dyDescent="0.2">
      <c r="B118" s="168" t="s">
        <v>413</v>
      </c>
      <c r="C118" s="168"/>
      <c r="D118" s="168"/>
      <c r="E118" s="168"/>
      <c r="F118" s="168"/>
      <c r="G118" s="168"/>
      <c r="H118" s="168"/>
      <c r="I118" s="168"/>
      <c r="J118" s="168"/>
    </row>
    <row r="119" spans="1:10" ht="32.1" customHeight="1" x14ac:dyDescent="0.2">
      <c r="B119" s="168" t="s">
        <v>380</v>
      </c>
      <c r="C119" s="168"/>
      <c r="D119" s="168"/>
      <c r="E119" s="168"/>
      <c r="F119" s="168"/>
      <c r="G119" s="168"/>
      <c r="H119" s="168"/>
      <c r="I119" s="168"/>
      <c r="J119" s="168"/>
    </row>
    <row r="120" spans="1:10" ht="32.1" customHeight="1" x14ac:dyDescent="0.2">
      <c r="B120" s="168" t="s">
        <v>381</v>
      </c>
      <c r="C120" s="168"/>
      <c r="D120" s="168"/>
      <c r="E120" s="168"/>
      <c r="F120" s="168"/>
      <c r="G120" s="168"/>
      <c r="H120" s="168"/>
      <c r="I120" s="168"/>
      <c r="J120" s="168"/>
    </row>
    <row r="121" spans="1:10" ht="29.1" customHeight="1" x14ac:dyDescent="0.2">
      <c r="B121" s="168" t="s">
        <v>382</v>
      </c>
      <c r="C121" s="168"/>
      <c r="D121" s="168"/>
      <c r="E121" s="168"/>
      <c r="F121" s="168"/>
      <c r="G121" s="168"/>
      <c r="H121" s="168"/>
      <c r="I121" s="168"/>
      <c r="J121" s="168"/>
    </row>
    <row r="122" spans="1:10" x14ac:dyDescent="0.2"/>
    <row r="123" spans="1:10" ht="15.75" x14ac:dyDescent="0.2">
      <c r="B123" s="147" t="s">
        <v>375</v>
      </c>
    </row>
    <row r="124" spans="1:10" ht="15.95" customHeight="1" x14ac:dyDescent="0.2">
      <c r="B124" t="s">
        <v>376</v>
      </c>
    </row>
    <row r="125" spans="1:10" ht="15.95" customHeight="1" x14ac:dyDescent="0.2">
      <c r="B125" t="s">
        <v>383</v>
      </c>
    </row>
    <row r="126" spans="1:10" ht="15.95" customHeight="1" x14ac:dyDescent="0.2">
      <c r="B126" t="s">
        <v>384</v>
      </c>
    </row>
    <row r="127" spans="1:10" ht="32.1" customHeight="1" x14ac:dyDescent="0.2">
      <c r="B127" s="168" t="s">
        <v>414</v>
      </c>
      <c r="C127" s="168"/>
      <c r="D127" s="168"/>
      <c r="E127" s="168"/>
      <c r="F127" s="168"/>
      <c r="G127" s="168"/>
      <c r="H127" s="168"/>
      <c r="I127" s="168"/>
      <c r="J127" s="168"/>
    </row>
    <row r="128" spans="1:10" x14ac:dyDescent="0.2">
      <c r="B128" s="168" t="s">
        <v>385</v>
      </c>
      <c r="C128" s="168"/>
      <c r="D128" s="168"/>
      <c r="E128" s="168"/>
      <c r="F128" s="168"/>
      <c r="G128" s="168"/>
      <c r="H128" s="168"/>
      <c r="I128" s="168"/>
      <c r="J128" s="168"/>
    </row>
    <row r="129" spans="1:16" x14ac:dyDescent="0.2">
      <c r="B129" s="168"/>
      <c r="C129" s="168"/>
      <c r="D129" s="168"/>
      <c r="E129" s="168"/>
      <c r="F129" s="168"/>
      <c r="G129" s="168"/>
      <c r="H129" s="168"/>
      <c r="I129" s="168"/>
      <c r="J129" s="168"/>
    </row>
    <row r="130" spans="1:16" x14ac:dyDescent="0.2"/>
    <row r="131" spans="1:16" x14ac:dyDescent="0.2"/>
    <row r="132" spans="1:16" ht="15" x14ac:dyDescent="0.25">
      <c r="A132" s="119" t="s">
        <v>13</v>
      </c>
      <c r="B132" s="116"/>
      <c r="C132" s="116"/>
      <c r="D132" s="116"/>
      <c r="E132" s="116"/>
      <c r="F132" s="116"/>
      <c r="G132" s="116"/>
      <c r="H132" s="116"/>
      <c r="I132" s="116"/>
      <c r="J132" s="116"/>
      <c r="K132" s="116"/>
      <c r="L132" s="116"/>
      <c r="M132" s="116"/>
      <c r="N132" s="116"/>
      <c r="O132" s="116"/>
      <c r="P132" s="116"/>
    </row>
    <row r="133" spans="1:16" x14ac:dyDescent="0.2"/>
    <row r="134" spans="1:16" x14ac:dyDescent="0.2"/>
    <row r="135" spans="1:16" x14ac:dyDescent="0.2"/>
  </sheetData>
  <sheetProtection algorithmName="SHA-512" hashValue="QxNswQZnCHRV5xO8rgS4HXwAQd71d9x1sAyPMJeozyUUf77HvzeplqSdvyFStIBrjLXHskczrZ/zq7XsnX3kRg==" saltValue="4+FOZk26yRvXnxlXbea4lg==" spinCount="100000" sheet="1" objects="1" scenarios="1"/>
  <mergeCells count="28">
    <mergeCell ref="D8:J8"/>
    <mergeCell ref="B128:J129"/>
    <mergeCell ref="B21:J21"/>
    <mergeCell ref="B24:J24"/>
    <mergeCell ref="B70:J70"/>
    <mergeCell ref="B71:J71"/>
    <mergeCell ref="B72:J72"/>
    <mergeCell ref="B84:J84"/>
    <mergeCell ref="B91:J91"/>
    <mergeCell ref="B94:J94"/>
    <mergeCell ref="B99:J99"/>
    <mergeCell ref="B107:J107"/>
    <mergeCell ref="B119:J119"/>
    <mergeCell ref="B120:J120"/>
    <mergeCell ref="B121:J121"/>
    <mergeCell ref="B127:J127"/>
    <mergeCell ref="B117:J117"/>
    <mergeCell ref="B118:J118"/>
    <mergeCell ref="B95:J96"/>
    <mergeCell ref="B102:J103"/>
    <mergeCell ref="B22:J22"/>
    <mergeCell ref="B63:J64"/>
    <mergeCell ref="B66:J67"/>
    <mergeCell ref="B79:J79"/>
    <mergeCell ref="B82:J83"/>
    <mergeCell ref="B65:J65"/>
    <mergeCell ref="B98:J98"/>
    <mergeCell ref="B23:J23"/>
  </mergeCells>
  <dataValidations count="1">
    <dataValidation type="list" allowBlank="1" showInputMessage="1" showErrorMessage="1" sqref="C7" xr:uid="{4D6C73CC-4941-49EA-BF37-C7F1537B6890}">
      <formula1>Select_Council</formula1>
    </dataValidation>
  </dataValidations>
  <hyperlinks>
    <hyperlink ref="C28" r:id="rId1" xr:uid="{063D21BB-3085-4A26-99EF-DA4B6D345A53}"/>
    <hyperlink ref="B23" r:id="rId2" display="https://www.esc.vic.gov.au/local-government/higher-rate-cap-applications/guidance-councils-applying-higher-cap" xr:uid="{3FBC451B-3541-4729-812C-29C19CBCAD90}"/>
    <hyperlink ref="D8:J8" r:id="rId3" display=" template, at: Guidance for councils applying for a higher cap |  Essential Services Commission" xr:uid="{F953A7C3-3252-4988-BAAF-C27C5BC9C7AF}"/>
  </hyperlinks>
  <pageMargins left="0.7" right="0.7" top="0.75" bottom="0.75" header="0.3" footer="0.3"/>
  <pageSetup scale="53" orientation="portrait" r:id="rId4"/>
  <headerFooter>
    <oddHeader>&amp;C&amp;"Calibri"&amp;12&amp;KFF0000 OFFICIAL&amp;1#_x000D_</oddHeader>
  </headerFooter>
  <rowBreaks count="1" manualBreakCount="1">
    <brk id="68" max="16383" man="1"/>
  </rowBreaks>
  <colBreaks count="1" manualBreakCount="1">
    <brk id="451" max="1048575" man="1"/>
  </colBreaks>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15B6CEB-8EBA-45EE-8586-797143670096}">
          <x14:formula1>
            <xm:f>'A. Ref_hidden'!$E$36:$E$40</xm:f>
          </x14:formula1>
          <xm:sqref>C11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42E7F-20E2-478D-9E63-FBB5811B1DC6}">
  <sheetPr codeName="Sheet9">
    <tabColor rgb="FF7F7F7F"/>
  </sheetPr>
  <dimension ref="A1:J153"/>
  <sheetViews>
    <sheetView showGridLines="0" zoomScale="70" zoomScaleNormal="70" workbookViewId="0">
      <pane ySplit="2" topLeftCell="A4" activePane="bottomLeft" state="frozen"/>
      <selection activeCell="D54" sqref="D54"/>
      <selection pane="bottomLeft" activeCell="E7" sqref="E7"/>
    </sheetView>
  </sheetViews>
  <sheetFormatPr defaultRowHeight="14.25" x14ac:dyDescent="0.2"/>
  <cols>
    <col min="1" max="1" width="9.875" style="12" customWidth="1"/>
    <col min="2" max="10" width="19" customWidth="1"/>
  </cols>
  <sheetData>
    <row r="1" spans="1:10" ht="50.1" customHeight="1" x14ac:dyDescent="0.2">
      <c r="A1" s="3"/>
      <c r="B1" s="3" t="str">
        <f>title</f>
        <v>Higher cap information template</v>
      </c>
      <c r="C1" s="3"/>
      <c r="D1" s="3"/>
      <c r="E1" s="3"/>
      <c r="F1" s="3"/>
      <c r="G1" s="3"/>
      <c r="H1" s="3"/>
      <c r="I1" s="3"/>
      <c r="J1" s="3"/>
    </row>
    <row r="2" spans="1:10" ht="30" customHeight="1" x14ac:dyDescent="0.2">
      <c r="A2" s="2">
        <f ca="1">_xlfn.SHEET()</f>
        <v>10</v>
      </c>
      <c r="B2" s="1" t="s">
        <v>272</v>
      </c>
      <c r="C2" s="1"/>
      <c r="D2" s="1"/>
      <c r="E2" s="1"/>
      <c r="F2" s="1"/>
      <c r="G2" s="1"/>
      <c r="H2" s="1"/>
      <c r="I2" s="1"/>
      <c r="J2" s="1"/>
    </row>
    <row r="3" spans="1:10" x14ac:dyDescent="0.2">
      <c r="A3"/>
    </row>
    <row r="4" spans="1:10" ht="16.5" thickBot="1" x14ac:dyDescent="0.25">
      <c r="A4" s="4">
        <f ca="1">MAX(A$2:A3)+0.1</f>
        <v>10.1</v>
      </c>
      <c r="B4" s="5" t="s">
        <v>175</v>
      </c>
      <c r="C4" s="5"/>
      <c r="D4" s="5"/>
      <c r="E4" s="5"/>
      <c r="F4" s="5"/>
      <c r="G4" s="5"/>
      <c r="H4" s="5"/>
      <c r="I4" s="5"/>
      <c r="J4" s="5"/>
    </row>
    <row r="5" spans="1:10" x14ac:dyDescent="0.2">
      <c r="A5"/>
    </row>
    <row r="6" spans="1:10" x14ac:dyDescent="0.2">
      <c r="B6" s="72" t="s">
        <v>170</v>
      </c>
      <c r="C6" s="73"/>
      <c r="D6" s="73"/>
      <c r="E6" s="216" t="s">
        <v>397</v>
      </c>
      <c r="F6" s="217"/>
      <c r="G6" s="218"/>
      <c r="H6" s="75" t="s">
        <v>288</v>
      </c>
    </row>
    <row r="8" spans="1:10" ht="16.5" thickBot="1" x14ac:dyDescent="0.25">
      <c r="A8" s="4">
        <f ca="1">MAX(A$2:A7)+0.1</f>
        <v>10.199999999999999</v>
      </c>
      <c r="B8" s="5" t="s">
        <v>175</v>
      </c>
      <c r="C8" s="5"/>
      <c r="D8" s="5"/>
      <c r="E8" s="5"/>
      <c r="F8" s="5"/>
      <c r="G8" s="5"/>
      <c r="H8" s="5"/>
      <c r="I8" s="5"/>
      <c r="J8" s="5"/>
    </row>
    <row r="10" spans="1:10" x14ac:dyDescent="0.2">
      <c r="B10" s="72" t="s">
        <v>176</v>
      </c>
      <c r="C10" s="73"/>
      <c r="D10" s="78" t="s">
        <v>177</v>
      </c>
      <c r="E10" s="79">
        <v>45839</v>
      </c>
      <c r="F10" s="75" t="s">
        <v>178</v>
      </c>
      <c r="G10" s="80" t="s">
        <v>168</v>
      </c>
      <c r="H10" s="81"/>
    </row>
    <row r="12" spans="1:10" ht="16.5" thickBot="1" x14ac:dyDescent="0.25">
      <c r="A12" s="4">
        <f ca="1">MAX(A$2:A11)+0.1</f>
        <v>10.299999999999999</v>
      </c>
      <c r="B12" s="5" t="s">
        <v>179</v>
      </c>
      <c r="C12" s="5"/>
      <c r="D12" s="5"/>
      <c r="E12" s="5"/>
      <c r="F12" s="5"/>
      <c r="G12" s="5"/>
      <c r="H12" s="5"/>
      <c r="I12" s="5"/>
      <c r="J12" s="5"/>
    </row>
    <row r="14" spans="1:10" x14ac:dyDescent="0.2">
      <c r="B14" s="72" t="s">
        <v>180</v>
      </c>
      <c r="C14" s="73"/>
      <c r="D14" s="73"/>
      <c r="E14" s="216" t="s">
        <v>305</v>
      </c>
      <c r="F14" s="217"/>
      <c r="G14" s="218"/>
      <c r="H14" s="73"/>
      <c r="I14" s="73"/>
    </row>
    <row r="15" spans="1:10" x14ac:dyDescent="0.2">
      <c r="B15" s="72" t="s">
        <v>181</v>
      </c>
      <c r="C15" s="73"/>
      <c r="D15" s="73"/>
      <c r="E15" s="216" t="s">
        <v>182</v>
      </c>
      <c r="F15" s="217"/>
      <c r="G15" s="218"/>
      <c r="H15" s="73"/>
      <c r="I15" s="73"/>
    </row>
    <row r="16" spans="1:10" x14ac:dyDescent="0.2">
      <c r="B16" s="72" t="s">
        <v>183</v>
      </c>
      <c r="C16" s="73"/>
      <c r="D16" s="73"/>
      <c r="E16" s="219" t="e">
        <f ca="1">MID(CELL("filename"),SEARCH("[",CELL("filename"))+1,SEARCH(".",CELL("filename"))-1-SEARCH("[",CELL("filename")))</f>
        <v>#VALUE!</v>
      </c>
      <c r="F16" s="220"/>
      <c r="G16" s="221"/>
      <c r="H16" s="73"/>
      <c r="I16" s="73"/>
    </row>
    <row r="17" spans="1:10" x14ac:dyDescent="0.2">
      <c r="B17" s="73"/>
      <c r="C17" s="73"/>
      <c r="D17" s="73"/>
      <c r="E17" s="73"/>
      <c r="F17" s="73"/>
      <c r="G17" s="73"/>
      <c r="H17" s="73"/>
      <c r="I17" s="73"/>
    </row>
    <row r="18" spans="1:10" x14ac:dyDescent="0.2">
      <c r="B18" s="72" t="s">
        <v>270</v>
      </c>
      <c r="C18" s="73"/>
      <c r="D18" s="73"/>
      <c r="E18" s="82" t="str">
        <f>+YEAR(period)-1&amp;"–"&amp;RIGHT(YEAR(period),2)</f>
        <v>2024–25</v>
      </c>
      <c r="F18" s="73"/>
      <c r="G18" s="73"/>
      <c r="H18" s="73"/>
      <c r="I18" s="73"/>
    </row>
    <row r="19" spans="1:10" x14ac:dyDescent="0.2">
      <c r="B19" s="73"/>
      <c r="C19" s="73"/>
      <c r="D19" s="73"/>
      <c r="E19" s="73"/>
      <c r="F19" s="73"/>
      <c r="G19" s="73"/>
      <c r="H19" s="73"/>
      <c r="I19" s="73"/>
    </row>
    <row r="20" spans="1:10" x14ac:dyDescent="0.2">
      <c r="B20" s="72" t="s">
        <v>184</v>
      </c>
      <c r="C20" s="73"/>
      <c r="D20" s="73"/>
      <c r="E20" s="83" t="s">
        <v>185</v>
      </c>
      <c r="F20" s="73"/>
      <c r="G20" s="73"/>
      <c r="H20" s="73"/>
      <c r="I20" s="73"/>
    </row>
    <row r="21" spans="1:10" x14ac:dyDescent="0.2">
      <c r="B21" s="72" t="s">
        <v>186</v>
      </c>
      <c r="C21" s="73"/>
      <c r="D21" s="73"/>
      <c r="E21" s="83">
        <v>6</v>
      </c>
      <c r="F21" s="73"/>
      <c r="G21" s="73"/>
      <c r="H21" s="73"/>
      <c r="I21" s="73"/>
    </row>
    <row r="23" spans="1:10" ht="16.5" thickBot="1" x14ac:dyDescent="0.25">
      <c r="A23" s="4">
        <f ca="1">MAX(A$2:A22)+0.1</f>
        <v>10.399999999999999</v>
      </c>
      <c r="B23" s="5" t="s">
        <v>187</v>
      </c>
      <c r="C23" s="5"/>
      <c r="D23" s="5"/>
      <c r="E23" s="5"/>
      <c r="F23" s="5"/>
      <c r="G23" s="5"/>
      <c r="H23" s="5"/>
      <c r="I23" s="5"/>
      <c r="J23" s="5"/>
    </row>
    <row r="25" spans="1:10" x14ac:dyDescent="0.2">
      <c r="B25" s="85">
        <v>1</v>
      </c>
      <c r="E25" s="84">
        <v>45474</v>
      </c>
    </row>
    <row r="26" spans="1:10" x14ac:dyDescent="0.2">
      <c r="B26" s="85">
        <v>2</v>
      </c>
      <c r="E26" s="84">
        <v>45839</v>
      </c>
    </row>
    <row r="27" spans="1:10" x14ac:dyDescent="0.2">
      <c r="B27" s="85">
        <v>3</v>
      </c>
      <c r="E27" s="84">
        <v>46204</v>
      </c>
    </row>
    <row r="28" spans="1:10" x14ac:dyDescent="0.2">
      <c r="B28" s="85">
        <v>4</v>
      </c>
      <c r="E28" s="84">
        <v>46569</v>
      </c>
    </row>
    <row r="29" spans="1:10" x14ac:dyDescent="0.2">
      <c r="B29" s="85">
        <v>5</v>
      </c>
      <c r="E29" s="84">
        <v>46935</v>
      </c>
    </row>
    <row r="30" spans="1:10" x14ac:dyDescent="0.2">
      <c r="B30" s="85">
        <v>6</v>
      </c>
      <c r="E30" s="84">
        <v>47300</v>
      </c>
    </row>
    <row r="31" spans="1:10" x14ac:dyDescent="0.2">
      <c r="B31" s="85">
        <v>7</v>
      </c>
      <c r="E31" s="84">
        <v>47665</v>
      </c>
    </row>
    <row r="32" spans="1:10" x14ac:dyDescent="0.2">
      <c r="B32" s="85">
        <v>8</v>
      </c>
      <c r="E32" s="84">
        <v>48030</v>
      </c>
    </row>
    <row r="33" spans="1:10" x14ac:dyDescent="0.2">
      <c r="B33" s="85">
        <v>9</v>
      </c>
      <c r="E33" s="84">
        <v>48396</v>
      </c>
    </row>
    <row r="34" spans="1:10" x14ac:dyDescent="0.2">
      <c r="B34" s="85">
        <v>10</v>
      </c>
      <c r="E34" s="84">
        <v>48761</v>
      </c>
    </row>
    <row r="36" spans="1:10" x14ac:dyDescent="0.2">
      <c r="B36" t="s">
        <v>282</v>
      </c>
      <c r="E36" t="s">
        <v>283</v>
      </c>
    </row>
    <row r="37" spans="1:10" x14ac:dyDescent="0.2">
      <c r="E37" s="85">
        <v>1</v>
      </c>
    </row>
    <row r="38" spans="1:10" x14ac:dyDescent="0.2">
      <c r="E38" s="85">
        <v>2</v>
      </c>
    </row>
    <row r="39" spans="1:10" x14ac:dyDescent="0.2">
      <c r="E39" s="85">
        <v>3</v>
      </c>
    </row>
    <row r="40" spans="1:10" x14ac:dyDescent="0.2">
      <c r="E40" s="85">
        <v>4</v>
      </c>
    </row>
    <row r="43" spans="1:10" ht="16.5" thickBot="1" x14ac:dyDescent="0.25">
      <c r="A43" s="4">
        <f ca="1">MAX(A$2:A42)+0.1</f>
        <v>10.499999999999998</v>
      </c>
      <c r="B43" s="5" t="s">
        <v>188</v>
      </c>
      <c r="C43" s="5"/>
      <c r="D43" s="5"/>
      <c r="E43" s="5"/>
      <c r="F43" s="5"/>
      <c r="G43" s="5"/>
      <c r="H43" s="5"/>
      <c r="I43" s="5"/>
      <c r="J43" s="5"/>
    </row>
    <row r="45" spans="1:10" x14ac:dyDescent="0.2">
      <c r="B45" s="86">
        <v>42552</v>
      </c>
      <c r="C45" s="73"/>
      <c r="D45" s="73"/>
      <c r="E45" s="87">
        <v>2.5000000000000001E-2</v>
      </c>
    </row>
    <row r="46" spans="1:10" x14ac:dyDescent="0.2">
      <c r="B46" s="86">
        <v>42917</v>
      </c>
      <c r="C46" s="73"/>
      <c r="D46" s="73"/>
      <c r="E46" s="87">
        <v>0.02</v>
      </c>
    </row>
    <row r="47" spans="1:10" x14ac:dyDescent="0.2">
      <c r="B47" s="86">
        <v>43282</v>
      </c>
      <c r="C47" s="73"/>
      <c r="D47" s="73"/>
      <c r="E47" s="87">
        <v>2.2499999999999999E-2</v>
      </c>
    </row>
    <row r="48" spans="1:10" x14ac:dyDescent="0.2">
      <c r="B48" s="86">
        <v>43647</v>
      </c>
      <c r="C48" s="73"/>
      <c r="D48" s="73"/>
      <c r="E48" s="87">
        <v>2.5000000000000001E-2</v>
      </c>
    </row>
    <row r="49" spans="1:10" x14ac:dyDescent="0.2">
      <c r="B49" s="86">
        <v>44013</v>
      </c>
      <c r="C49" s="73"/>
      <c r="D49" s="73"/>
      <c r="E49" s="87">
        <v>0.02</v>
      </c>
    </row>
    <row r="50" spans="1:10" x14ac:dyDescent="0.2">
      <c r="B50" s="86">
        <v>44378</v>
      </c>
      <c r="C50" s="73"/>
      <c r="D50" s="73"/>
      <c r="E50" s="87">
        <v>1.4999999999999999E-2</v>
      </c>
    </row>
    <row r="51" spans="1:10" x14ac:dyDescent="0.2">
      <c r="B51" s="86">
        <v>44743</v>
      </c>
      <c r="C51" s="73"/>
      <c r="D51" s="73"/>
      <c r="E51" s="87">
        <v>1.7500000000000002E-2</v>
      </c>
    </row>
    <row r="52" spans="1:10" x14ac:dyDescent="0.2">
      <c r="B52" s="86">
        <v>45108</v>
      </c>
      <c r="C52" s="73"/>
      <c r="D52" s="73"/>
      <c r="E52" s="87">
        <v>3.5000000000000003E-2</v>
      </c>
    </row>
    <row r="53" spans="1:10" x14ac:dyDescent="0.2">
      <c r="B53" s="86">
        <v>45474</v>
      </c>
      <c r="C53" s="73"/>
      <c r="D53" s="73"/>
      <c r="E53" s="88">
        <v>2.75E-2</v>
      </c>
    </row>
    <row r="54" spans="1:10" x14ac:dyDescent="0.2">
      <c r="B54" s="86">
        <v>45839</v>
      </c>
      <c r="C54" s="73"/>
      <c r="D54" s="73"/>
      <c r="E54" s="88"/>
    </row>
    <row r="55" spans="1:10" x14ac:dyDescent="0.2">
      <c r="B55" s="86">
        <v>46204</v>
      </c>
      <c r="C55" s="73"/>
      <c r="D55" s="73"/>
      <c r="E55" s="88"/>
    </row>
    <row r="56" spans="1:10" x14ac:dyDescent="0.2">
      <c r="B56" s="86">
        <v>46569</v>
      </c>
      <c r="C56" s="73"/>
      <c r="D56" s="73"/>
      <c r="E56" s="88"/>
    </row>
    <row r="57" spans="1:10" x14ac:dyDescent="0.2">
      <c r="B57" s="86">
        <v>46935</v>
      </c>
      <c r="C57" s="73"/>
      <c r="D57" s="73"/>
      <c r="E57" s="88"/>
    </row>
    <row r="58" spans="1:10" x14ac:dyDescent="0.2">
      <c r="B58" s="86">
        <v>47300</v>
      </c>
      <c r="C58" s="73"/>
      <c r="D58" s="73"/>
      <c r="E58" s="88"/>
    </row>
    <row r="59" spans="1:10" x14ac:dyDescent="0.2">
      <c r="B59" s="86">
        <v>47665</v>
      </c>
      <c r="C59" s="73"/>
      <c r="D59" s="73"/>
      <c r="E59" s="88"/>
    </row>
    <row r="60" spans="1:10" x14ac:dyDescent="0.2">
      <c r="B60" s="86">
        <v>48030</v>
      </c>
      <c r="C60" s="73"/>
      <c r="D60" s="73"/>
      <c r="E60" s="88"/>
    </row>
    <row r="62" spans="1:10" ht="16.5" thickBot="1" x14ac:dyDescent="0.25">
      <c r="A62" s="4">
        <f ca="1">MAX(A$2:A61)+0.1</f>
        <v>10.599999999999998</v>
      </c>
      <c r="B62" s="5" t="s">
        <v>153</v>
      </c>
      <c r="C62" s="5"/>
      <c r="D62" s="5"/>
      <c r="E62" s="5"/>
      <c r="F62" s="5"/>
      <c r="G62" s="5"/>
      <c r="H62" s="5"/>
      <c r="I62" s="5"/>
      <c r="J62" s="5"/>
    </row>
    <row r="64" spans="1:10" x14ac:dyDescent="0.2">
      <c r="B64" s="85">
        <v>0</v>
      </c>
      <c r="C64" s="73"/>
      <c r="D64" s="73"/>
      <c r="E64" s="74" t="s">
        <v>189</v>
      </c>
    </row>
    <row r="65" spans="2:5" x14ac:dyDescent="0.2">
      <c r="B65" s="85">
        <v>1</v>
      </c>
      <c r="C65" s="73"/>
      <c r="D65" s="73"/>
      <c r="E65" s="74" t="s">
        <v>190</v>
      </c>
    </row>
    <row r="66" spans="2:5" x14ac:dyDescent="0.2">
      <c r="B66" s="85">
        <v>2</v>
      </c>
      <c r="C66" s="73"/>
      <c r="D66" s="73"/>
      <c r="E66" s="74" t="s">
        <v>191</v>
      </c>
    </row>
    <row r="67" spans="2:5" x14ac:dyDescent="0.2">
      <c r="B67" s="85">
        <v>3</v>
      </c>
      <c r="C67" s="73"/>
      <c r="D67" s="73"/>
      <c r="E67" s="74" t="s">
        <v>192</v>
      </c>
    </row>
    <row r="68" spans="2:5" x14ac:dyDescent="0.2">
      <c r="B68" s="85">
        <v>4</v>
      </c>
      <c r="C68" s="73"/>
      <c r="D68" s="73"/>
      <c r="E68" s="74" t="s">
        <v>193</v>
      </c>
    </row>
    <row r="69" spans="2:5" x14ac:dyDescent="0.2">
      <c r="B69" s="85">
        <v>5</v>
      </c>
      <c r="C69" s="73"/>
      <c r="D69" s="73"/>
      <c r="E69" s="74" t="s">
        <v>194</v>
      </c>
    </row>
    <row r="70" spans="2:5" x14ac:dyDescent="0.2">
      <c r="B70" s="85">
        <v>6</v>
      </c>
      <c r="C70" s="73"/>
      <c r="D70" s="73"/>
      <c r="E70" s="74" t="s">
        <v>195</v>
      </c>
    </row>
    <row r="71" spans="2:5" x14ac:dyDescent="0.2">
      <c r="B71" s="85">
        <v>7</v>
      </c>
      <c r="C71" s="73"/>
      <c r="D71" s="73"/>
      <c r="E71" s="74" t="s">
        <v>196</v>
      </c>
    </row>
    <row r="72" spans="2:5" x14ac:dyDescent="0.2">
      <c r="B72" s="85">
        <v>8</v>
      </c>
      <c r="C72" s="73"/>
      <c r="D72" s="73"/>
      <c r="E72" s="74" t="s">
        <v>197</v>
      </c>
    </row>
    <row r="73" spans="2:5" x14ac:dyDescent="0.2">
      <c r="B73" s="85">
        <v>9</v>
      </c>
      <c r="C73" s="73"/>
      <c r="D73" s="73"/>
      <c r="E73" s="74" t="s">
        <v>198</v>
      </c>
    </row>
    <row r="74" spans="2:5" x14ac:dyDescent="0.2">
      <c r="B74" s="85">
        <v>10</v>
      </c>
      <c r="C74" s="73"/>
      <c r="D74" s="73"/>
      <c r="E74" s="74" t="s">
        <v>199</v>
      </c>
    </row>
    <row r="75" spans="2:5" x14ac:dyDescent="0.2">
      <c r="B75" s="85">
        <v>11</v>
      </c>
      <c r="C75" s="73"/>
      <c r="D75" s="73"/>
      <c r="E75" s="74" t="s">
        <v>200</v>
      </c>
    </row>
    <row r="76" spans="2:5" x14ac:dyDescent="0.2">
      <c r="B76" s="85">
        <v>12</v>
      </c>
      <c r="C76" s="73"/>
      <c r="D76" s="73"/>
      <c r="E76" s="74" t="s">
        <v>201</v>
      </c>
    </row>
    <row r="77" spans="2:5" x14ac:dyDescent="0.2">
      <c r="B77" s="85">
        <v>13</v>
      </c>
      <c r="C77" s="73"/>
      <c r="D77" s="73"/>
      <c r="E77" s="74" t="s">
        <v>202</v>
      </c>
    </row>
    <row r="78" spans="2:5" x14ac:dyDescent="0.2">
      <c r="B78" s="85">
        <v>14</v>
      </c>
      <c r="C78" s="73"/>
      <c r="D78" s="73"/>
      <c r="E78" s="74" t="s">
        <v>203</v>
      </c>
    </row>
    <row r="79" spans="2:5" x14ac:dyDescent="0.2">
      <c r="B79" s="85">
        <v>15</v>
      </c>
      <c r="C79" s="73"/>
      <c r="D79" s="73"/>
      <c r="E79" s="74" t="s">
        <v>204</v>
      </c>
    </row>
    <row r="80" spans="2:5" x14ac:dyDescent="0.2">
      <c r="B80" s="85">
        <v>16</v>
      </c>
      <c r="C80" s="73"/>
      <c r="D80" s="73"/>
      <c r="E80" s="74" t="s">
        <v>205</v>
      </c>
    </row>
    <row r="81" spans="2:5" x14ac:dyDescent="0.2">
      <c r="B81" s="85">
        <v>17</v>
      </c>
      <c r="C81" s="73"/>
      <c r="D81" s="73"/>
      <c r="E81" s="74" t="s">
        <v>206</v>
      </c>
    </row>
    <row r="82" spans="2:5" x14ac:dyDescent="0.2">
      <c r="B82" s="85">
        <v>18</v>
      </c>
      <c r="C82" s="73"/>
      <c r="D82" s="73"/>
      <c r="E82" s="74" t="s">
        <v>207</v>
      </c>
    </row>
    <row r="83" spans="2:5" x14ac:dyDescent="0.2">
      <c r="B83" s="85">
        <v>19</v>
      </c>
      <c r="C83" s="73"/>
      <c r="D83" s="73"/>
      <c r="E83" s="74" t="s">
        <v>208</v>
      </c>
    </row>
    <row r="84" spans="2:5" x14ac:dyDescent="0.2">
      <c r="B84" s="85">
        <v>20</v>
      </c>
      <c r="C84" s="73"/>
      <c r="D84" s="73"/>
      <c r="E84" s="74" t="s">
        <v>209</v>
      </c>
    </row>
    <row r="85" spans="2:5" x14ac:dyDescent="0.2">
      <c r="B85" s="85">
        <v>21</v>
      </c>
      <c r="C85" s="73"/>
      <c r="D85" s="73"/>
      <c r="E85" s="74" t="s">
        <v>210</v>
      </c>
    </row>
    <row r="86" spans="2:5" x14ac:dyDescent="0.2">
      <c r="B86" s="85">
        <v>22</v>
      </c>
      <c r="C86" s="73"/>
      <c r="D86" s="73"/>
      <c r="E86" s="74" t="s">
        <v>211</v>
      </c>
    </row>
    <row r="87" spans="2:5" x14ac:dyDescent="0.2">
      <c r="B87" s="85">
        <v>23</v>
      </c>
      <c r="C87" s="73"/>
      <c r="D87" s="73"/>
      <c r="E87" s="74" t="s">
        <v>212</v>
      </c>
    </row>
    <row r="88" spans="2:5" x14ac:dyDescent="0.2">
      <c r="B88" s="85">
        <v>24</v>
      </c>
      <c r="C88" s="73"/>
      <c r="D88" s="73"/>
      <c r="E88" s="74" t="s">
        <v>213</v>
      </c>
    </row>
    <row r="89" spans="2:5" x14ac:dyDescent="0.2">
      <c r="B89" s="85">
        <v>25</v>
      </c>
      <c r="C89" s="73"/>
      <c r="D89" s="73"/>
      <c r="E89" s="74" t="s">
        <v>214</v>
      </c>
    </row>
    <row r="90" spans="2:5" x14ac:dyDescent="0.2">
      <c r="B90" s="85">
        <v>26</v>
      </c>
      <c r="C90" s="73"/>
      <c r="D90" s="73"/>
      <c r="E90" s="74" t="s">
        <v>215</v>
      </c>
    </row>
    <row r="91" spans="2:5" x14ac:dyDescent="0.2">
      <c r="B91" s="85">
        <v>27</v>
      </c>
      <c r="C91" s="73"/>
      <c r="D91" s="73"/>
      <c r="E91" s="74" t="s">
        <v>216</v>
      </c>
    </row>
    <row r="92" spans="2:5" x14ac:dyDescent="0.2">
      <c r="B92" s="85">
        <v>28</v>
      </c>
      <c r="C92" s="73"/>
      <c r="D92" s="73"/>
      <c r="E92" s="74" t="s">
        <v>217</v>
      </c>
    </row>
    <row r="93" spans="2:5" x14ac:dyDescent="0.2">
      <c r="B93" s="85">
        <v>29</v>
      </c>
      <c r="C93" s="73"/>
      <c r="D93" s="73"/>
      <c r="E93" s="74" t="s">
        <v>218</v>
      </c>
    </row>
    <row r="94" spans="2:5" x14ac:dyDescent="0.2">
      <c r="B94" s="85">
        <v>30</v>
      </c>
      <c r="C94" s="73"/>
      <c r="D94" s="73"/>
      <c r="E94" s="74" t="s">
        <v>219</v>
      </c>
    </row>
    <row r="95" spans="2:5" x14ac:dyDescent="0.2">
      <c r="B95" s="85">
        <v>31</v>
      </c>
      <c r="C95" s="73"/>
      <c r="D95" s="73"/>
      <c r="E95" s="74" t="s">
        <v>220</v>
      </c>
    </row>
    <row r="96" spans="2:5" x14ac:dyDescent="0.2">
      <c r="B96" s="85">
        <v>32</v>
      </c>
      <c r="C96" s="73"/>
      <c r="D96" s="73"/>
      <c r="E96" s="74" t="s">
        <v>221</v>
      </c>
    </row>
    <row r="97" spans="2:5" x14ac:dyDescent="0.2">
      <c r="B97" s="85">
        <v>33</v>
      </c>
      <c r="C97" s="73"/>
      <c r="D97" s="73"/>
      <c r="E97" s="74" t="s">
        <v>222</v>
      </c>
    </row>
    <row r="98" spans="2:5" x14ac:dyDescent="0.2">
      <c r="B98" s="85">
        <v>34</v>
      </c>
      <c r="C98" s="73"/>
      <c r="D98" s="73"/>
      <c r="E98" s="74" t="s">
        <v>223</v>
      </c>
    </row>
    <row r="99" spans="2:5" x14ac:dyDescent="0.2">
      <c r="B99" s="85">
        <v>35</v>
      </c>
      <c r="C99" s="73"/>
      <c r="D99" s="73"/>
      <c r="E99" s="74" t="s">
        <v>224</v>
      </c>
    </row>
    <row r="100" spans="2:5" x14ac:dyDescent="0.2">
      <c r="B100" s="85">
        <v>36</v>
      </c>
      <c r="C100" s="73"/>
      <c r="D100" s="73"/>
      <c r="E100" s="74" t="s">
        <v>225</v>
      </c>
    </row>
    <row r="101" spans="2:5" x14ac:dyDescent="0.2">
      <c r="B101" s="85">
        <v>37</v>
      </c>
      <c r="C101" s="73"/>
      <c r="D101" s="73"/>
      <c r="E101" s="74" t="s">
        <v>226</v>
      </c>
    </row>
    <row r="102" spans="2:5" x14ac:dyDescent="0.2">
      <c r="B102" s="85">
        <v>38</v>
      </c>
      <c r="C102" s="73"/>
      <c r="D102" s="73"/>
      <c r="E102" s="74" t="s">
        <v>227</v>
      </c>
    </row>
    <row r="103" spans="2:5" x14ac:dyDescent="0.2">
      <c r="B103" s="85">
        <v>39</v>
      </c>
      <c r="C103" s="73"/>
      <c r="D103" s="73"/>
      <c r="E103" s="74" t="s">
        <v>228</v>
      </c>
    </row>
    <row r="104" spans="2:5" x14ac:dyDescent="0.2">
      <c r="B104" s="85">
        <v>40</v>
      </c>
      <c r="C104" s="73"/>
      <c r="D104" s="73"/>
      <c r="E104" s="74" t="s">
        <v>229</v>
      </c>
    </row>
    <row r="105" spans="2:5" x14ac:dyDescent="0.2">
      <c r="B105" s="85">
        <v>41</v>
      </c>
      <c r="C105" s="73"/>
      <c r="D105" s="73"/>
      <c r="E105" s="74" t="s">
        <v>230</v>
      </c>
    </row>
    <row r="106" spans="2:5" x14ac:dyDescent="0.2">
      <c r="B106" s="85">
        <v>42</v>
      </c>
      <c r="C106" s="73"/>
      <c r="D106" s="73"/>
      <c r="E106" s="74" t="s">
        <v>231</v>
      </c>
    </row>
    <row r="107" spans="2:5" x14ac:dyDescent="0.2">
      <c r="B107" s="85">
        <v>43</v>
      </c>
      <c r="C107" s="73"/>
      <c r="D107" s="73"/>
      <c r="E107" s="74" t="s">
        <v>232</v>
      </c>
    </row>
    <row r="108" spans="2:5" x14ac:dyDescent="0.2">
      <c r="B108" s="85">
        <v>44</v>
      </c>
      <c r="C108" s="73"/>
      <c r="D108" s="73"/>
      <c r="E108" s="74" t="s">
        <v>233</v>
      </c>
    </row>
    <row r="109" spans="2:5" x14ac:dyDescent="0.2">
      <c r="B109" s="85">
        <v>45</v>
      </c>
      <c r="C109" s="73"/>
      <c r="D109" s="73"/>
      <c r="E109" s="74" t="s">
        <v>234</v>
      </c>
    </row>
    <row r="110" spans="2:5" x14ac:dyDescent="0.2">
      <c r="B110" s="85">
        <v>46</v>
      </c>
      <c r="C110" s="73"/>
      <c r="D110" s="73"/>
      <c r="E110" s="74" t="s">
        <v>235</v>
      </c>
    </row>
    <row r="111" spans="2:5" x14ac:dyDescent="0.2">
      <c r="B111" s="85">
        <v>47</v>
      </c>
      <c r="C111" s="73"/>
      <c r="D111" s="73"/>
      <c r="E111" s="74" t="s">
        <v>236</v>
      </c>
    </row>
    <row r="112" spans="2:5" x14ac:dyDescent="0.2">
      <c r="B112" s="85">
        <v>48</v>
      </c>
      <c r="C112" s="73"/>
      <c r="D112" s="73"/>
      <c r="E112" s="74" t="s">
        <v>237</v>
      </c>
    </row>
    <row r="113" spans="2:5" x14ac:dyDescent="0.2">
      <c r="B113" s="85">
        <v>49</v>
      </c>
      <c r="C113" s="73"/>
      <c r="D113" s="73"/>
      <c r="E113" s="74" t="s">
        <v>238</v>
      </c>
    </row>
    <row r="114" spans="2:5" x14ac:dyDescent="0.2">
      <c r="B114" s="85">
        <v>50</v>
      </c>
      <c r="C114" s="73"/>
      <c r="D114" s="73"/>
      <c r="E114" s="74" t="s">
        <v>239</v>
      </c>
    </row>
    <row r="115" spans="2:5" x14ac:dyDescent="0.2">
      <c r="B115" s="85">
        <v>51</v>
      </c>
      <c r="C115" s="73"/>
      <c r="D115" s="73"/>
      <c r="E115" s="74" t="s">
        <v>240</v>
      </c>
    </row>
    <row r="116" spans="2:5" x14ac:dyDescent="0.2">
      <c r="B116" s="85">
        <v>52</v>
      </c>
      <c r="C116" s="73"/>
      <c r="D116" s="73"/>
      <c r="E116" s="74" t="s">
        <v>241</v>
      </c>
    </row>
    <row r="117" spans="2:5" x14ac:dyDescent="0.2">
      <c r="B117" s="85">
        <v>53</v>
      </c>
      <c r="C117" s="73"/>
      <c r="D117" s="73"/>
      <c r="E117" s="74" t="s">
        <v>242</v>
      </c>
    </row>
    <row r="118" spans="2:5" x14ac:dyDescent="0.2">
      <c r="B118" s="85">
        <v>54</v>
      </c>
      <c r="C118" s="73"/>
      <c r="D118" s="73"/>
      <c r="E118" s="74" t="s">
        <v>243</v>
      </c>
    </row>
    <row r="119" spans="2:5" x14ac:dyDescent="0.2">
      <c r="B119" s="85">
        <v>55</v>
      </c>
      <c r="C119" s="73"/>
      <c r="D119" s="73"/>
      <c r="E119" s="74" t="s">
        <v>244</v>
      </c>
    </row>
    <row r="120" spans="2:5" x14ac:dyDescent="0.2">
      <c r="B120" s="85">
        <v>56</v>
      </c>
      <c r="C120" s="73"/>
      <c r="D120" s="73"/>
      <c r="E120" s="74" t="s">
        <v>245</v>
      </c>
    </row>
    <row r="121" spans="2:5" x14ac:dyDescent="0.2">
      <c r="B121" s="85">
        <v>57</v>
      </c>
      <c r="C121" s="73"/>
      <c r="D121" s="73"/>
      <c r="E121" s="74" t="s">
        <v>246</v>
      </c>
    </row>
    <row r="122" spans="2:5" x14ac:dyDescent="0.2">
      <c r="B122" s="85">
        <v>58</v>
      </c>
      <c r="C122" s="73"/>
      <c r="D122" s="73"/>
      <c r="E122" s="74" t="s">
        <v>247</v>
      </c>
    </row>
    <row r="123" spans="2:5" x14ac:dyDescent="0.2">
      <c r="B123" s="85">
        <v>59</v>
      </c>
      <c r="C123" s="73"/>
      <c r="D123" s="73"/>
      <c r="E123" s="74" t="s">
        <v>248</v>
      </c>
    </row>
    <row r="124" spans="2:5" x14ac:dyDescent="0.2">
      <c r="B124" s="85">
        <v>60</v>
      </c>
      <c r="C124" s="73"/>
      <c r="D124" s="73"/>
      <c r="E124" s="74" t="s">
        <v>249</v>
      </c>
    </row>
    <row r="125" spans="2:5" x14ac:dyDescent="0.2">
      <c r="B125" s="85">
        <v>61</v>
      </c>
      <c r="C125" s="73"/>
      <c r="D125" s="73"/>
      <c r="E125" s="74" t="s">
        <v>250</v>
      </c>
    </row>
    <row r="126" spans="2:5" x14ac:dyDescent="0.2">
      <c r="B126" s="85">
        <v>62</v>
      </c>
      <c r="C126" s="73"/>
      <c r="D126" s="73"/>
      <c r="E126" s="74" t="s">
        <v>251</v>
      </c>
    </row>
    <row r="127" spans="2:5" x14ac:dyDescent="0.2">
      <c r="B127" s="85">
        <v>63</v>
      </c>
      <c r="C127" s="73"/>
      <c r="D127" s="73"/>
      <c r="E127" s="74" t="s">
        <v>252</v>
      </c>
    </row>
    <row r="128" spans="2:5" x14ac:dyDescent="0.2">
      <c r="B128" s="85">
        <v>64</v>
      </c>
      <c r="C128" s="73"/>
      <c r="D128" s="73"/>
      <c r="E128" s="74" t="s">
        <v>253</v>
      </c>
    </row>
    <row r="129" spans="2:5" x14ac:dyDescent="0.2">
      <c r="B129" s="85">
        <v>65</v>
      </c>
      <c r="C129" s="73"/>
      <c r="D129" s="73"/>
      <c r="E129" s="74" t="s">
        <v>254</v>
      </c>
    </row>
    <row r="130" spans="2:5" x14ac:dyDescent="0.2">
      <c r="B130" s="85">
        <v>66</v>
      </c>
      <c r="C130" s="73"/>
      <c r="D130" s="73"/>
      <c r="E130" s="74" t="s">
        <v>255</v>
      </c>
    </row>
    <row r="131" spans="2:5" x14ac:dyDescent="0.2">
      <c r="B131" s="85">
        <v>67</v>
      </c>
      <c r="C131" s="73"/>
      <c r="D131" s="73"/>
      <c r="E131" s="74" t="s">
        <v>256</v>
      </c>
    </row>
    <row r="132" spans="2:5" x14ac:dyDescent="0.2">
      <c r="B132" s="85">
        <v>68</v>
      </c>
      <c r="C132" s="73"/>
      <c r="D132" s="73"/>
      <c r="E132" s="74" t="s">
        <v>257</v>
      </c>
    </row>
    <row r="133" spans="2:5" x14ac:dyDescent="0.2">
      <c r="B133" s="85">
        <v>69</v>
      </c>
      <c r="C133" s="73"/>
      <c r="D133" s="73"/>
      <c r="E133" s="74" t="s">
        <v>258</v>
      </c>
    </row>
    <row r="134" spans="2:5" x14ac:dyDescent="0.2">
      <c r="B134" s="85">
        <v>70</v>
      </c>
      <c r="C134" s="73"/>
      <c r="D134" s="73"/>
      <c r="E134" s="74" t="s">
        <v>259</v>
      </c>
    </row>
    <row r="135" spans="2:5" x14ac:dyDescent="0.2">
      <c r="B135" s="85">
        <v>71</v>
      </c>
      <c r="C135" s="73"/>
      <c r="D135" s="73"/>
      <c r="E135" s="74" t="s">
        <v>260</v>
      </c>
    </row>
    <row r="136" spans="2:5" x14ac:dyDescent="0.2">
      <c r="B136" s="85">
        <v>72</v>
      </c>
      <c r="C136" s="73"/>
      <c r="D136" s="73"/>
      <c r="E136" s="74" t="s">
        <v>261</v>
      </c>
    </row>
    <row r="137" spans="2:5" x14ac:dyDescent="0.2">
      <c r="B137" s="85">
        <v>73</v>
      </c>
      <c r="C137" s="73"/>
      <c r="D137" s="73"/>
      <c r="E137" s="74" t="s">
        <v>262</v>
      </c>
    </row>
    <row r="138" spans="2:5" x14ac:dyDescent="0.2">
      <c r="B138" s="85">
        <v>74</v>
      </c>
      <c r="C138" s="73"/>
      <c r="D138" s="73"/>
      <c r="E138" s="74" t="s">
        <v>263</v>
      </c>
    </row>
    <row r="139" spans="2:5" x14ac:dyDescent="0.2">
      <c r="B139" s="85">
        <v>75</v>
      </c>
      <c r="C139" s="73"/>
      <c r="D139" s="73"/>
      <c r="E139" s="74" t="s">
        <v>264</v>
      </c>
    </row>
    <row r="140" spans="2:5" x14ac:dyDescent="0.2">
      <c r="B140" s="85">
        <v>76</v>
      </c>
      <c r="C140" s="73"/>
      <c r="D140" s="73"/>
      <c r="E140" s="74" t="s">
        <v>265</v>
      </c>
    </row>
    <row r="141" spans="2:5" x14ac:dyDescent="0.2">
      <c r="B141" s="85">
        <v>77</v>
      </c>
      <c r="C141" s="73"/>
      <c r="D141" s="73"/>
      <c r="E141" s="74" t="s">
        <v>266</v>
      </c>
    </row>
    <row r="142" spans="2:5" x14ac:dyDescent="0.2">
      <c r="B142" s="85">
        <v>78</v>
      </c>
      <c r="C142" s="73"/>
      <c r="D142" s="73"/>
      <c r="E142" s="74" t="s">
        <v>267</v>
      </c>
    </row>
    <row r="143" spans="2:5" x14ac:dyDescent="0.2">
      <c r="B143" s="85">
        <v>79</v>
      </c>
      <c r="C143" s="73"/>
      <c r="D143" s="73"/>
      <c r="E143" s="74" t="s">
        <v>268</v>
      </c>
    </row>
    <row r="146" spans="1:10" s="77" customFormat="1" ht="15" x14ac:dyDescent="0.25">
      <c r="A146" s="76"/>
    </row>
    <row r="147" spans="1:10" ht="16.5" thickBot="1" x14ac:dyDescent="0.25">
      <c r="A147" s="4">
        <f ca="1">MAX(A$2:A146)+0.1</f>
        <v>10.699999999999998</v>
      </c>
      <c r="B147" s="5" t="s">
        <v>273</v>
      </c>
      <c r="C147" s="5"/>
      <c r="D147" s="5"/>
      <c r="E147" s="5"/>
      <c r="F147" s="5"/>
      <c r="G147" s="5"/>
      <c r="H147" s="5"/>
      <c r="I147" s="5"/>
      <c r="J147" s="5"/>
    </row>
    <row r="149" spans="1:10" x14ac:dyDescent="0.2">
      <c r="B149" t="s">
        <v>106</v>
      </c>
      <c r="E149" s="85" t="s">
        <v>278</v>
      </c>
    </row>
    <row r="150" spans="1:10" x14ac:dyDescent="0.2">
      <c r="E150" s="85" t="s">
        <v>274</v>
      </c>
    </row>
    <row r="151" spans="1:10" x14ac:dyDescent="0.2">
      <c r="E151" s="85" t="s">
        <v>275</v>
      </c>
    </row>
    <row r="152" spans="1:10" x14ac:dyDescent="0.2">
      <c r="E152" s="85" t="s">
        <v>276</v>
      </c>
    </row>
    <row r="153" spans="1:10" x14ac:dyDescent="0.2">
      <c r="E153" s="85" t="s">
        <v>277</v>
      </c>
    </row>
  </sheetData>
  <mergeCells count="4">
    <mergeCell ref="E6:G6"/>
    <mergeCell ref="E14:G14"/>
    <mergeCell ref="E15:G15"/>
    <mergeCell ref="E16:G16"/>
  </mergeCells>
  <dataValidations disablePrompts="1" count="1">
    <dataValidation type="list" allowBlank="1" showInputMessage="1" showErrorMessage="1" sqref="E10" xr:uid="{41EA182E-207D-4999-AC65-1BD2E982C966}">
      <formula1>$E$25:$E$34</formula1>
    </dataValidation>
  </dataValidations>
  <pageMargins left="0.7" right="0.7" top="0.75" bottom="0.75" header="0.3" footer="0.3"/>
  <headerFooter>
    <oddHeader>&amp;C&amp;"Calibri"&amp;12&amp;KFF0000 OFFICIAL&amp;1#_x000D_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E1CA4-C6C7-40A2-8DC9-F75F50EFB32E}">
  <sheetPr codeName="Sheet12">
    <tabColor rgb="FF7F7F7F"/>
  </sheetPr>
  <dimension ref="A1:J24"/>
  <sheetViews>
    <sheetView showGridLines="0" zoomScale="70" zoomScaleNormal="70" workbookViewId="0">
      <pane ySplit="2" topLeftCell="A3" activePane="bottomLeft" state="frozen"/>
      <selection activeCell="D54" sqref="D54"/>
      <selection pane="bottomLeft" activeCell="D54" sqref="D54"/>
    </sheetView>
  </sheetViews>
  <sheetFormatPr defaultRowHeight="14.25" x14ac:dyDescent="0.2"/>
  <cols>
    <col min="1" max="1" width="9.875" style="12" customWidth="1"/>
    <col min="2" max="10" width="19" customWidth="1"/>
  </cols>
  <sheetData>
    <row r="1" spans="1:10" ht="50.1" customHeight="1" x14ac:dyDescent="0.2">
      <c r="A1" s="3"/>
      <c r="B1" s="3" t="s">
        <v>0</v>
      </c>
      <c r="C1" s="3"/>
      <c r="D1" s="3"/>
      <c r="E1" s="3"/>
      <c r="F1" s="3"/>
      <c r="G1" s="3"/>
      <c r="H1" s="3"/>
      <c r="I1" s="3"/>
      <c r="J1" s="3"/>
    </row>
    <row r="2" spans="1:10" ht="30" customHeight="1" x14ac:dyDescent="0.2">
      <c r="A2" s="2">
        <f ca="1">_xlfn.SHEET()</f>
        <v>11</v>
      </c>
      <c r="B2" s="1" t="s">
        <v>1</v>
      </c>
      <c r="C2" s="1"/>
      <c r="D2" s="1"/>
      <c r="E2" s="1"/>
      <c r="F2" s="1"/>
      <c r="G2" s="1"/>
      <c r="H2" s="1"/>
      <c r="I2" s="1"/>
      <c r="J2" s="1"/>
    </row>
    <row r="3" spans="1:10" x14ac:dyDescent="0.2">
      <c r="A3"/>
    </row>
    <row r="4" spans="1:10" ht="16.5" thickBot="1" x14ac:dyDescent="0.25">
      <c r="A4" s="4">
        <f ca="1">MAX(A$2:A3)+0.1</f>
        <v>11.1</v>
      </c>
      <c r="B4" s="5" t="s">
        <v>2</v>
      </c>
      <c r="C4" s="5"/>
      <c r="D4" s="5"/>
      <c r="E4" s="5"/>
      <c r="F4" s="5"/>
      <c r="G4" s="5"/>
      <c r="H4" s="5"/>
      <c r="I4" s="5"/>
      <c r="J4" s="5"/>
    </row>
    <row r="5" spans="1:10" x14ac:dyDescent="0.2">
      <c r="A5"/>
    </row>
    <row r="6" spans="1:10" x14ac:dyDescent="0.2">
      <c r="A6"/>
      <c r="B6" s="6" t="s">
        <v>3</v>
      </c>
    </row>
    <row r="7" spans="1:10" x14ac:dyDescent="0.2">
      <c r="A7"/>
      <c r="B7" s="7" t="s">
        <v>4</v>
      </c>
    </row>
    <row r="8" spans="1:10" x14ac:dyDescent="0.2">
      <c r="A8"/>
      <c r="B8" s="8" t="s">
        <v>5</v>
      </c>
    </row>
    <row r="9" spans="1:10" x14ac:dyDescent="0.2">
      <c r="A9"/>
      <c r="B9" s="9" t="s">
        <v>6</v>
      </c>
    </row>
    <row r="10" spans="1:10" x14ac:dyDescent="0.2">
      <c r="A10"/>
      <c r="B10" s="10" t="s">
        <v>7</v>
      </c>
    </row>
    <row r="11" spans="1:10" x14ac:dyDescent="0.2">
      <c r="A11"/>
      <c r="B11" s="11" t="s">
        <v>8</v>
      </c>
    </row>
    <row r="12" spans="1:10" x14ac:dyDescent="0.2">
      <c r="A12"/>
    </row>
    <row r="13" spans="1:10" ht="16.5" thickBot="1" x14ac:dyDescent="0.25">
      <c r="A13" s="4">
        <f ca="1">MAX(A$2:A12)+0.1</f>
        <v>11.2</v>
      </c>
      <c r="B13" s="5" t="s">
        <v>9</v>
      </c>
      <c r="C13" s="5"/>
      <c r="D13" s="5"/>
      <c r="E13" s="5"/>
      <c r="F13" s="5"/>
      <c r="G13" s="5"/>
      <c r="H13" s="5"/>
      <c r="I13" s="5"/>
      <c r="J13" s="5"/>
    </row>
    <row r="15" spans="1:10" x14ac:dyDescent="0.2">
      <c r="B15" t="s">
        <v>135</v>
      </c>
    </row>
    <row r="16" spans="1:10" x14ac:dyDescent="0.2">
      <c r="B16" t="s">
        <v>269</v>
      </c>
    </row>
    <row r="19" spans="2:2" x14ac:dyDescent="0.2">
      <c r="B19" t="s">
        <v>136</v>
      </c>
    </row>
    <row r="21" spans="2:2" x14ac:dyDescent="0.2">
      <c r="B21" s="71" t="s">
        <v>169</v>
      </c>
    </row>
    <row r="22" spans="2:2" x14ac:dyDescent="0.2">
      <c r="B22" s="71" t="s">
        <v>170</v>
      </c>
    </row>
    <row r="23" spans="2:2" x14ac:dyDescent="0.2">
      <c r="B23" s="71" t="s">
        <v>171</v>
      </c>
    </row>
    <row r="24" spans="2:2" x14ac:dyDescent="0.2">
      <c r="B24" s="71" t="s">
        <v>172</v>
      </c>
    </row>
  </sheetData>
  <pageMargins left="0.7" right="0.7" top="0.75" bottom="0.75" header="0.3" footer="0.3"/>
  <headerFooter>
    <oddHeader>&amp;C&amp;"Calibri"&amp;12&amp;KFF0000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B0133-9B39-4851-B59B-54F8FA18C04E}">
  <sheetPr codeName="Sheet2">
    <tabColor theme="4" tint="-0.249977111117893"/>
  </sheetPr>
  <dimension ref="A1:Z390"/>
  <sheetViews>
    <sheetView showGridLines="0" tabSelected="1" topLeftCell="C1" zoomScale="85" zoomScaleNormal="85" workbookViewId="0">
      <selection activeCell="E18" sqref="E18"/>
    </sheetView>
  </sheetViews>
  <sheetFormatPr defaultRowHeight="14.25" zeroHeight="1" x14ac:dyDescent="0.2"/>
  <cols>
    <col min="1" max="1" width="9.875" style="12" customWidth="1"/>
    <col min="2" max="2" width="50.125" customWidth="1"/>
    <col min="3" max="3" width="7.875" customWidth="1"/>
    <col min="4" max="14" width="19.125" customWidth="1"/>
    <col min="15" max="16" width="23.625" customWidth="1"/>
    <col min="17" max="26" width="23.625" hidden="1" customWidth="1"/>
    <col min="27" max="16383" width="0" hidden="1" customWidth="1"/>
  </cols>
  <sheetData>
    <row r="1" spans="1:26" s="15" customFormat="1" ht="50.1" customHeight="1" x14ac:dyDescent="0.2">
      <c r="A1" s="3"/>
      <c r="B1" s="3" t="str">
        <f>title</f>
        <v>Higher cap information template</v>
      </c>
      <c r="C1" s="3"/>
      <c r="D1" s="3"/>
      <c r="E1" s="3"/>
      <c r="F1" s="3"/>
      <c r="G1" s="3"/>
      <c r="H1" s="3"/>
      <c r="I1" s="3"/>
      <c r="J1" s="3"/>
      <c r="K1" s="3"/>
      <c r="L1" s="3"/>
      <c r="M1" s="3"/>
      <c r="N1" s="3"/>
      <c r="O1" s="3"/>
      <c r="P1" s="3"/>
      <c r="Q1" s="3"/>
      <c r="R1" s="3"/>
      <c r="S1" s="3"/>
      <c r="T1" s="3"/>
      <c r="U1" s="3"/>
      <c r="V1" s="3"/>
      <c r="W1" s="3"/>
      <c r="X1" s="3"/>
      <c r="Y1" s="3"/>
      <c r="Z1" s="3"/>
    </row>
    <row r="2" spans="1:26" s="15" customFormat="1" ht="30" customHeight="1" x14ac:dyDescent="0.2">
      <c r="A2" s="2">
        <f ca="1">_xlfn.SHEET()</f>
        <v>2</v>
      </c>
      <c r="B2" s="1" t="s">
        <v>386</v>
      </c>
      <c r="C2" s="1"/>
      <c r="D2" s="68" t="str">
        <f>(YEAR(period)-1)&amp;"-"&amp;RIGHT(YEAR(period),2)</f>
        <v>2024-25</v>
      </c>
      <c r="E2" s="68" t="str">
        <f>+(YEAR(period))&amp;"-"&amp;RIGHT(YEAR(period)+1,2)</f>
        <v>2025-26</v>
      </c>
      <c r="F2" s="68" t="str">
        <f>+(YEAR(period)+1)&amp;"-"&amp;RIGHT(YEAR(period)+2,2)</f>
        <v>2026-27</v>
      </c>
      <c r="G2" s="68" t="str">
        <f>+(YEAR(period)+2)&amp;"-"&amp;RIGHT(YEAR(period)+3,2)</f>
        <v>2027-28</v>
      </c>
      <c r="H2" s="68" t="str">
        <f>+(YEAR(period)+3)&amp;"-"&amp;RIGHT(YEAR(period)+4,2)</f>
        <v>2028-29</v>
      </c>
      <c r="I2" s="68" t="str">
        <f>+(YEAR(period)+4)&amp;"-"&amp;RIGHT(YEAR(period)+5,2)</f>
        <v>2029-30</v>
      </c>
      <c r="J2" s="68" t="str">
        <f>+(YEAR(period)+5)&amp;"-"&amp;RIGHT(YEAR(period)+6,2)</f>
        <v>2030-31</v>
      </c>
      <c r="K2" s="68" t="str">
        <f>+(YEAR(period)+6)&amp;"-"&amp;RIGHT(YEAR(period)+7,2)</f>
        <v>2031-32</v>
      </c>
      <c r="L2" s="68" t="str">
        <f>+(YEAR(period)+7)&amp;"-"&amp;RIGHT(YEAR(period)+8,2)</f>
        <v>2032-33</v>
      </c>
      <c r="M2" s="68" t="str">
        <f>+(YEAR(period)+8)&amp;"-"&amp;RIGHT(YEAR(period)+9,2)</f>
        <v>2033-34</v>
      </c>
      <c r="N2" s="68" t="str">
        <f>+(YEAR(period)+9)&amp;"-"&amp;RIGHT(YEAR(period)+10,2)</f>
        <v>2034-35</v>
      </c>
      <c r="O2" s="1"/>
      <c r="P2" s="1"/>
      <c r="Q2" s="1"/>
      <c r="R2" s="1"/>
      <c r="S2" s="1"/>
      <c r="T2" s="1"/>
      <c r="U2" s="1"/>
      <c r="V2" s="1"/>
      <c r="W2" s="1"/>
      <c r="X2" s="1"/>
      <c r="Y2" s="1"/>
      <c r="Z2" s="1"/>
    </row>
    <row r="3" spans="1:26" x14ac:dyDescent="0.2">
      <c r="A3"/>
    </row>
    <row r="4" spans="1:26" ht="16.5" thickBot="1" x14ac:dyDescent="0.25">
      <c r="A4" s="4">
        <f ca="1">MAX(A$2:A3)+0.1</f>
        <v>2.1</v>
      </c>
      <c r="B4" s="5" t="s">
        <v>14</v>
      </c>
      <c r="C4" s="5"/>
      <c r="D4" s="5"/>
      <c r="E4" s="5"/>
      <c r="F4" s="5"/>
      <c r="G4" s="5"/>
      <c r="H4" s="5"/>
      <c r="I4" s="5"/>
      <c r="J4" s="5"/>
      <c r="K4" s="5"/>
      <c r="L4" s="5"/>
      <c r="M4" s="5"/>
      <c r="N4" s="5"/>
      <c r="O4" s="5"/>
      <c r="P4" s="5"/>
      <c r="Q4" s="5"/>
      <c r="R4" s="5"/>
      <c r="S4" s="5"/>
      <c r="T4" s="5"/>
      <c r="U4" s="5"/>
      <c r="V4" s="5"/>
      <c r="W4" s="5"/>
      <c r="X4" s="5"/>
      <c r="Y4" s="5"/>
      <c r="Z4" s="5"/>
    </row>
    <row r="5" spans="1:26" x14ac:dyDescent="0.2"/>
    <row r="6" spans="1:26" ht="15.75" x14ac:dyDescent="0.2">
      <c r="B6" s="69" t="s">
        <v>15</v>
      </c>
      <c r="C6" s="13"/>
      <c r="D6" s="67" t="s">
        <v>26</v>
      </c>
      <c r="E6" s="174" t="s">
        <v>27</v>
      </c>
      <c r="F6" s="175"/>
      <c r="G6" s="175"/>
      <c r="H6" s="176"/>
      <c r="I6" s="174" t="s">
        <v>28</v>
      </c>
      <c r="J6" s="175"/>
      <c r="K6" s="175"/>
      <c r="L6" s="175"/>
      <c r="M6" s="175"/>
      <c r="N6" s="176"/>
    </row>
    <row r="7" spans="1:26" ht="15" x14ac:dyDescent="0.2">
      <c r="B7" s="42"/>
      <c r="C7" s="40"/>
      <c r="D7" s="34" t="str">
        <f>D$2</f>
        <v>2024-25</v>
      </c>
      <c r="E7" s="19" t="str">
        <f t="shared" ref="E7:N7" si="0">E$2</f>
        <v>2025-26</v>
      </c>
      <c r="F7" s="19" t="str">
        <f t="shared" si="0"/>
        <v>2026-27</v>
      </c>
      <c r="G7" s="19" t="str">
        <f t="shared" si="0"/>
        <v>2027-28</v>
      </c>
      <c r="H7" s="19" t="str">
        <f t="shared" si="0"/>
        <v>2028-29</v>
      </c>
      <c r="I7" s="19" t="str">
        <f t="shared" si="0"/>
        <v>2029-30</v>
      </c>
      <c r="J7" s="19" t="str">
        <f t="shared" si="0"/>
        <v>2030-31</v>
      </c>
      <c r="K7" s="19" t="str">
        <f t="shared" si="0"/>
        <v>2031-32</v>
      </c>
      <c r="L7" s="19" t="str">
        <f t="shared" si="0"/>
        <v>2032-33</v>
      </c>
      <c r="M7" s="19" t="str">
        <f t="shared" si="0"/>
        <v>2033-34</v>
      </c>
      <c r="N7" s="20" t="str">
        <f t="shared" si="0"/>
        <v>2034-35</v>
      </c>
    </row>
    <row r="8" spans="1:26" x14ac:dyDescent="0.2">
      <c r="B8" s="22" t="s">
        <v>29</v>
      </c>
      <c r="D8" s="44">
        <v>13337460</v>
      </c>
      <c r="E8" s="45">
        <v>14315105</v>
      </c>
      <c r="F8" s="45">
        <v>14672982.624999998</v>
      </c>
      <c r="G8" s="45">
        <v>15039807.190624997</v>
      </c>
      <c r="H8" s="45">
        <v>15415802.37039062</v>
      </c>
      <c r="I8" s="45">
        <v>15801197.429650385</v>
      </c>
      <c r="J8" s="45">
        <v>16196227.365391644</v>
      </c>
      <c r="K8" s="45">
        <v>16601133.049526433</v>
      </c>
      <c r="L8" s="45">
        <v>17016161.375764593</v>
      </c>
      <c r="M8" s="45">
        <v>17441565.410158705</v>
      </c>
      <c r="N8" s="46">
        <v>17877604.545412671</v>
      </c>
    </row>
    <row r="9" spans="1:26" x14ac:dyDescent="0.2">
      <c r="B9" s="22" t="s">
        <v>30</v>
      </c>
      <c r="D9" s="44">
        <v>3060346</v>
      </c>
      <c r="E9" s="45">
        <v>3376259</v>
      </c>
      <c r="F9" s="45">
        <v>3460665.4749999996</v>
      </c>
      <c r="G9" s="45">
        <v>3547182.1118749995</v>
      </c>
      <c r="H9" s="45">
        <v>3635861.6646718741</v>
      </c>
      <c r="I9" s="45">
        <v>3726758.2062886707</v>
      </c>
      <c r="J9" s="45">
        <v>3819927.1614458873</v>
      </c>
      <c r="K9" s="45">
        <v>3915425.3404820343</v>
      </c>
      <c r="L9" s="45">
        <v>4013310.9739940846</v>
      </c>
      <c r="M9" s="45">
        <v>4113643.7483439362</v>
      </c>
      <c r="N9" s="46">
        <v>4216484.8420525342</v>
      </c>
    </row>
    <row r="10" spans="1:26" ht="15" x14ac:dyDescent="0.2">
      <c r="B10" s="43" t="s">
        <v>31</v>
      </c>
      <c r="D10" s="47">
        <f>SUM(D8:D9)</f>
        <v>16397806</v>
      </c>
      <c r="E10" s="48">
        <f t="shared" ref="E10:N10" si="1">SUM(E8:E9)</f>
        <v>17691364</v>
      </c>
      <c r="F10" s="48">
        <f t="shared" si="1"/>
        <v>18133648.099999998</v>
      </c>
      <c r="G10" s="48">
        <f t="shared" si="1"/>
        <v>18586989.302499995</v>
      </c>
      <c r="H10" s="48">
        <f t="shared" si="1"/>
        <v>19051664.035062496</v>
      </c>
      <c r="I10" s="48">
        <f t="shared" si="1"/>
        <v>19527955.635939054</v>
      </c>
      <c r="J10" s="48">
        <f t="shared" si="1"/>
        <v>20016154.526837531</v>
      </c>
      <c r="K10" s="48">
        <f t="shared" si="1"/>
        <v>20516558.390008468</v>
      </c>
      <c r="L10" s="48">
        <f t="shared" si="1"/>
        <v>21029472.349758677</v>
      </c>
      <c r="M10" s="48">
        <f t="shared" si="1"/>
        <v>21555209.158502642</v>
      </c>
      <c r="N10" s="49">
        <f t="shared" si="1"/>
        <v>22094089.387465205</v>
      </c>
    </row>
    <row r="11" spans="1:26" x14ac:dyDescent="0.2">
      <c r="B11" s="22" t="s">
        <v>32</v>
      </c>
      <c r="D11" s="44">
        <v>2955053</v>
      </c>
      <c r="E11" s="45">
        <v>3043704.59</v>
      </c>
      <c r="F11" s="45">
        <v>3119797.2047499996</v>
      </c>
      <c r="G11" s="45">
        <v>3197792.1348687494</v>
      </c>
      <c r="H11" s="45">
        <v>3277736.938240468</v>
      </c>
      <c r="I11" s="45">
        <v>3359680.3616964794</v>
      </c>
      <c r="J11" s="45">
        <v>3443672.370738891</v>
      </c>
      <c r="K11" s="45">
        <v>3529764.1800073627</v>
      </c>
      <c r="L11" s="45">
        <v>3618008.2845075466</v>
      </c>
      <c r="M11" s="45">
        <v>3708458.4916202351</v>
      </c>
      <c r="N11" s="46">
        <v>3801169.9539107406</v>
      </c>
    </row>
    <row r="12" spans="1:26" x14ac:dyDescent="0.2">
      <c r="B12" s="22" t="s">
        <v>33</v>
      </c>
      <c r="D12" s="44">
        <v>778276</v>
      </c>
      <c r="E12" s="45">
        <v>0</v>
      </c>
      <c r="F12" s="45">
        <v>0</v>
      </c>
      <c r="G12" s="45">
        <v>0</v>
      </c>
      <c r="H12" s="45">
        <v>0</v>
      </c>
      <c r="I12" s="45">
        <v>0</v>
      </c>
      <c r="J12" s="45">
        <v>0</v>
      </c>
      <c r="K12" s="45">
        <v>0</v>
      </c>
      <c r="L12" s="45">
        <v>0</v>
      </c>
      <c r="M12" s="45">
        <v>0</v>
      </c>
      <c r="N12" s="46">
        <v>0</v>
      </c>
    </row>
    <row r="13" spans="1:26" x14ac:dyDescent="0.2">
      <c r="B13" s="22" t="s">
        <v>34</v>
      </c>
      <c r="D13" s="44">
        <v>0</v>
      </c>
      <c r="E13" s="45">
        <v>0</v>
      </c>
      <c r="F13" s="45">
        <v>0</v>
      </c>
      <c r="G13" s="45">
        <v>0</v>
      </c>
      <c r="H13" s="45">
        <v>0</v>
      </c>
      <c r="I13" s="45">
        <v>0</v>
      </c>
      <c r="J13" s="45">
        <v>0</v>
      </c>
      <c r="K13" s="45">
        <v>0</v>
      </c>
      <c r="L13" s="45">
        <v>0</v>
      </c>
      <c r="M13" s="45">
        <v>0</v>
      </c>
      <c r="N13" s="46">
        <v>0</v>
      </c>
    </row>
    <row r="14" spans="1:26" x14ac:dyDescent="0.2">
      <c r="B14" s="22" t="s">
        <v>35</v>
      </c>
      <c r="D14" s="44">
        <v>66000</v>
      </c>
      <c r="E14" s="45">
        <v>30000</v>
      </c>
      <c r="F14" s="45">
        <v>30749.999999999996</v>
      </c>
      <c r="G14" s="45">
        <v>31518.749999999993</v>
      </c>
      <c r="H14" s="45">
        <v>32306.718749999989</v>
      </c>
      <c r="I14" s="45">
        <v>33114.386718749985</v>
      </c>
      <c r="J14" s="45">
        <v>33942.246386718703</v>
      </c>
      <c r="K14" s="45">
        <v>34790.802546386694</v>
      </c>
      <c r="L14" s="45">
        <v>35660.572610046358</v>
      </c>
      <c r="M14" s="45">
        <v>36552.086925297517</v>
      </c>
      <c r="N14" s="46">
        <v>37465.889098429951</v>
      </c>
    </row>
    <row r="15" spans="1:26" x14ac:dyDescent="0.2">
      <c r="B15" s="22" t="s">
        <v>36</v>
      </c>
      <c r="D15" s="44">
        <v>0</v>
      </c>
      <c r="E15" s="45">
        <v>0</v>
      </c>
      <c r="F15" s="45">
        <v>0</v>
      </c>
      <c r="G15" s="45">
        <v>0</v>
      </c>
      <c r="H15" s="45">
        <v>0</v>
      </c>
      <c r="I15" s="45">
        <v>0</v>
      </c>
      <c r="J15" s="45">
        <v>0</v>
      </c>
      <c r="K15" s="45">
        <v>0</v>
      </c>
      <c r="L15" s="45">
        <v>0</v>
      </c>
      <c r="M15" s="45">
        <v>0</v>
      </c>
      <c r="N15" s="46">
        <v>0</v>
      </c>
    </row>
    <row r="16" spans="1:26" x14ac:dyDescent="0.2">
      <c r="B16" s="22" t="s">
        <v>37</v>
      </c>
      <c r="D16" s="44">
        <v>0</v>
      </c>
      <c r="E16" s="45">
        <v>0</v>
      </c>
      <c r="F16" s="45">
        <v>0</v>
      </c>
      <c r="G16" s="45">
        <v>0</v>
      </c>
      <c r="H16" s="45">
        <v>0</v>
      </c>
      <c r="I16" s="45">
        <v>0</v>
      </c>
      <c r="J16" s="45">
        <v>0</v>
      </c>
      <c r="K16" s="45">
        <v>0</v>
      </c>
      <c r="L16" s="45">
        <v>0</v>
      </c>
      <c r="M16" s="45">
        <v>0</v>
      </c>
      <c r="N16" s="46">
        <v>0</v>
      </c>
    </row>
    <row r="17" spans="2:14" x14ac:dyDescent="0.2">
      <c r="B17" s="22" t="s">
        <v>38</v>
      </c>
      <c r="D17" s="44">
        <v>0</v>
      </c>
      <c r="E17" s="45">
        <v>0</v>
      </c>
      <c r="F17" s="45">
        <v>0</v>
      </c>
      <c r="G17" s="45">
        <v>0</v>
      </c>
      <c r="H17" s="45">
        <v>0</v>
      </c>
      <c r="I17" s="45">
        <v>0</v>
      </c>
      <c r="J17" s="45">
        <v>0</v>
      </c>
      <c r="K17" s="45">
        <v>0</v>
      </c>
      <c r="L17" s="45">
        <v>0</v>
      </c>
      <c r="M17" s="45">
        <v>0</v>
      </c>
      <c r="N17" s="46">
        <v>0</v>
      </c>
    </row>
    <row r="18" spans="2:14" ht="15" x14ac:dyDescent="0.2">
      <c r="B18" s="62" t="s">
        <v>39</v>
      </c>
      <c r="C18" s="41"/>
      <c r="D18" s="61">
        <f>SUM(D10:D17)</f>
        <v>20197135</v>
      </c>
      <c r="E18" s="63">
        <f t="shared" ref="E18:N18" si="2">SUM(E10:E17)</f>
        <v>20765068.59</v>
      </c>
      <c r="F18" s="63">
        <f t="shared" si="2"/>
        <v>21284195.304749995</v>
      </c>
      <c r="G18" s="63">
        <f t="shared" si="2"/>
        <v>21816300.187368743</v>
      </c>
      <c r="H18" s="63">
        <f t="shared" si="2"/>
        <v>22361707.692052964</v>
      </c>
      <c r="I18" s="63">
        <f t="shared" si="2"/>
        <v>22920750.384354282</v>
      </c>
      <c r="J18" s="63">
        <f t="shared" si="2"/>
        <v>23493769.14396314</v>
      </c>
      <c r="K18" s="63">
        <f t="shared" si="2"/>
        <v>24081113.372562218</v>
      </c>
      <c r="L18" s="63">
        <f t="shared" si="2"/>
        <v>24683141.20687627</v>
      </c>
      <c r="M18" s="63">
        <f t="shared" si="2"/>
        <v>25300219.737048175</v>
      </c>
      <c r="N18" s="64">
        <f t="shared" si="2"/>
        <v>25932725.230474375</v>
      </c>
    </row>
    <row r="19" spans="2:14" x14ac:dyDescent="0.2"/>
    <row r="20" spans="2:14" ht="15.75" x14ac:dyDescent="0.2">
      <c r="B20" s="69" t="s">
        <v>40</v>
      </c>
      <c r="C20" s="13"/>
    </row>
    <row r="21" spans="2:14" ht="15.75" x14ac:dyDescent="0.2">
      <c r="B21" s="54"/>
      <c r="C21" s="54"/>
      <c r="D21" s="34" t="str">
        <f>D$2</f>
        <v>2024-25</v>
      </c>
      <c r="E21" s="19" t="str">
        <f t="shared" ref="E21:N21" si="3">E$2</f>
        <v>2025-26</v>
      </c>
      <c r="F21" s="19" t="str">
        <f t="shared" si="3"/>
        <v>2026-27</v>
      </c>
      <c r="G21" s="19" t="str">
        <f t="shared" si="3"/>
        <v>2027-28</v>
      </c>
      <c r="H21" s="19" t="str">
        <f t="shared" si="3"/>
        <v>2028-29</v>
      </c>
      <c r="I21" s="19" t="str">
        <f t="shared" si="3"/>
        <v>2029-30</v>
      </c>
      <c r="J21" s="19" t="str">
        <f t="shared" si="3"/>
        <v>2030-31</v>
      </c>
      <c r="K21" s="19" t="str">
        <f t="shared" si="3"/>
        <v>2031-32</v>
      </c>
      <c r="L21" s="19" t="str">
        <f t="shared" si="3"/>
        <v>2032-33</v>
      </c>
      <c r="M21" s="19" t="str">
        <f t="shared" si="3"/>
        <v>2033-34</v>
      </c>
      <c r="N21" s="20" t="str">
        <f t="shared" si="3"/>
        <v>2034-35</v>
      </c>
    </row>
    <row r="22" spans="2:14" x14ac:dyDescent="0.2">
      <c r="B22" s="53" t="s">
        <v>15</v>
      </c>
      <c r="C22" s="35"/>
      <c r="D22" s="47">
        <f>D18</f>
        <v>20197135</v>
      </c>
      <c r="E22" s="47">
        <f t="shared" ref="E22:N22" si="4">E18</f>
        <v>20765068.59</v>
      </c>
      <c r="F22" s="47">
        <f t="shared" si="4"/>
        <v>21284195.304749995</v>
      </c>
      <c r="G22" s="47">
        <f t="shared" si="4"/>
        <v>21816300.187368743</v>
      </c>
      <c r="H22" s="47">
        <f t="shared" si="4"/>
        <v>22361707.692052964</v>
      </c>
      <c r="I22" s="47">
        <f t="shared" si="4"/>
        <v>22920750.384354282</v>
      </c>
      <c r="J22" s="47">
        <f t="shared" si="4"/>
        <v>23493769.14396314</v>
      </c>
      <c r="K22" s="47">
        <f t="shared" si="4"/>
        <v>24081113.372562218</v>
      </c>
      <c r="L22" s="47">
        <f t="shared" si="4"/>
        <v>24683141.20687627</v>
      </c>
      <c r="M22" s="47">
        <f t="shared" si="4"/>
        <v>25300219.737048175</v>
      </c>
      <c r="N22" s="49">
        <f t="shared" si="4"/>
        <v>25932725.230474375</v>
      </c>
    </row>
    <row r="23" spans="2:14" x14ac:dyDescent="0.2">
      <c r="B23" s="53" t="s">
        <v>41</v>
      </c>
      <c r="C23" s="35"/>
      <c r="D23" s="44">
        <v>1268138</v>
      </c>
      <c r="E23" s="45">
        <v>1287160.0699999998</v>
      </c>
      <c r="F23" s="45">
        <v>1306467.4710499998</v>
      </c>
      <c r="G23" s="45">
        <v>1326064.4831157497</v>
      </c>
      <c r="H23" s="45">
        <v>1345955.4503624858</v>
      </c>
      <c r="I23" s="45">
        <v>1366144.782117923</v>
      </c>
      <c r="J23" s="45">
        <v>1386636.9538496917</v>
      </c>
      <c r="K23" s="45">
        <v>1407436.508157437</v>
      </c>
      <c r="L23" s="45">
        <v>1428548.0557797984</v>
      </c>
      <c r="M23" s="45">
        <v>1449976.2766164953</v>
      </c>
      <c r="N23" s="46">
        <v>1486225.6835319076</v>
      </c>
    </row>
    <row r="24" spans="2:14" x14ac:dyDescent="0.2">
      <c r="B24" s="53" t="s">
        <v>42</v>
      </c>
      <c r="C24" s="35"/>
      <c r="D24" s="44">
        <v>4243329</v>
      </c>
      <c r="E24" s="45">
        <v>4338803.9024999999</v>
      </c>
      <c r="F24" s="45">
        <v>4436426.9903062498</v>
      </c>
      <c r="G24" s="45">
        <v>4536246.5975881405</v>
      </c>
      <c r="H24" s="45">
        <v>4646971.5295399036</v>
      </c>
      <c r="I24" s="45">
        <v>4759910.9601307018</v>
      </c>
      <c r="J24" s="45">
        <v>4855109.1793333162</v>
      </c>
      <c r="K24" s="45">
        <v>4952211.3629199825</v>
      </c>
      <c r="L24" s="45">
        <v>5051255.5901783826</v>
      </c>
      <c r="M24" s="45">
        <v>5152280.7019819506</v>
      </c>
      <c r="N24" s="46">
        <v>5281087.7195314988</v>
      </c>
    </row>
    <row r="25" spans="2:14" x14ac:dyDescent="0.2">
      <c r="B25" s="53" t="s">
        <v>43</v>
      </c>
      <c r="C25" s="35"/>
      <c r="D25" s="47">
        <f>+SUM(D26:D27)</f>
        <v>7902090</v>
      </c>
      <c r="E25" s="48">
        <f t="shared" ref="E25:N25" si="5">+SUM(E26:E27)</f>
        <v>8940454.5250000004</v>
      </c>
      <c r="F25" s="48">
        <f t="shared" si="5"/>
        <v>7683642.6643125005</v>
      </c>
      <c r="G25" s="48">
        <f t="shared" si="5"/>
        <v>7795349.2492595296</v>
      </c>
      <c r="H25" s="48">
        <f t="shared" si="5"/>
        <v>8001666.7052139994</v>
      </c>
      <c r="I25" s="48">
        <f t="shared" si="5"/>
        <v>8468736.0481844004</v>
      </c>
      <c r="J25" s="48">
        <f t="shared" si="5"/>
        <v>8683741.1380135994</v>
      </c>
      <c r="K25" s="48">
        <f t="shared" si="5"/>
        <v>8895029.0207739007</v>
      </c>
      <c r="L25" s="48">
        <f t="shared" si="5"/>
        <v>9110542.6611893997</v>
      </c>
      <c r="M25" s="48">
        <f t="shared" si="5"/>
        <v>9330366.5744132008</v>
      </c>
      <c r="N25" s="49">
        <f t="shared" si="5"/>
        <v>9610642.0637734998</v>
      </c>
    </row>
    <row r="26" spans="2:14" x14ac:dyDescent="0.2">
      <c r="B26" s="53" t="s">
        <v>44</v>
      </c>
      <c r="C26" s="35"/>
      <c r="D26" s="44">
        <f>6802808-D29</f>
        <v>5413808</v>
      </c>
      <c r="E26" s="45">
        <f>9500139.525-E29</f>
        <v>7790454.5250000004</v>
      </c>
      <c r="F26" s="45">
        <f>9713892.6643125-F29</f>
        <v>7683642.6643125005</v>
      </c>
      <c r="G26" s="45">
        <f>9932455.24925953-G29</f>
        <v>7795349.2492595296</v>
      </c>
      <c r="H26" s="45">
        <f>10138772.705214-H29</f>
        <v>8001666.7052139994</v>
      </c>
      <c r="I26" s="45">
        <f>10349389.0481844-I29</f>
        <v>8468736.0481844004</v>
      </c>
      <c r="J26" s="45">
        <f>10564394.1380136-J29</f>
        <v>8683741.1380135994</v>
      </c>
      <c r="K26" s="45">
        <f>10775682.0207739-K29</f>
        <v>8895029.0207739007</v>
      </c>
      <c r="L26" s="45">
        <f>10991195.6611894-L29</f>
        <v>9110542.6611893997</v>
      </c>
      <c r="M26" s="45">
        <f>11211019.5744132-M29</f>
        <v>9330366.5744132008</v>
      </c>
      <c r="N26" s="46">
        <f>11491295.0637735-N29</f>
        <v>9610642.0637734998</v>
      </c>
    </row>
    <row r="27" spans="2:14" x14ac:dyDescent="0.2">
      <c r="B27" s="53" t="s">
        <v>45</v>
      </c>
      <c r="C27" s="35"/>
      <c r="D27" s="44">
        <v>2488282</v>
      </c>
      <c r="E27" s="45">
        <v>1150000</v>
      </c>
      <c r="F27" s="45">
        <v>0</v>
      </c>
      <c r="G27" s="45">
        <v>0</v>
      </c>
      <c r="H27" s="45">
        <v>0</v>
      </c>
      <c r="I27" s="45">
        <v>0</v>
      </c>
      <c r="J27" s="45">
        <v>0</v>
      </c>
      <c r="K27" s="45">
        <v>0</v>
      </c>
      <c r="L27" s="45">
        <v>0</v>
      </c>
      <c r="M27" s="45">
        <v>0</v>
      </c>
      <c r="N27" s="46">
        <v>0</v>
      </c>
    </row>
    <row r="28" spans="2:14" x14ac:dyDescent="0.2">
      <c r="B28" s="53" t="s">
        <v>46</v>
      </c>
      <c r="C28" s="35"/>
      <c r="D28" s="47">
        <f>SUM(D29:D30)</f>
        <v>11204576</v>
      </c>
      <c r="E28" s="48">
        <f t="shared" ref="E28:N28" si="6">SUM(E29:E30)</f>
        <v>3728918</v>
      </c>
      <c r="F28" s="48">
        <f t="shared" si="6"/>
        <v>3728918</v>
      </c>
      <c r="G28" s="48">
        <f t="shared" si="6"/>
        <v>3594707</v>
      </c>
      <c r="H28" s="48">
        <f t="shared" si="6"/>
        <v>3424707</v>
      </c>
      <c r="I28" s="48">
        <f t="shared" si="6"/>
        <v>3368254</v>
      </c>
      <c r="J28" s="48">
        <f t="shared" si="6"/>
        <v>3101016</v>
      </c>
      <c r="K28" s="48">
        <f t="shared" si="6"/>
        <v>3125255</v>
      </c>
      <c r="L28" s="48">
        <f t="shared" si="6"/>
        <v>3347254</v>
      </c>
      <c r="M28" s="48">
        <f t="shared" si="6"/>
        <v>2880254</v>
      </c>
      <c r="N28" s="49">
        <f t="shared" si="6"/>
        <v>2780254</v>
      </c>
    </row>
    <row r="29" spans="2:14" x14ac:dyDescent="0.2">
      <c r="B29" s="53" t="s">
        <v>44</v>
      </c>
      <c r="C29" s="35"/>
      <c r="D29" s="44">
        <v>1389000</v>
      </c>
      <c r="E29" s="45">
        <v>1709685</v>
      </c>
      <c r="F29" s="45">
        <v>2030250</v>
      </c>
      <c r="G29" s="45">
        <v>2137106</v>
      </c>
      <c r="H29" s="45">
        <v>2137106</v>
      </c>
      <c r="I29" s="45">
        <v>1880653</v>
      </c>
      <c r="J29" s="45">
        <v>1880653</v>
      </c>
      <c r="K29" s="45">
        <v>1880653</v>
      </c>
      <c r="L29" s="45">
        <v>1880653</v>
      </c>
      <c r="M29" s="45">
        <v>1880653</v>
      </c>
      <c r="N29" s="46">
        <v>1880653</v>
      </c>
    </row>
    <row r="30" spans="2:14" x14ac:dyDescent="0.2">
      <c r="B30" s="53" t="s">
        <v>45</v>
      </c>
      <c r="C30" s="35"/>
      <c r="D30" s="44">
        <f>11204576-D29</f>
        <v>9815576</v>
      </c>
      <c r="E30" s="45">
        <v>2019233</v>
      </c>
      <c r="F30" s="45">
        <v>1698668</v>
      </c>
      <c r="G30" s="45">
        <v>1457601</v>
      </c>
      <c r="H30" s="45">
        <v>1287601</v>
      </c>
      <c r="I30" s="45">
        <v>1487601</v>
      </c>
      <c r="J30" s="45">
        <v>1220363</v>
      </c>
      <c r="K30" s="45">
        <v>1244602</v>
      </c>
      <c r="L30" s="45">
        <v>1466601</v>
      </c>
      <c r="M30" s="45">
        <v>999601</v>
      </c>
      <c r="N30" s="46">
        <v>899601</v>
      </c>
    </row>
    <row r="31" spans="2:14" x14ac:dyDescent="0.2">
      <c r="B31" s="53" t="s">
        <v>47</v>
      </c>
      <c r="C31" s="35"/>
      <c r="D31" s="47">
        <f>SUM(D32:D33)</f>
        <v>50000</v>
      </c>
      <c r="E31" s="48">
        <f t="shared" ref="E31:N31" si="7">SUM(E32:E33)</f>
        <v>50000</v>
      </c>
      <c r="F31" s="48">
        <f t="shared" si="7"/>
        <v>50000</v>
      </c>
      <c r="G31" s="48">
        <f t="shared" si="7"/>
        <v>50000</v>
      </c>
      <c r="H31" s="48">
        <f t="shared" si="7"/>
        <v>50000</v>
      </c>
      <c r="I31" s="48">
        <f t="shared" si="7"/>
        <v>50000</v>
      </c>
      <c r="J31" s="48">
        <f t="shared" si="7"/>
        <v>50000</v>
      </c>
      <c r="K31" s="48">
        <f t="shared" si="7"/>
        <v>50000</v>
      </c>
      <c r="L31" s="48">
        <f t="shared" si="7"/>
        <v>50000</v>
      </c>
      <c r="M31" s="48">
        <f t="shared" si="7"/>
        <v>50000</v>
      </c>
      <c r="N31" s="49">
        <f t="shared" si="7"/>
        <v>50000</v>
      </c>
    </row>
    <row r="32" spans="2:14" x14ac:dyDescent="0.2">
      <c r="B32" s="53" t="s">
        <v>48</v>
      </c>
      <c r="C32" s="35"/>
      <c r="D32" s="44">
        <v>30000</v>
      </c>
      <c r="E32" s="45">
        <v>0</v>
      </c>
      <c r="F32" s="45">
        <v>0</v>
      </c>
      <c r="G32" s="45">
        <v>0</v>
      </c>
      <c r="H32" s="45">
        <v>0</v>
      </c>
      <c r="I32" s="45">
        <v>0</v>
      </c>
      <c r="J32" s="45">
        <v>0</v>
      </c>
      <c r="K32" s="45">
        <v>0</v>
      </c>
      <c r="L32" s="45">
        <v>0</v>
      </c>
      <c r="M32" s="45">
        <v>0</v>
      </c>
      <c r="N32" s="46">
        <v>0</v>
      </c>
    </row>
    <row r="33" spans="2:14" x14ac:dyDescent="0.2">
      <c r="B33" s="53" t="s">
        <v>49</v>
      </c>
      <c r="C33" s="35"/>
      <c r="D33" s="44">
        <v>20000</v>
      </c>
      <c r="E33" s="45">
        <v>50000</v>
      </c>
      <c r="F33" s="45">
        <v>50000</v>
      </c>
      <c r="G33" s="45">
        <v>50000</v>
      </c>
      <c r="H33" s="45">
        <v>50000</v>
      </c>
      <c r="I33" s="45">
        <v>50000</v>
      </c>
      <c r="J33" s="45">
        <v>50000</v>
      </c>
      <c r="K33" s="45">
        <v>50000</v>
      </c>
      <c r="L33" s="45">
        <v>50000</v>
      </c>
      <c r="M33" s="45">
        <v>50000</v>
      </c>
      <c r="N33" s="46">
        <v>50000</v>
      </c>
    </row>
    <row r="34" spans="2:14" x14ac:dyDescent="0.2">
      <c r="B34" s="53" t="s">
        <v>50</v>
      </c>
      <c r="C34" s="35"/>
      <c r="D34" s="44">
        <v>0</v>
      </c>
      <c r="E34" s="45">
        <v>0</v>
      </c>
      <c r="F34" s="45">
        <v>0</v>
      </c>
      <c r="G34" s="45">
        <v>0</v>
      </c>
      <c r="H34" s="45">
        <v>0</v>
      </c>
      <c r="I34" s="45">
        <v>0</v>
      </c>
      <c r="J34" s="45">
        <v>0</v>
      </c>
      <c r="K34" s="45">
        <v>0</v>
      </c>
      <c r="L34" s="45">
        <v>0</v>
      </c>
      <c r="M34" s="45">
        <v>0</v>
      </c>
      <c r="N34" s="46">
        <v>0</v>
      </c>
    </row>
    <row r="35" spans="2:14" x14ac:dyDescent="0.2">
      <c r="B35" s="53" t="s">
        <v>51</v>
      </c>
      <c r="C35" s="35"/>
      <c r="D35" s="44">
        <v>391000</v>
      </c>
      <c r="E35" s="45">
        <v>183000</v>
      </c>
      <c r="F35" s="45">
        <v>264000</v>
      </c>
      <c r="G35" s="45">
        <v>230000</v>
      </c>
      <c r="H35" s="45">
        <v>246000</v>
      </c>
      <c r="I35" s="45">
        <v>245000</v>
      </c>
      <c r="J35" s="45">
        <v>194000</v>
      </c>
      <c r="K35" s="45">
        <v>194000</v>
      </c>
      <c r="L35" s="45">
        <v>194000</v>
      </c>
      <c r="M35" s="45">
        <v>197000</v>
      </c>
      <c r="N35" s="46">
        <v>197000</v>
      </c>
    </row>
    <row r="36" spans="2:14" x14ac:dyDescent="0.2">
      <c r="B36" s="53" t="s">
        <v>52</v>
      </c>
      <c r="C36" s="35"/>
      <c r="D36" s="44">
        <v>0</v>
      </c>
      <c r="E36" s="45">
        <v>0</v>
      </c>
      <c r="F36" s="45">
        <v>0</v>
      </c>
      <c r="G36" s="45">
        <v>0</v>
      </c>
      <c r="H36" s="45">
        <v>0</v>
      </c>
      <c r="I36" s="45">
        <v>0</v>
      </c>
      <c r="J36" s="45">
        <v>0</v>
      </c>
      <c r="K36" s="45">
        <v>0</v>
      </c>
      <c r="L36" s="45">
        <v>0</v>
      </c>
      <c r="M36" s="45">
        <v>0</v>
      </c>
      <c r="N36" s="46">
        <v>0</v>
      </c>
    </row>
    <row r="37" spans="2:14" x14ac:dyDescent="0.2">
      <c r="B37" s="53" t="s">
        <v>53</v>
      </c>
      <c r="C37" s="35"/>
      <c r="D37" s="44">
        <v>0</v>
      </c>
      <c r="E37" s="45"/>
      <c r="F37" s="45"/>
      <c r="G37" s="45"/>
      <c r="H37" s="45"/>
      <c r="I37" s="45"/>
      <c r="J37" s="45"/>
      <c r="K37" s="45"/>
      <c r="L37" s="45"/>
      <c r="M37" s="45"/>
      <c r="N37" s="46"/>
    </row>
    <row r="38" spans="2:14" x14ac:dyDescent="0.2">
      <c r="B38" s="53" t="s">
        <v>54</v>
      </c>
      <c r="C38" s="35"/>
      <c r="D38" s="44">
        <f>654934+347578+174523</f>
        <v>1177035</v>
      </c>
      <c r="E38" s="45">
        <f>180000+919000</f>
        <v>1099000</v>
      </c>
      <c r="F38" s="45">
        <f>150000+940000</f>
        <v>1090000</v>
      </c>
      <c r="G38" s="45">
        <f>150000+961000</f>
        <v>1111000</v>
      </c>
      <c r="H38" s="45">
        <f>150000+980000</f>
        <v>1130000</v>
      </c>
      <c r="I38" s="45">
        <f>150000+1000000</f>
        <v>1150000</v>
      </c>
      <c r="J38" s="45">
        <f>150000+1020000</f>
        <v>1170000</v>
      </c>
      <c r="K38" s="45">
        <f>150000+1040000</f>
        <v>1190000</v>
      </c>
      <c r="L38" s="45">
        <f>150000+1061000</f>
        <v>1211000</v>
      </c>
      <c r="M38" s="45">
        <f>150000+1082000</f>
        <v>1232000</v>
      </c>
      <c r="N38" s="46">
        <v>1262800</v>
      </c>
    </row>
    <row r="39" spans="2:14" ht="15" x14ac:dyDescent="0.2">
      <c r="B39" s="55" t="s">
        <v>55</v>
      </c>
      <c r="C39" s="35"/>
      <c r="D39" s="57">
        <f>SUM(D34:D38,D31,D28,D22:D25)</f>
        <v>46433303</v>
      </c>
      <c r="E39" s="58">
        <f t="shared" ref="E39:N39" si="8">SUM(E34:E38,E31,E28,E22:E25)</f>
        <v>40392405.087499999</v>
      </c>
      <c r="F39" s="58">
        <f t="shared" si="8"/>
        <v>39843650.430418745</v>
      </c>
      <c r="G39" s="58">
        <f t="shared" si="8"/>
        <v>40459667.517332166</v>
      </c>
      <c r="H39" s="58">
        <f t="shared" si="8"/>
        <v>41207008.377169356</v>
      </c>
      <c r="I39" s="58">
        <f t="shared" si="8"/>
        <v>42328796.174787305</v>
      </c>
      <c r="J39" s="58">
        <f t="shared" si="8"/>
        <v>42934272.415159747</v>
      </c>
      <c r="K39" s="58">
        <f t="shared" si="8"/>
        <v>43895045.264413536</v>
      </c>
      <c r="L39" s="58">
        <f t="shared" si="8"/>
        <v>45075741.514023855</v>
      </c>
      <c r="M39" s="58">
        <f t="shared" si="8"/>
        <v>45592097.290059827</v>
      </c>
      <c r="N39" s="59">
        <f t="shared" si="8"/>
        <v>46600734.697311282</v>
      </c>
    </row>
    <row r="40" spans="2:14" x14ac:dyDescent="0.2">
      <c r="B40" s="22"/>
      <c r="D40" s="50"/>
      <c r="E40" s="50"/>
      <c r="F40" s="50"/>
      <c r="G40" s="50"/>
      <c r="H40" s="50"/>
      <c r="I40" s="50"/>
      <c r="J40" s="50"/>
      <c r="K40" s="50"/>
      <c r="L40" s="50"/>
      <c r="M40" s="50"/>
      <c r="N40" s="51"/>
    </row>
    <row r="41" spans="2:14" x14ac:dyDescent="0.2">
      <c r="B41" s="53" t="s">
        <v>57</v>
      </c>
      <c r="C41" s="35"/>
      <c r="D41" s="44">
        <v>15479630</v>
      </c>
      <c r="E41" s="45">
        <v>15827921.674999999</v>
      </c>
      <c r="F41" s="45">
        <v>16184049.912687499</v>
      </c>
      <c r="G41" s="45">
        <v>16507730.910941249</v>
      </c>
      <c r="H41" s="45">
        <v>16837885.529160075</v>
      </c>
      <c r="I41" s="45">
        <v>17174643.239743277</v>
      </c>
      <c r="J41" s="45">
        <v>17518136.104538143</v>
      </c>
      <c r="K41" s="45">
        <v>17868498.826628905</v>
      </c>
      <c r="L41" s="45">
        <v>18225868.803161483</v>
      </c>
      <c r="M41" s="45">
        <v>18590386.179224715</v>
      </c>
      <c r="N41" s="46">
        <v>19055145.833705332</v>
      </c>
    </row>
    <row r="42" spans="2:14" x14ac:dyDescent="0.2">
      <c r="B42" s="53" t="s">
        <v>58</v>
      </c>
      <c r="C42" s="35"/>
      <c r="D42" s="44">
        <v>16652679</v>
      </c>
      <c r="E42" s="45">
        <v>18628739.322500002</v>
      </c>
      <c r="F42" s="45">
        <v>17539292.244756248</v>
      </c>
      <c r="G42" s="45">
        <v>17932882.050263267</v>
      </c>
      <c r="H42" s="45">
        <v>18452182.811268527</v>
      </c>
      <c r="I42" s="45">
        <v>18821226.407493901</v>
      </c>
      <c r="J42" s="45">
        <v>19197650.955643781</v>
      </c>
      <c r="K42" s="45">
        <v>19581603.694756657</v>
      </c>
      <c r="L42" s="45">
        <v>19973235.78865179</v>
      </c>
      <c r="M42" s="45">
        <v>20368970.384424828</v>
      </c>
      <c r="N42" s="46">
        <v>20878194.644035444</v>
      </c>
    </row>
    <row r="43" spans="2:14" x14ac:dyDescent="0.2">
      <c r="B43" s="53" t="s">
        <v>59</v>
      </c>
      <c r="C43" s="35"/>
      <c r="D43" s="44">
        <v>2359</v>
      </c>
      <c r="E43" s="45"/>
      <c r="F43" s="45"/>
      <c r="G43" s="45"/>
      <c r="H43" s="45"/>
      <c r="I43" s="45"/>
      <c r="J43" s="45"/>
      <c r="K43" s="45"/>
      <c r="L43" s="45"/>
      <c r="M43" s="45"/>
      <c r="N43" s="46"/>
    </row>
    <row r="44" spans="2:14" x14ac:dyDescent="0.2">
      <c r="B44" s="53" t="s">
        <v>60</v>
      </c>
      <c r="C44" s="35"/>
      <c r="D44" s="47">
        <f>+SUM(D45:D46)</f>
        <v>8495510</v>
      </c>
      <c r="E44" s="48">
        <f t="shared" ref="E44:N44" si="9">+SUM(E45:E46)</f>
        <v>9129174.4800000004</v>
      </c>
      <c r="F44" s="48">
        <f t="shared" si="9"/>
        <v>9334580.905799998</v>
      </c>
      <c r="G44" s="48">
        <f t="shared" si="9"/>
        <v>9334580.905799998</v>
      </c>
      <c r="H44" s="48">
        <f t="shared" si="9"/>
        <v>9334580.905799998</v>
      </c>
      <c r="I44" s="48">
        <f t="shared" si="9"/>
        <v>9334580.905799998</v>
      </c>
      <c r="J44" s="48">
        <f t="shared" si="9"/>
        <v>9334580.905799998</v>
      </c>
      <c r="K44" s="48">
        <f t="shared" si="9"/>
        <v>9334580.905799998</v>
      </c>
      <c r="L44" s="48">
        <f t="shared" si="9"/>
        <v>9334580.905799998</v>
      </c>
      <c r="M44" s="48">
        <f t="shared" si="9"/>
        <v>9334580.905799998</v>
      </c>
      <c r="N44" s="49">
        <f t="shared" si="9"/>
        <v>9567945.4284449965</v>
      </c>
    </row>
    <row r="45" spans="2:14" x14ac:dyDescent="0.2">
      <c r="B45" s="53" t="s">
        <v>61</v>
      </c>
      <c r="C45" s="35"/>
      <c r="D45" s="44">
        <v>8459958</v>
      </c>
      <c r="E45" s="45">
        <f>9127522.48+1652</f>
        <v>9129174.4800000004</v>
      </c>
      <c r="F45" s="45">
        <v>9334580.905799998</v>
      </c>
      <c r="G45" s="45">
        <v>9334580.905799998</v>
      </c>
      <c r="H45" s="45">
        <v>9334580.905799998</v>
      </c>
      <c r="I45" s="45">
        <v>9334580.905799998</v>
      </c>
      <c r="J45" s="45">
        <v>9334580.905799998</v>
      </c>
      <c r="K45" s="45">
        <v>9334580.905799998</v>
      </c>
      <c r="L45" s="45">
        <v>9334580.905799998</v>
      </c>
      <c r="M45" s="45">
        <v>9334580.905799998</v>
      </c>
      <c r="N45" s="46">
        <v>9567945.4284449965</v>
      </c>
    </row>
    <row r="46" spans="2:14" x14ac:dyDescent="0.2">
      <c r="B46" s="53" t="s">
        <v>62</v>
      </c>
      <c r="C46" s="35"/>
      <c r="D46" s="44">
        <v>35552</v>
      </c>
      <c r="E46" s="45">
        <v>0</v>
      </c>
      <c r="F46" s="45">
        <v>0</v>
      </c>
      <c r="G46" s="45">
        <v>0</v>
      </c>
      <c r="H46" s="45">
        <v>0</v>
      </c>
      <c r="I46" s="45">
        <v>0</v>
      </c>
      <c r="J46" s="45">
        <v>0</v>
      </c>
      <c r="K46" s="45">
        <v>0</v>
      </c>
      <c r="L46" s="45">
        <v>0</v>
      </c>
      <c r="M46" s="45">
        <v>0</v>
      </c>
      <c r="N46" s="46">
        <v>0</v>
      </c>
    </row>
    <row r="47" spans="2:14" x14ac:dyDescent="0.2">
      <c r="B47" s="53" t="s">
        <v>63</v>
      </c>
      <c r="C47" s="35"/>
      <c r="D47" s="44">
        <v>81620</v>
      </c>
      <c r="E47" s="45">
        <v>82850.099999999991</v>
      </c>
      <c r="F47" s="45">
        <v>127349.34</v>
      </c>
      <c r="G47" s="45">
        <v>114585.59</v>
      </c>
      <c r="H47" s="45">
        <v>101012.35</v>
      </c>
      <c r="I47" s="45">
        <v>86577.260000000009</v>
      </c>
      <c r="J47" s="45">
        <v>71224.489999999991</v>
      </c>
      <c r="K47" s="45">
        <v>54894.490000000005</v>
      </c>
      <c r="L47" s="45">
        <v>38708.85</v>
      </c>
      <c r="M47" s="45">
        <v>22947.210000000003</v>
      </c>
      <c r="N47" s="46">
        <v>7185.570000000007</v>
      </c>
    </row>
    <row r="48" spans="2:14" x14ac:dyDescent="0.2">
      <c r="B48" s="53" t="s">
        <v>64</v>
      </c>
      <c r="C48" s="35"/>
      <c r="D48" s="44">
        <v>31601</v>
      </c>
      <c r="E48" s="45">
        <v>0</v>
      </c>
      <c r="F48" s="45">
        <v>0</v>
      </c>
      <c r="G48" s="45">
        <v>0</v>
      </c>
      <c r="H48" s="45">
        <v>0</v>
      </c>
      <c r="I48" s="45">
        <v>0</v>
      </c>
      <c r="J48" s="45">
        <v>0</v>
      </c>
      <c r="K48" s="45">
        <v>0</v>
      </c>
      <c r="L48" s="45">
        <v>0</v>
      </c>
      <c r="M48" s="45">
        <v>0</v>
      </c>
      <c r="N48" s="46">
        <v>0</v>
      </c>
    </row>
    <row r="49" spans="2:14" x14ac:dyDescent="0.2">
      <c r="B49" s="53" t="s">
        <v>51</v>
      </c>
      <c r="C49" s="35"/>
      <c r="D49" s="44">
        <v>0</v>
      </c>
      <c r="E49" s="45">
        <v>0</v>
      </c>
      <c r="F49" s="45">
        <v>0</v>
      </c>
      <c r="G49" s="45">
        <v>0</v>
      </c>
      <c r="H49" s="45">
        <v>0</v>
      </c>
      <c r="I49" s="45">
        <v>0</v>
      </c>
      <c r="J49" s="45">
        <v>0</v>
      </c>
      <c r="K49" s="45">
        <v>0</v>
      </c>
      <c r="L49" s="45">
        <v>0</v>
      </c>
      <c r="M49" s="45">
        <v>0</v>
      </c>
      <c r="N49" s="46">
        <v>0</v>
      </c>
    </row>
    <row r="50" spans="2:14" x14ac:dyDescent="0.2">
      <c r="B50" s="53" t="s">
        <v>52</v>
      </c>
      <c r="C50" s="35"/>
      <c r="D50" s="44">
        <v>0</v>
      </c>
      <c r="E50" s="45">
        <v>0</v>
      </c>
      <c r="F50" s="45">
        <v>0</v>
      </c>
      <c r="G50" s="45">
        <v>0</v>
      </c>
      <c r="H50" s="45">
        <v>0</v>
      </c>
      <c r="I50" s="45">
        <v>0</v>
      </c>
      <c r="J50" s="45">
        <v>0</v>
      </c>
      <c r="K50" s="45">
        <v>0</v>
      </c>
      <c r="L50" s="45">
        <v>0</v>
      </c>
      <c r="M50" s="45">
        <v>0</v>
      </c>
      <c r="N50" s="46">
        <v>0</v>
      </c>
    </row>
    <row r="51" spans="2:14" x14ac:dyDescent="0.2">
      <c r="B51" s="53" t="s">
        <v>53</v>
      </c>
      <c r="C51" s="35"/>
      <c r="D51" s="44">
        <v>0</v>
      </c>
      <c r="E51" s="45">
        <v>0</v>
      </c>
      <c r="F51" s="45">
        <v>0</v>
      </c>
      <c r="G51" s="45">
        <v>0</v>
      </c>
      <c r="H51" s="45">
        <v>0</v>
      </c>
      <c r="I51" s="45">
        <v>0</v>
      </c>
      <c r="J51" s="45">
        <v>0</v>
      </c>
      <c r="K51" s="45">
        <v>0</v>
      </c>
      <c r="L51" s="45">
        <v>0</v>
      </c>
      <c r="M51" s="45">
        <v>0</v>
      </c>
      <c r="N51" s="46">
        <v>0</v>
      </c>
    </row>
    <row r="52" spans="2:14" x14ac:dyDescent="0.2">
      <c r="B52" s="53" t="s">
        <v>65</v>
      </c>
      <c r="C52" s="35"/>
      <c r="D52" s="44">
        <v>2176566</v>
      </c>
      <c r="E52" s="45">
        <v>2098983.91</v>
      </c>
      <c r="F52" s="45">
        <v>2146211.047975</v>
      </c>
      <c r="G52" s="45">
        <v>2194500.7965544374</v>
      </c>
      <c r="H52" s="45">
        <v>2238390.8124855263</v>
      </c>
      <c r="I52" s="45">
        <v>2283158.6287352368</v>
      </c>
      <c r="J52" s="45">
        <v>2328821.8013099418</v>
      </c>
      <c r="K52" s="45">
        <v>2375398.2373361406</v>
      </c>
      <c r="L52" s="45">
        <v>2422906.2020828635</v>
      </c>
      <c r="M52" s="45">
        <v>2471364.326124521</v>
      </c>
      <c r="N52" s="46">
        <v>2533148.4342776337</v>
      </c>
    </row>
    <row r="53" spans="2:14" ht="15" x14ac:dyDescent="0.2">
      <c r="B53" s="55" t="s">
        <v>66</v>
      </c>
      <c r="C53" s="35"/>
      <c r="D53" s="57">
        <f>SUM(D47:D52,D41:D44)</f>
        <v>42919965</v>
      </c>
      <c r="E53" s="58">
        <f t="shared" ref="E53:N53" si="10">SUM(E47:E52,E41:E44)</f>
        <v>45767669.487499997</v>
      </c>
      <c r="F53" s="58">
        <f t="shared" si="10"/>
        <v>45331483.451218747</v>
      </c>
      <c r="G53" s="58">
        <f t="shared" si="10"/>
        <v>46084280.253558949</v>
      </c>
      <c r="H53" s="58">
        <f t="shared" si="10"/>
        <v>46964052.408714131</v>
      </c>
      <c r="I53" s="58">
        <f t="shared" si="10"/>
        <v>47700186.441772416</v>
      </c>
      <c r="J53" s="58">
        <f t="shared" si="10"/>
        <v>48450414.257291868</v>
      </c>
      <c r="K53" s="58">
        <f t="shared" si="10"/>
        <v>49214976.154521704</v>
      </c>
      <c r="L53" s="58">
        <f t="shared" si="10"/>
        <v>49995300.549696133</v>
      </c>
      <c r="M53" s="58">
        <f t="shared" si="10"/>
        <v>50788249.005574062</v>
      </c>
      <c r="N53" s="59">
        <f t="shared" si="10"/>
        <v>52041619.910463408</v>
      </c>
    </row>
    <row r="54" spans="2:14" x14ac:dyDescent="0.2">
      <c r="B54" s="22"/>
      <c r="D54" s="50"/>
      <c r="E54" s="50"/>
      <c r="F54" s="50"/>
      <c r="G54" s="50"/>
      <c r="H54" s="50"/>
      <c r="I54" s="50"/>
      <c r="J54" s="50"/>
      <c r="K54" s="50"/>
      <c r="L54" s="50"/>
      <c r="M54" s="50"/>
      <c r="N54" s="51"/>
    </row>
    <row r="55" spans="2:14" ht="15" x14ac:dyDescent="0.2">
      <c r="B55" s="55" t="s">
        <v>415</v>
      </c>
      <c r="C55" s="52"/>
      <c r="D55" s="57">
        <f>D39-D53</f>
        <v>3513338</v>
      </c>
      <c r="E55" s="58">
        <f t="shared" ref="E55:N55" si="11">E39-E53</f>
        <v>-5375264.3999999985</v>
      </c>
      <c r="F55" s="58">
        <f t="shared" si="11"/>
        <v>-5487833.0208000019</v>
      </c>
      <c r="G55" s="58">
        <f t="shared" si="11"/>
        <v>-5624612.7362267822</v>
      </c>
      <c r="H55" s="58">
        <f t="shared" si="11"/>
        <v>-5757044.0315447748</v>
      </c>
      <c r="I55" s="58">
        <f t="shared" si="11"/>
        <v>-5371390.2669851109</v>
      </c>
      <c r="J55" s="58">
        <f t="shared" si="11"/>
        <v>-5516141.8421321213</v>
      </c>
      <c r="K55" s="58">
        <f t="shared" si="11"/>
        <v>-5319930.8901081681</v>
      </c>
      <c r="L55" s="58">
        <f t="shared" si="11"/>
        <v>-4919559.0356722772</v>
      </c>
      <c r="M55" s="58">
        <f t="shared" si="11"/>
        <v>-5196151.7155142352</v>
      </c>
      <c r="N55" s="59">
        <f t="shared" si="11"/>
        <v>-5440885.2131521255</v>
      </c>
    </row>
    <row r="56" spans="2:14" x14ac:dyDescent="0.2">
      <c r="B56" s="56"/>
      <c r="C56" s="41"/>
      <c r="D56" s="25"/>
      <c r="E56" s="25"/>
      <c r="F56" s="25"/>
      <c r="G56" s="25"/>
      <c r="H56" s="25"/>
      <c r="I56" s="25"/>
      <c r="J56" s="25"/>
      <c r="K56" s="25"/>
      <c r="L56" s="25"/>
      <c r="M56" s="25"/>
      <c r="N56" s="26"/>
    </row>
    <row r="57" spans="2:14" x14ac:dyDescent="0.2"/>
    <row r="58" spans="2:14" ht="15.75" x14ac:dyDescent="0.2">
      <c r="B58" s="69" t="s">
        <v>105</v>
      </c>
      <c r="C58" s="13"/>
    </row>
    <row r="59" spans="2:14" ht="15" x14ac:dyDescent="0.2">
      <c r="B59" s="33"/>
      <c r="C59" s="36"/>
      <c r="D59" s="34" t="str">
        <f>D$2</f>
        <v>2024-25</v>
      </c>
      <c r="E59" s="19" t="str">
        <f t="shared" ref="E59:N59" si="12">E$2</f>
        <v>2025-26</v>
      </c>
      <c r="F59" s="19" t="str">
        <f t="shared" si="12"/>
        <v>2026-27</v>
      </c>
      <c r="G59" s="19" t="str">
        <f t="shared" si="12"/>
        <v>2027-28</v>
      </c>
      <c r="H59" s="19" t="str">
        <f t="shared" si="12"/>
        <v>2028-29</v>
      </c>
      <c r="I59" s="19" t="str">
        <f t="shared" si="12"/>
        <v>2029-30</v>
      </c>
      <c r="J59" s="19" t="str">
        <f t="shared" si="12"/>
        <v>2030-31</v>
      </c>
      <c r="K59" s="19" t="str">
        <f t="shared" si="12"/>
        <v>2031-32</v>
      </c>
      <c r="L59" s="19" t="str">
        <f t="shared" si="12"/>
        <v>2032-33</v>
      </c>
      <c r="M59" s="19" t="str">
        <f t="shared" si="12"/>
        <v>2033-34</v>
      </c>
      <c r="N59" s="20" t="str">
        <f t="shared" si="12"/>
        <v>2034-35</v>
      </c>
    </row>
    <row r="60" spans="2:14" x14ac:dyDescent="0.2">
      <c r="B60" s="28" t="s">
        <v>162</v>
      </c>
      <c r="C60" s="31"/>
      <c r="D60" s="31"/>
      <c r="E60" s="31"/>
      <c r="F60" s="31"/>
      <c r="G60" s="31"/>
      <c r="H60" s="31"/>
      <c r="I60" s="31"/>
      <c r="J60" s="31"/>
      <c r="K60" s="31"/>
      <c r="L60" s="31"/>
      <c r="M60" s="31"/>
      <c r="N60" s="32"/>
    </row>
    <row r="61" spans="2:14" x14ac:dyDescent="0.2">
      <c r="B61" s="53" t="s">
        <v>67</v>
      </c>
      <c r="C61" s="35"/>
      <c r="D61" s="47">
        <f>+SUM(D62:D66)</f>
        <v>2987765</v>
      </c>
      <c r="E61" s="48">
        <f t="shared" ref="E61:N61" si="13">+SUM(E62:E66)</f>
        <v>5614643.6652500024</v>
      </c>
      <c r="F61" s="48">
        <f t="shared" si="13"/>
        <v>5808290.1373118758</v>
      </c>
      <c r="G61" s="48">
        <f t="shared" si="13"/>
        <v>6006293.6549951406</v>
      </c>
      <c r="H61" s="48">
        <f t="shared" si="13"/>
        <v>6208752.2518262798</v>
      </c>
      <c r="I61" s="48">
        <f t="shared" si="13"/>
        <v>6400760.1610619705</v>
      </c>
      <c r="J61" s="48">
        <f t="shared" si="13"/>
        <v>6596608.2284823861</v>
      </c>
      <c r="K61" s="48">
        <f t="shared" si="13"/>
        <v>6796373.2572512049</v>
      </c>
      <c r="L61" s="48">
        <f t="shared" si="13"/>
        <v>7000133.5865954002</v>
      </c>
      <c r="M61" s="48">
        <f t="shared" si="13"/>
        <v>7207969.1225264734</v>
      </c>
      <c r="N61" s="49">
        <f t="shared" si="13"/>
        <v>7388168.3505896349</v>
      </c>
    </row>
    <row r="62" spans="2:14" x14ac:dyDescent="0.2">
      <c r="B62" s="53" t="s">
        <v>68</v>
      </c>
      <c r="C62" s="35"/>
      <c r="D62" s="45">
        <v>2987765</v>
      </c>
      <c r="E62" s="45">
        <v>5614643.6652500024</v>
      </c>
      <c r="F62" s="45">
        <v>5808290.1373118758</v>
      </c>
      <c r="G62" s="45">
        <v>6006293.6549951406</v>
      </c>
      <c r="H62" s="45">
        <v>6208752.2518262798</v>
      </c>
      <c r="I62" s="45">
        <v>6400760.1610619705</v>
      </c>
      <c r="J62" s="45">
        <v>6596608.2284823861</v>
      </c>
      <c r="K62" s="45">
        <v>6796373.2572512049</v>
      </c>
      <c r="L62" s="45">
        <v>7000133.5865954002</v>
      </c>
      <c r="M62" s="45">
        <v>7207969.1225264734</v>
      </c>
      <c r="N62" s="46">
        <v>7388168.3505896349</v>
      </c>
    </row>
    <row r="63" spans="2:14" x14ac:dyDescent="0.2">
      <c r="B63" s="53" t="s">
        <v>69</v>
      </c>
      <c r="C63" s="35"/>
      <c r="D63" s="45">
        <v>0</v>
      </c>
      <c r="E63" s="45"/>
      <c r="F63" s="45"/>
      <c r="G63" s="45"/>
      <c r="H63" s="45"/>
      <c r="I63" s="45"/>
      <c r="J63" s="45"/>
      <c r="K63" s="45"/>
      <c r="L63" s="45"/>
      <c r="M63" s="45"/>
      <c r="N63" s="46"/>
    </row>
    <row r="64" spans="2:14" x14ac:dyDescent="0.2">
      <c r="B64" s="53" t="s">
        <v>70</v>
      </c>
      <c r="C64" s="35"/>
      <c r="D64" s="45">
        <v>0</v>
      </c>
      <c r="E64" s="45"/>
      <c r="F64" s="45"/>
      <c r="G64" s="45"/>
      <c r="H64" s="45"/>
      <c r="I64" s="45"/>
      <c r="J64" s="45"/>
      <c r="K64" s="45"/>
      <c r="L64" s="45"/>
      <c r="M64" s="45"/>
      <c r="N64" s="46"/>
    </row>
    <row r="65" spans="2:14" x14ac:dyDescent="0.2">
      <c r="B65" s="53" t="s">
        <v>71</v>
      </c>
      <c r="C65" s="35"/>
      <c r="D65" s="45">
        <v>0</v>
      </c>
      <c r="E65" s="45"/>
      <c r="F65" s="45"/>
      <c r="G65" s="45"/>
      <c r="H65" s="45"/>
      <c r="I65" s="45"/>
      <c r="J65" s="45"/>
      <c r="K65" s="45"/>
      <c r="L65" s="45"/>
      <c r="M65" s="45"/>
      <c r="N65" s="46"/>
    </row>
    <row r="66" spans="2:14" x14ac:dyDescent="0.2">
      <c r="B66" s="53" t="s">
        <v>72</v>
      </c>
      <c r="C66" s="35"/>
      <c r="D66" s="45">
        <v>0</v>
      </c>
      <c r="E66" s="45"/>
      <c r="F66" s="45"/>
      <c r="G66" s="45"/>
      <c r="H66" s="45"/>
      <c r="I66" s="45"/>
      <c r="J66" s="45"/>
      <c r="K66" s="45"/>
      <c r="L66" s="45"/>
      <c r="M66" s="45"/>
      <c r="N66" s="46"/>
    </row>
    <row r="67" spans="2:14" x14ac:dyDescent="0.2">
      <c r="B67" s="53" t="s">
        <v>73</v>
      </c>
      <c r="C67" s="35"/>
      <c r="D67" s="45">
        <v>5257167</v>
      </c>
      <c r="E67" s="45">
        <v>4146345.7380360002</v>
      </c>
      <c r="F67" s="45">
        <v>4436589.9396985201</v>
      </c>
      <c r="G67" s="45">
        <v>4747151.2354774168</v>
      </c>
      <c r="H67" s="45">
        <v>5079451.8219608366</v>
      </c>
      <c r="I67" s="45">
        <v>5435013.4494980955</v>
      </c>
      <c r="J67" s="45">
        <v>5815464.390962963</v>
      </c>
      <c r="K67" s="45">
        <v>6222546.8983303709</v>
      </c>
      <c r="L67" s="45">
        <v>6658125.1812134972</v>
      </c>
      <c r="M67" s="45">
        <v>7124193.9438984422</v>
      </c>
      <c r="N67" s="46">
        <v>7302298.7924959026</v>
      </c>
    </row>
    <row r="68" spans="2:14" x14ac:dyDescent="0.2">
      <c r="B68" s="53" t="s">
        <v>74</v>
      </c>
      <c r="C68" s="35"/>
      <c r="D68" s="45">
        <v>0</v>
      </c>
      <c r="E68" s="45">
        <v>0</v>
      </c>
      <c r="F68" s="45">
        <v>0</v>
      </c>
      <c r="G68" s="45">
        <v>0</v>
      </c>
      <c r="H68" s="45">
        <v>0</v>
      </c>
      <c r="I68" s="45">
        <v>0</v>
      </c>
      <c r="J68" s="45">
        <v>0</v>
      </c>
      <c r="K68" s="45">
        <v>0</v>
      </c>
      <c r="L68" s="45">
        <v>0</v>
      </c>
      <c r="M68" s="45">
        <v>0</v>
      </c>
      <c r="N68" s="46">
        <v>0</v>
      </c>
    </row>
    <row r="69" spans="2:14" x14ac:dyDescent="0.2">
      <c r="B69" s="53" t="s">
        <v>75</v>
      </c>
      <c r="C69" s="35"/>
      <c r="D69" s="45">
        <v>340653</v>
      </c>
      <c r="E69" s="45">
        <v>330159</v>
      </c>
      <c r="F69" s="45">
        <v>330159</v>
      </c>
      <c r="G69" s="45">
        <v>330159</v>
      </c>
      <c r="H69" s="45">
        <v>330159</v>
      </c>
      <c r="I69" s="45">
        <v>330159</v>
      </c>
      <c r="J69" s="45">
        <v>330159</v>
      </c>
      <c r="K69" s="45">
        <v>330159</v>
      </c>
      <c r="L69" s="45">
        <v>330159</v>
      </c>
      <c r="M69" s="45">
        <v>330159</v>
      </c>
      <c r="N69" s="46">
        <v>330159</v>
      </c>
    </row>
    <row r="70" spans="2:14" x14ac:dyDescent="0.2">
      <c r="B70" s="53" t="s">
        <v>76</v>
      </c>
      <c r="C70" s="35"/>
      <c r="D70" s="45">
        <v>0</v>
      </c>
      <c r="E70" s="45"/>
      <c r="F70" s="45"/>
      <c r="G70" s="45"/>
      <c r="H70" s="45"/>
      <c r="I70" s="45"/>
      <c r="J70" s="45"/>
      <c r="K70" s="45"/>
      <c r="L70" s="45"/>
      <c r="M70" s="45"/>
      <c r="N70" s="46"/>
    </row>
    <row r="71" spans="2:14" x14ac:dyDescent="0.2">
      <c r="B71" s="53" t="s">
        <v>77</v>
      </c>
      <c r="C71" s="35"/>
      <c r="D71" s="45">
        <v>0</v>
      </c>
      <c r="E71" s="45"/>
      <c r="F71" s="45"/>
      <c r="G71" s="45"/>
      <c r="H71" s="45"/>
      <c r="I71" s="45"/>
      <c r="J71" s="45"/>
      <c r="K71" s="45"/>
      <c r="L71" s="45"/>
      <c r="M71" s="45"/>
      <c r="N71" s="46"/>
    </row>
    <row r="72" spans="2:14" x14ac:dyDescent="0.2">
      <c r="B72" s="53" t="s">
        <v>78</v>
      </c>
      <c r="C72" s="35"/>
      <c r="D72" s="45">
        <v>281000</v>
      </c>
      <c r="E72" s="45">
        <v>281000</v>
      </c>
      <c r="F72" s="45">
        <v>281000</v>
      </c>
      <c r="G72" s="45">
        <v>281000</v>
      </c>
      <c r="H72" s="45">
        <v>281000</v>
      </c>
      <c r="I72" s="45">
        <v>281000</v>
      </c>
      <c r="J72" s="45">
        <v>281000</v>
      </c>
      <c r="K72" s="45">
        <v>281000</v>
      </c>
      <c r="L72" s="45">
        <v>281000</v>
      </c>
      <c r="M72" s="45">
        <v>281000</v>
      </c>
      <c r="N72" s="46">
        <v>281000</v>
      </c>
    </row>
    <row r="73" spans="2:14" ht="15" x14ac:dyDescent="0.2">
      <c r="B73" s="55" t="s">
        <v>79</v>
      </c>
      <c r="C73" s="35"/>
      <c r="D73" s="57">
        <f>SUM(D67:D72,D61)</f>
        <v>8866585</v>
      </c>
      <c r="E73" s="48">
        <f t="shared" ref="E73:N73" si="14">SUM(E67:E72,E61)</f>
        <v>10372148.403286003</v>
      </c>
      <c r="F73" s="48">
        <f t="shared" si="14"/>
        <v>10856039.077010397</v>
      </c>
      <c r="G73" s="48">
        <f t="shared" si="14"/>
        <v>11364603.890472557</v>
      </c>
      <c r="H73" s="48">
        <f t="shared" si="14"/>
        <v>11899363.073787116</v>
      </c>
      <c r="I73" s="48">
        <f t="shared" si="14"/>
        <v>12446932.610560067</v>
      </c>
      <c r="J73" s="48">
        <f t="shared" si="14"/>
        <v>13023231.61944535</v>
      </c>
      <c r="K73" s="48">
        <f t="shared" si="14"/>
        <v>13630079.155581575</v>
      </c>
      <c r="L73" s="48">
        <f t="shared" si="14"/>
        <v>14269417.767808897</v>
      </c>
      <c r="M73" s="48">
        <f t="shared" si="14"/>
        <v>14943322.066424916</v>
      </c>
      <c r="N73" s="49">
        <f t="shared" si="14"/>
        <v>15301626.143085537</v>
      </c>
    </row>
    <row r="74" spans="2:14" x14ac:dyDescent="0.2">
      <c r="B74" s="27"/>
      <c r="C74" s="31"/>
      <c r="D74" s="50"/>
      <c r="E74" s="50"/>
      <c r="F74" s="50"/>
      <c r="G74" s="50"/>
      <c r="H74" s="50"/>
      <c r="I74" s="50"/>
      <c r="J74" s="50"/>
      <c r="K74" s="50"/>
      <c r="L74" s="50"/>
      <c r="M74" s="50"/>
      <c r="N74" s="51"/>
    </row>
    <row r="75" spans="2:14" x14ac:dyDescent="0.2">
      <c r="B75" s="28" t="s">
        <v>163</v>
      </c>
      <c r="C75" s="31"/>
      <c r="D75" s="50"/>
      <c r="E75" s="50"/>
      <c r="F75" s="50"/>
      <c r="G75" s="50"/>
      <c r="H75" s="50"/>
      <c r="I75" s="50"/>
      <c r="J75" s="50"/>
      <c r="K75" s="50"/>
      <c r="L75" s="50"/>
      <c r="M75" s="50"/>
      <c r="N75" s="51"/>
    </row>
    <row r="76" spans="2:14" x14ac:dyDescent="0.2">
      <c r="B76" s="53" t="s">
        <v>73</v>
      </c>
      <c r="C76" s="35"/>
      <c r="D76" s="45">
        <v>0</v>
      </c>
      <c r="E76" s="45"/>
      <c r="F76" s="45"/>
      <c r="G76" s="45"/>
      <c r="H76" s="45"/>
      <c r="I76" s="45"/>
      <c r="J76" s="45"/>
      <c r="K76" s="45"/>
      <c r="L76" s="45"/>
      <c r="M76" s="45"/>
      <c r="N76" s="46"/>
    </row>
    <row r="77" spans="2:14" x14ac:dyDescent="0.2">
      <c r="B77" s="53" t="s">
        <v>74</v>
      </c>
      <c r="C77" s="35"/>
      <c r="D77" s="45">
        <v>0</v>
      </c>
      <c r="E77" s="45"/>
      <c r="F77" s="45"/>
      <c r="G77" s="45"/>
      <c r="H77" s="45"/>
      <c r="I77" s="45"/>
      <c r="J77" s="45"/>
      <c r="K77" s="45"/>
      <c r="L77" s="45"/>
      <c r="M77" s="45"/>
      <c r="N77" s="46"/>
    </row>
    <row r="78" spans="2:14" x14ac:dyDescent="0.2">
      <c r="B78" s="53" t="s">
        <v>80</v>
      </c>
      <c r="C78" s="35"/>
      <c r="D78" s="45">
        <v>0</v>
      </c>
      <c r="E78" s="45"/>
      <c r="F78" s="45"/>
      <c r="G78" s="45"/>
      <c r="H78" s="45"/>
      <c r="I78" s="45"/>
      <c r="J78" s="45"/>
      <c r="K78" s="45"/>
      <c r="L78" s="45"/>
      <c r="M78" s="45"/>
      <c r="N78" s="46"/>
    </row>
    <row r="79" spans="2:14" x14ac:dyDescent="0.2">
      <c r="B79" s="53" t="s">
        <v>81</v>
      </c>
      <c r="C79" s="35"/>
      <c r="D79" s="45">
        <v>379027089</v>
      </c>
      <c r="E79" s="45">
        <v>384597025</v>
      </c>
      <c r="F79" s="45">
        <v>384753606.51999998</v>
      </c>
      <c r="G79" s="45">
        <v>383762626.6142</v>
      </c>
      <c r="H79" s="45">
        <v>382752802.70840001</v>
      </c>
      <c r="I79" s="45">
        <v>381691230.80260003</v>
      </c>
      <c r="J79" s="45">
        <v>380694412.89680004</v>
      </c>
      <c r="K79" s="45">
        <v>379554594.99100006</v>
      </c>
      <c r="L79" s="45">
        <v>378566359.08520007</v>
      </c>
      <c r="M79" s="45">
        <v>377930650.17940009</v>
      </c>
      <c r="N79" s="46">
        <v>376961731.2736001</v>
      </c>
    </row>
    <row r="80" spans="2:14" x14ac:dyDescent="0.2">
      <c r="B80" s="53" t="s">
        <v>82</v>
      </c>
      <c r="C80" s="35"/>
      <c r="D80" s="45">
        <v>19132</v>
      </c>
      <c r="E80" s="45"/>
      <c r="F80" s="45"/>
      <c r="G80" s="45"/>
      <c r="H80" s="45"/>
      <c r="I80" s="45"/>
      <c r="J80" s="45"/>
      <c r="K80" s="45"/>
      <c r="L80" s="45"/>
      <c r="M80" s="45"/>
      <c r="N80" s="46"/>
    </row>
    <row r="81" spans="2:14" x14ac:dyDescent="0.2">
      <c r="B81" s="53" t="s">
        <v>83</v>
      </c>
      <c r="C81" s="35"/>
      <c r="D81" s="45">
        <v>0</v>
      </c>
      <c r="E81" s="45"/>
      <c r="F81" s="45"/>
      <c r="G81" s="45"/>
      <c r="H81" s="45"/>
      <c r="I81" s="45"/>
      <c r="J81" s="45"/>
      <c r="K81" s="45"/>
      <c r="L81" s="45"/>
      <c r="M81" s="45"/>
      <c r="N81" s="46"/>
    </row>
    <row r="82" spans="2:14" x14ac:dyDescent="0.2">
      <c r="B82" s="53" t="s">
        <v>84</v>
      </c>
      <c r="C82" s="35"/>
      <c r="D82" s="45">
        <v>0</v>
      </c>
      <c r="E82" s="45"/>
      <c r="F82" s="45"/>
      <c r="G82" s="45"/>
      <c r="H82" s="45"/>
      <c r="I82" s="45"/>
      <c r="J82" s="45"/>
      <c r="K82" s="45"/>
      <c r="L82" s="45"/>
      <c r="M82" s="45"/>
      <c r="N82" s="46"/>
    </row>
    <row r="83" spans="2:14" ht="15" x14ac:dyDescent="0.2">
      <c r="B83" s="55" t="s">
        <v>85</v>
      </c>
      <c r="C83" s="35"/>
      <c r="D83" s="57">
        <f>SUM(D76:D82)</f>
        <v>379046221</v>
      </c>
      <c r="E83" s="58">
        <f t="shared" ref="E83:N83" si="15">SUM(E76:E82)</f>
        <v>384597025</v>
      </c>
      <c r="F83" s="58">
        <f t="shared" si="15"/>
        <v>384753606.51999998</v>
      </c>
      <c r="G83" s="58">
        <f t="shared" si="15"/>
        <v>383762626.6142</v>
      </c>
      <c r="H83" s="58">
        <f t="shared" si="15"/>
        <v>382752802.70840001</v>
      </c>
      <c r="I83" s="58">
        <f t="shared" si="15"/>
        <v>381691230.80260003</v>
      </c>
      <c r="J83" s="58">
        <f t="shared" si="15"/>
        <v>380694412.89680004</v>
      </c>
      <c r="K83" s="58">
        <f t="shared" si="15"/>
        <v>379554594.99100006</v>
      </c>
      <c r="L83" s="58">
        <f t="shared" si="15"/>
        <v>378566359.08520007</v>
      </c>
      <c r="M83" s="58">
        <f t="shared" si="15"/>
        <v>377930650.17940009</v>
      </c>
      <c r="N83" s="59">
        <f t="shared" si="15"/>
        <v>376961731.2736001</v>
      </c>
    </row>
    <row r="84" spans="2:14" ht="15" x14ac:dyDescent="0.2">
      <c r="B84" s="55" t="s">
        <v>86</v>
      </c>
      <c r="C84" s="35"/>
      <c r="D84" s="57">
        <f>+SUM(D83,D73)</f>
        <v>387912806</v>
      </c>
      <c r="E84" s="58">
        <f t="shared" ref="E84:N84" si="16">+SUM(E83,E73)</f>
        <v>394969173.40328598</v>
      </c>
      <c r="F84" s="58">
        <f t="shared" si="16"/>
        <v>395609645.59701037</v>
      </c>
      <c r="G84" s="58">
        <f t="shared" si="16"/>
        <v>395127230.50467253</v>
      </c>
      <c r="H84" s="58">
        <f t="shared" si="16"/>
        <v>394652165.7821871</v>
      </c>
      <c r="I84" s="58">
        <f t="shared" si="16"/>
        <v>394138163.41316009</v>
      </c>
      <c r="J84" s="58">
        <f t="shared" si="16"/>
        <v>393717644.51624537</v>
      </c>
      <c r="K84" s="58">
        <f t="shared" si="16"/>
        <v>393184674.14658165</v>
      </c>
      <c r="L84" s="58">
        <f t="shared" si="16"/>
        <v>392835776.85300899</v>
      </c>
      <c r="M84" s="58">
        <f t="shared" si="16"/>
        <v>392873972.24582499</v>
      </c>
      <c r="N84" s="59">
        <f t="shared" si="16"/>
        <v>392263357.41668564</v>
      </c>
    </row>
    <row r="85" spans="2:14" x14ac:dyDescent="0.2">
      <c r="B85" s="27"/>
      <c r="C85" s="31"/>
      <c r="D85" s="50"/>
      <c r="E85" s="50"/>
      <c r="F85" s="50"/>
      <c r="G85" s="50"/>
      <c r="H85" s="50"/>
      <c r="I85" s="50"/>
      <c r="J85" s="50"/>
      <c r="K85" s="50"/>
      <c r="L85" s="50"/>
      <c r="M85" s="50"/>
      <c r="N85" s="51"/>
    </row>
    <row r="86" spans="2:14" x14ac:dyDescent="0.2">
      <c r="B86" s="28" t="s">
        <v>87</v>
      </c>
      <c r="C86" s="37"/>
      <c r="D86" s="50"/>
      <c r="E86" s="50"/>
      <c r="F86" s="50"/>
      <c r="G86" s="50"/>
      <c r="H86" s="50"/>
      <c r="I86" s="50"/>
      <c r="J86" s="50"/>
      <c r="K86" s="50"/>
      <c r="L86" s="50"/>
      <c r="M86" s="50"/>
      <c r="N86" s="51"/>
    </row>
    <row r="87" spans="2:14" x14ac:dyDescent="0.2">
      <c r="B87" s="53" t="s">
        <v>88</v>
      </c>
      <c r="C87" s="31"/>
      <c r="D87" s="45">
        <v>4901898</v>
      </c>
      <c r="E87" s="45">
        <v>3931782.6998569774</v>
      </c>
      <c r="F87" s="45">
        <v>4013956.9582839878</v>
      </c>
      <c r="G87" s="45">
        <v>4097848.6587121231</v>
      </c>
      <c r="H87" s="45">
        <v>4183493.6956792059</v>
      </c>
      <c r="I87" s="45">
        <v>4270928.713918901</v>
      </c>
      <c r="J87" s="45">
        <v>4360191.1240398055</v>
      </c>
      <c r="K87" s="45">
        <v>4451319.1185322367</v>
      </c>
      <c r="L87" s="45">
        <v>4544351.6881095599</v>
      </c>
      <c r="M87" s="45">
        <v>4639328.6383910496</v>
      </c>
      <c r="N87" s="46">
        <v>4755311.8543508258</v>
      </c>
    </row>
    <row r="88" spans="2:14" x14ac:dyDescent="0.2">
      <c r="B88" s="53" t="s">
        <v>89</v>
      </c>
      <c r="C88" s="31"/>
      <c r="D88" s="45">
        <v>247431</v>
      </c>
      <c r="E88" s="45">
        <v>160875</v>
      </c>
      <c r="F88" s="45">
        <v>160875</v>
      </c>
      <c r="G88" s="45">
        <v>160875</v>
      </c>
      <c r="H88" s="45">
        <v>160875</v>
      </c>
      <c r="I88" s="45">
        <v>160875</v>
      </c>
      <c r="J88" s="45">
        <v>160875</v>
      </c>
      <c r="K88" s="45">
        <v>160875</v>
      </c>
      <c r="L88" s="45">
        <v>160875</v>
      </c>
      <c r="M88" s="45">
        <v>160875</v>
      </c>
      <c r="N88" s="46">
        <v>160875</v>
      </c>
    </row>
    <row r="89" spans="2:14" x14ac:dyDescent="0.2">
      <c r="B89" s="53" t="s">
        <v>90</v>
      </c>
      <c r="C89" s="31"/>
      <c r="D89" s="45">
        <v>0</v>
      </c>
      <c r="E89" s="45">
        <v>0</v>
      </c>
      <c r="F89" s="45">
        <v>0</v>
      </c>
      <c r="G89" s="45">
        <v>0</v>
      </c>
      <c r="H89" s="45">
        <v>0</v>
      </c>
      <c r="I89" s="45">
        <v>0</v>
      </c>
      <c r="J89" s="45">
        <v>0</v>
      </c>
      <c r="K89" s="45">
        <v>0</v>
      </c>
      <c r="L89" s="45">
        <v>0</v>
      </c>
      <c r="M89" s="45">
        <v>0</v>
      </c>
      <c r="N89" s="46">
        <v>0</v>
      </c>
    </row>
    <row r="90" spans="2:14" x14ac:dyDescent="0.2">
      <c r="B90" s="53" t="s">
        <v>91</v>
      </c>
      <c r="C90" s="31"/>
      <c r="D90" s="45">
        <v>3498280</v>
      </c>
      <c r="E90" s="45">
        <v>3350250.6063170307</v>
      </c>
      <c r="F90" s="45">
        <v>3562321.4696968985</v>
      </c>
      <c r="G90" s="45">
        <v>3787816.418728712</v>
      </c>
      <c r="H90" s="45">
        <v>3989707.033846952</v>
      </c>
      <c r="I90" s="45">
        <v>4202358.4187509939</v>
      </c>
      <c r="J90" s="45">
        <v>4426344.1224704217</v>
      </c>
      <c r="K90" s="45">
        <v>4662268.2641980946</v>
      </c>
      <c r="L90" s="45">
        <v>4910767.1626798529</v>
      </c>
      <c r="M90" s="45">
        <v>5172511.0524506886</v>
      </c>
      <c r="N90" s="46">
        <v>5301823.8287619557</v>
      </c>
    </row>
    <row r="91" spans="2:14" x14ac:dyDescent="0.2">
      <c r="B91" s="53" t="s">
        <v>92</v>
      </c>
      <c r="C91" s="31"/>
      <c r="D91" s="45">
        <v>311501</v>
      </c>
      <c r="E91" s="45">
        <v>256327.22</v>
      </c>
      <c r="F91" s="45">
        <v>271161.47499999998</v>
      </c>
      <c r="G91" s="45">
        <v>286893.67</v>
      </c>
      <c r="H91" s="45">
        <v>303578.5</v>
      </c>
      <c r="I91" s="45">
        <v>321276.28000000003</v>
      </c>
      <c r="J91" s="45">
        <v>340050.54000000004</v>
      </c>
      <c r="K91" s="45">
        <v>234417.15000000002</v>
      </c>
      <c r="L91" s="45">
        <v>227418.32</v>
      </c>
      <c r="M91" s="45">
        <v>110459.38</v>
      </c>
      <c r="N91" s="46">
        <v>0</v>
      </c>
    </row>
    <row r="92" spans="2:14" x14ac:dyDescent="0.2">
      <c r="B92" s="53" t="s">
        <v>93</v>
      </c>
      <c r="C92" s="31"/>
      <c r="D92" s="45">
        <v>1779</v>
      </c>
      <c r="E92" s="45">
        <v>1336</v>
      </c>
      <c r="F92" s="45">
        <v>0</v>
      </c>
      <c r="G92" s="45">
        <v>0</v>
      </c>
      <c r="H92" s="45">
        <v>0</v>
      </c>
      <c r="I92" s="45">
        <v>0</v>
      </c>
      <c r="J92" s="45">
        <v>0</v>
      </c>
      <c r="K92" s="45">
        <v>0</v>
      </c>
      <c r="L92" s="45">
        <v>0</v>
      </c>
      <c r="M92" s="45">
        <v>0</v>
      </c>
      <c r="N92" s="46">
        <v>0</v>
      </c>
    </row>
    <row r="93" spans="2:14" ht="15" x14ac:dyDescent="0.2">
      <c r="B93" s="55" t="s">
        <v>94</v>
      </c>
      <c r="C93" s="35"/>
      <c r="D93" s="57">
        <f>+SUM(D87:D92)</f>
        <v>8960889</v>
      </c>
      <c r="E93" s="58">
        <f t="shared" ref="E93:N93" si="17">+SUM(E87:E92)</f>
        <v>7700571.5261740079</v>
      </c>
      <c r="F93" s="58">
        <f t="shared" si="17"/>
        <v>8008314.9029808864</v>
      </c>
      <c r="G93" s="58">
        <f t="shared" si="17"/>
        <v>8333433.7474408345</v>
      </c>
      <c r="H93" s="58">
        <f t="shared" si="17"/>
        <v>8637654.2295261584</v>
      </c>
      <c r="I93" s="58">
        <f t="shared" si="17"/>
        <v>8955438.4126698952</v>
      </c>
      <c r="J93" s="58">
        <f t="shared" si="17"/>
        <v>9287460.7865102254</v>
      </c>
      <c r="K93" s="58">
        <f t="shared" si="17"/>
        <v>9508879.5327303316</v>
      </c>
      <c r="L93" s="58">
        <f t="shared" si="17"/>
        <v>9843412.1707894132</v>
      </c>
      <c r="M93" s="58">
        <f t="shared" si="17"/>
        <v>10083174.070841739</v>
      </c>
      <c r="N93" s="59">
        <f t="shared" si="17"/>
        <v>10218010.683112781</v>
      </c>
    </row>
    <row r="94" spans="2:14" x14ac:dyDescent="0.2">
      <c r="B94" s="27"/>
      <c r="C94" s="31"/>
      <c r="D94" s="50"/>
      <c r="E94" s="50"/>
      <c r="F94" s="50"/>
      <c r="G94" s="50"/>
      <c r="H94" s="50"/>
      <c r="I94" s="50"/>
      <c r="J94" s="50"/>
      <c r="K94" s="50"/>
      <c r="L94" s="50"/>
      <c r="M94" s="50"/>
      <c r="N94" s="51"/>
    </row>
    <row r="95" spans="2:14" x14ac:dyDescent="0.2">
      <c r="B95" s="28" t="s">
        <v>95</v>
      </c>
      <c r="C95" s="31"/>
      <c r="D95" s="50"/>
      <c r="E95" s="50"/>
      <c r="F95" s="50"/>
      <c r="G95" s="50"/>
      <c r="H95" s="50"/>
      <c r="I95" s="50"/>
      <c r="J95" s="50"/>
      <c r="K95" s="50"/>
      <c r="L95" s="50"/>
      <c r="M95" s="50"/>
      <c r="N95" s="51"/>
    </row>
    <row r="96" spans="2:14" x14ac:dyDescent="0.2">
      <c r="B96" s="53" t="s">
        <v>88</v>
      </c>
      <c r="C96" s="31"/>
      <c r="D96" s="45">
        <v>321269</v>
      </c>
      <c r="E96" s="45">
        <v>321269</v>
      </c>
      <c r="F96" s="45">
        <v>321269</v>
      </c>
      <c r="G96" s="45">
        <v>321269</v>
      </c>
      <c r="H96" s="45">
        <v>321269</v>
      </c>
      <c r="I96" s="45">
        <v>321269</v>
      </c>
      <c r="J96" s="45">
        <v>321269</v>
      </c>
      <c r="K96" s="45">
        <v>321269</v>
      </c>
      <c r="L96" s="45">
        <v>321269</v>
      </c>
      <c r="M96" s="45">
        <v>321269</v>
      </c>
      <c r="N96" s="46">
        <v>321269</v>
      </c>
    </row>
    <row r="97" spans="2:14" x14ac:dyDescent="0.2">
      <c r="B97" s="53" t="s">
        <v>91</v>
      </c>
      <c r="C97" s="31"/>
      <c r="D97" s="45">
        <v>4850344</v>
      </c>
      <c r="E97" s="45">
        <v>5118688.9713667417</v>
      </c>
      <c r="F97" s="45">
        <v>5255869.83579937</v>
      </c>
      <c r="G97" s="45">
        <v>5396727.1473987931</v>
      </c>
      <c r="H97" s="45">
        <v>5541359.4349490805</v>
      </c>
      <c r="I97" s="45">
        <v>5689867.8678057157</v>
      </c>
      <c r="J97" s="45">
        <v>5842356.3266629083</v>
      </c>
      <c r="K97" s="45">
        <v>5998931.4762174739</v>
      </c>
      <c r="L97" s="45">
        <v>6159702.8397801016</v>
      </c>
      <c r="M97" s="45">
        <v>6324782.8758862074</v>
      </c>
      <c r="N97" s="46">
        <v>6482902.4477833621</v>
      </c>
    </row>
    <row r="98" spans="2:14" x14ac:dyDescent="0.2">
      <c r="B98" s="53" t="s">
        <v>92</v>
      </c>
      <c r="C98" s="31"/>
      <c r="D98" s="45">
        <v>1667651</v>
      </c>
      <c r="E98" s="45">
        <v>2220110.4099999997</v>
      </c>
      <c r="F98" s="45">
        <v>1948948.9350000001</v>
      </c>
      <c r="G98" s="45">
        <v>1662055.2650000001</v>
      </c>
      <c r="H98" s="45">
        <v>1358476.7649999999</v>
      </c>
      <c r="I98" s="45">
        <v>1037200.4849999996</v>
      </c>
      <c r="J98" s="45">
        <v>697149.94499999972</v>
      </c>
      <c r="K98" s="45">
        <v>462732.79499999969</v>
      </c>
      <c r="L98" s="45">
        <v>235314.0699999996</v>
      </c>
      <c r="M98" s="45">
        <v>124854.68999999959</v>
      </c>
      <c r="N98" s="46">
        <v>0</v>
      </c>
    </row>
    <row r="99" spans="2:14" x14ac:dyDescent="0.2">
      <c r="B99" s="53" t="s">
        <v>93</v>
      </c>
      <c r="C99" s="31"/>
      <c r="D99" s="45">
        <v>1779</v>
      </c>
      <c r="E99" s="45">
        <v>0</v>
      </c>
      <c r="F99" s="45">
        <v>0</v>
      </c>
      <c r="G99" s="45">
        <v>0</v>
      </c>
      <c r="H99" s="45">
        <v>0</v>
      </c>
      <c r="I99" s="45">
        <v>0</v>
      </c>
      <c r="J99" s="45">
        <v>0</v>
      </c>
      <c r="K99" s="45">
        <v>0</v>
      </c>
      <c r="L99" s="45">
        <v>0</v>
      </c>
      <c r="M99" s="45">
        <v>0</v>
      </c>
      <c r="N99" s="46">
        <v>0</v>
      </c>
    </row>
    <row r="100" spans="2:14" ht="15" x14ac:dyDescent="0.2">
      <c r="B100" s="55" t="s">
        <v>96</v>
      </c>
      <c r="C100" s="35"/>
      <c r="D100" s="57">
        <f>+SUM(D96:D99)</f>
        <v>6841043</v>
      </c>
      <c r="E100" s="58">
        <f t="shared" ref="E100:N100" si="18">+SUM(E96:E99)</f>
        <v>7660068.3813667409</v>
      </c>
      <c r="F100" s="58">
        <f t="shared" si="18"/>
        <v>7526087.7707993705</v>
      </c>
      <c r="G100" s="58">
        <f t="shared" si="18"/>
        <v>7380051.4123987928</v>
      </c>
      <c r="H100" s="58">
        <f t="shared" si="18"/>
        <v>7221105.1999490801</v>
      </c>
      <c r="I100" s="58">
        <f t="shared" si="18"/>
        <v>7048337.3528057151</v>
      </c>
      <c r="J100" s="58">
        <f t="shared" si="18"/>
        <v>6860775.2716629077</v>
      </c>
      <c r="K100" s="58">
        <f t="shared" si="18"/>
        <v>6782933.2712174738</v>
      </c>
      <c r="L100" s="58">
        <f t="shared" si="18"/>
        <v>6716285.9097801009</v>
      </c>
      <c r="M100" s="58">
        <f t="shared" si="18"/>
        <v>6770906.5658862069</v>
      </c>
      <c r="N100" s="59">
        <f t="shared" si="18"/>
        <v>6804171.4477833621</v>
      </c>
    </row>
    <row r="101" spans="2:14" ht="15" x14ac:dyDescent="0.2">
      <c r="B101" s="55" t="s">
        <v>97</v>
      </c>
      <c r="C101" s="35"/>
      <c r="D101" s="57">
        <f>+SUM(D100,D93)</f>
        <v>15801932</v>
      </c>
      <c r="E101" s="58">
        <f t="shared" ref="E101:N101" si="19">+SUM(E100,E93)</f>
        <v>15360639.90754075</v>
      </c>
      <c r="F101" s="58">
        <f t="shared" si="19"/>
        <v>15534402.673780257</v>
      </c>
      <c r="G101" s="58">
        <f t="shared" si="19"/>
        <v>15713485.159839626</v>
      </c>
      <c r="H101" s="58">
        <f t="shared" si="19"/>
        <v>15858759.429475239</v>
      </c>
      <c r="I101" s="58">
        <f t="shared" si="19"/>
        <v>16003775.76547561</v>
      </c>
      <c r="J101" s="58">
        <f t="shared" si="19"/>
        <v>16148236.058173133</v>
      </c>
      <c r="K101" s="58">
        <f t="shared" si="19"/>
        <v>16291812.803947806</v>
      </c>
      <c r="L101" s="58">
        <f t="shared" si="19"/>
        <v>16559698.080569513</v>
      </c>
      <c r="M101" s="58">
        <f t="shared" si="19"/>
        <v>16854080.636727944</v>
      </c>
      <c r="N101" s="59">
        <f t="shared" si="19"/>
        <v>17022182.130896144</v>
      </c>
    </row>
    <row r="102" spans="2:14" x14ac:dyDescent="0.2">
      <c r="B102" s="27"/>
      <c r="C102" s="31"/>
      <c r="D102" s="50"/>
      <c r="E102" s="50"/>
      <c r="F102" s="50"/>
      <c r="G102" s="50"/>
      <c r="H102" s="50"/>
      <c r="I102" s="50"/>
      <c r="J102" s="50"/>
      <c r="K102" s="50"/>
      <c r="L102" s="50"/>
      <c r="M102" s="50"/>
      <c r="N102" s="51"/>
    </row>
    <row r="103" spans="2:14" ht="15" x14ac:dyDescent="0.2">
      <c r="B103" s="55" t="s">
        <v>98</v>
      </c>
      <c r="C103" s="35"/>
      <c r="D103" s="57">
        <f t="shared" ref="D103:N103" si="20">+D84-D101</f>
        <v>372110874</v>
      </c>
      <c r="E103" s="58">
        <f t="shared" si="20"/>
        <v>379608533.49574524</v>
      </c>
      <c r="F103" s="58">
        <f t="shared" si="20"/>
        <v>380075242.92323011</v>
      </c>
      <c r="G103" s="58">
        <f t="shared" si="20"/>
        <v>379413745.3448329</v>
      </c>
      <c r="H103" s="58">
        <f t="shared" si="20"/>
        <v>378793406.35271186</v>
      </c>
      <c r="I103" s="58">
        <f t="shared" si="20"/>
        <v>378134387.64768445</v>
      </c>
      <c r="J103" s="58">
        <f t="shared" si="20"/>
        <v>377569408.45807225</v>
      </c>
      <c r="K103" s="58">
        <f t="shared" si="20"/>
        <v>376892861.34263384</v>
      </c>
      <c r="L103" s="58">
        <f t="shared" si="20"/>
        <v>376276078.77243948</v>
      </c>
      <c r="M103" s="58">
        <f t="shared" si="20"/>
        <v>376019891.60909706</v>
      </c>
      <c r="N103" s="59">
        <f t="shared" si="20"/>
        <v>375241175.28578949</v>
      </c>
    </row>
    <row r="104" spans="2:14" x14ac:dyDescent="0.2">
      <c r="B104" s="27"/>
      <c r="C104" s="31"/>
      <c r="D104" s="50"/>
      <c r="E104" s="50"/>
      <c r="F104" s="50"/>
      <c r="G104" s="50"/>
      <c r="H104" s="50"/>
      <c r="I104" s="50"/>
      <c r="J104" s="50"/>
      <c r="K104" s="50"/>
      <c r="L104" s="50"/>
      <c r="M104" s="50"/>
      <c r="N104" s="51"/>
    </row>
    <row r="105" spans="2:14" x14ac:dyDescent="0.2">
      <c r="B105" s="28" t="s">
        <v>99</v>
      </c>
      <c r="C105" s="37"/>
      <c r="D105" s="50"/>
      <c r="E105" s="50"/>
      <c r="F105" s="50"/>
      <c r="G105" s="50"/>
      <c r="H105" s="50"/>
      <c r="I105" s="50"/>
      <c r="J105" s="50"/>
      <c r="K105" s="50"/>
      <c r="L105" s="50"/>
      <c r="M105" s="50"/>
      <c r="N105" s="51"/>
    </row>
    <row r="106" spans="2:14" x14ac:dyDescent="0.2">
      <c r="B106" s="53" t="s">
        <v>100</v>
      </c>
      <c r="C106" s="31"/>
      <c r="D106" s="45">
        <v>153887303</v>
      </c>
      <c r="E106" s="45">
        <v>207454028</v>
      </c>
      <c r="F106" s="45">
        <v>201126185</v>
      </c>
      <c r="G106" s="45">
        <v>195985922</v>
      </c>
      <c r="H106" s="45">
        <v>190775473</v>
      </c>
      <c r="I106" s="45">
        <v>185412217</v>
      </c>
      <c r="J106" s="45">
        <v>180026018</v>
      </c>
      <c r="K106" s="45">
        <v>174408347</v>
      </c>
      <c r="L106" s="45">
        <v>168727538</v>
      </c>
      <c r="M106" s="45">
        <v>163281348</v>
      </c>
      <c r="N106" s="46">
        <v>157184167</v>
      </c>
    </row>
    <row r="107" spans="2:14" ht="15" x14ac:dyDescent="0.2">
      <c r="B107" s="53" t="s">
        <v>101</v>
      </c>
      <c r="C107" s="35"/>
      <c r="D107" s="57">
        <f>+SUM(D108:D110)</f>
        <v>218223571</v>
      </c>
      <c r="E107" s="48">
        <f t="shared" ref="E107:N107" si="21">+SUM(E108:E110)</f>
        <v>172154504.90671661</v>
      </c>
      <c r="F107" s="48">
        <f t="shared" si="21"/>
        <v>178949057.60253194</v>
      </c>
      <c r="G107" s="48">
        <f t="shared" si="21"/>
        <v>183427823.44259521</v>
      </c>
      <c r="H107" s="48">
        <f t="shared" si="21"/>
        <v>188017933.42866006</v>
      </c>
      <c r="I107" s="48">
        <f t="shared" si="21"/>
        <v>192722171.16437656</v>
      </c>
      <c r="J107" s="48">
        <f t="shared" si="21"/>
        <v>197543389.84348595</v>
      </c>
      <c r="K107" s="48">
        <f t="shared" si="21"/>
        <v>202484513.98957309</v>
      </c>
      <c r="L107" s="48">
        <f t="shared" si="21"/>
        <v>207548541.23931241</v>
      </c>
      <c r="M107" s="48">
        <f t="shared" si="21"/>
        <v>212738544.17029521</v>
      </c>
      <c r="N107" s="49">
        <f t="shared" si="21"/>
        <v>218057007.77455255</v>
      </c>
    </row>
    <row r="108" spans="2:14" x14ac:dyDescent="0.2">
      <c r="B108" s="53" t="s">
        <v>102</v>
      </c>
      <c r="C108" s="31"/>
      <c r="D108" s="45">
        <v>217395397</v>
      </c>
      <c r="E108" s="45">
        <v>171381080.90671661</v>
      </c>
      <c r="F108" s="45">
        <v>178150633.60253194</v>
      </c>
      <c r="G108" s="45">
        <v>182604399.44259521</v>
      </c>
      <c r="H108" s="45">
        <v>187169509.42866006</v>
      </c>
      <c r="I108" s="45">
        <v>191848747.16437656</v>
      </c>
      <c r="J108" s="45">
        <v>196644965.84348595</v>
      </c>
      <c r="K108" s="45">
        <v>201561089.98957309</v>
      </c>
      <c r="L108" s="45">
        <v>206600117.23931241</v>
      </c>
      <c r="M108" s="45">
        <v>211765120.17029521</v>
      </c>
      <c r="N108" s="46">
        <v>217059248.17455256</v>
      </c>
    </row>
    <row r="109" spans="2:14" x14ac:dyDescent="0.2">
      <c r="B109" s="53" t="s">
        <v>69</v>
      </c>
      <c r="C109" s="31"/>
      <c r="D109" s="45">
        <v>828174</v>
      </c>
      <c r="E109" s="45">
        <v>773424</v>
      </c>
      <c r="F109" s="45">
        <v>798424</v>
      </c>
      <c r="G109" s="45">
        <v>823424</v>
      </c>
      <c r="H109" s="45">
        <v>848424</v>
      </c>
      <c r="I109" s="45">
        <v>873424</v>
      </c>
      <c r="J109" s="45">
        <v>898424</v>
      </c>
      <c r="K109" s="45">
        <v>923424</v>
      </c>
      <c r="L109" s="45">
        <v>948424</v>
      </c>
      <c r="M109" s="45">
        <v>973424</v>
      </c>
      <c r="N109" s="46">
        <v>997759.59999999986</v>
      </c>
    </row>
    <row r="110" spans="2:14" x14ac:dyDescent="0.2">
      <c r="B110" s="53" t="s">
        <v>103</v>
      </c>
      <c r="C110" s="31"/>
      <c r="D110" s="45">
        <v>0</v>
      </c>
      <c r="E110" s="45">
        <v>0</v>
      </c>
      <c r="F110" s="45">
        <v>0</v>
      </c>
      <c r="G110" s="45">
        <v>0</v>
      </c>
      <c r="H110" s="45">
        <v>0</v>
      </c>
      <c r="I110" s="45">
        <v>0</v>
      </c>
      <c r="J110" s="45">
        <v>0</v>
      </c>
      <c r="K110" s="45">
        <v>0</v>
      </c>
      <c r="L110" s="45">
        <v>0</v>
      </c>
      <c r="M110" s="45">
        <v>0</v>
      </c>
      <c r="N110" s="46">
        <v>0</v>
      </c>
    </row>
    <row r="111" spans="2:14" ht="15" x14ac:dyDescent="0.2">
      <c r="B111" s="62" t="s">
        <v>104</v>
      </c>
      <c r="C111" s="60"/>
      <c r="D111" s="61">
        <f>+SUM(D106:D107)</f>
        <v>372110874</v>
      </c>
      <c r="E111" s="63">
        <f t="shared" ref="E111:N111" si="22">+SUM(E106:E107)</f>
        <v>379608532.90671659</v>
      </c>
      <c r="F111" s="63">
        <f t="shared" si="22"/>
        <v>380075242.60253191</v>
      </c>
      <c r="G111" s="63">
        <f t="shared" si="22"/>
        <v>379413745.44259524</v>
      </c>
      <c r="H111" s="63">
        <f t="shared" si="22"/>
        <v>378793406.42866004</v>
      </c>
      <c r="I111" s="63">
        <f t="shared" si="22"/>
        <v>378134388.16437656</v>
      </c>
      <c r="J111" s="63">
        <f t="shared" si="22"/>
        <v>377569407.84348595</v>
      </c>
      <c r="K111" s="63">
        <f t="shared" si="22"/>
        <v>376892860.98957312</v>
      </c>
      <c r="L111" s="63">
        <f t="shared" si="22"/>
        <v>376276079.23931241</v>
      </c>
      <c r="M111" s="63">
        <f t="shared" si="22"/>
        <v>376019892.17029524</v>
      </c>
      <c r="N111" s="64">
        <f t="shared" si="22"/>
        <v>375241174.77455258</v>
      </c>
    </row>
    <row r="112" spans="2:14" x14ac:dyDescent="0.2"/>
    <row r="113" spans="2:14" ht="15.75" x14ac:dyDescent="0.2">
      <c r="B113" s="69" t="s">
        <v>106</v>
      </c>
      <c r="C113" s="13"/>
    </row>
    <row r="114" spans="2:14" ht="15" x14ac:dyDescent="0.2">
      <c r="B114" s="29"/>
      <c r="C114" s="38"/>
      <c r="D114" s="34" t="str">
        <f>D$2</f>
        <v>2024-25</v>
      </c>
      <c r="E114" s="19" t="str">
        <f t="shared" ref="E114:N114" si="23">E$2</f>
        <v>2025-26</v>
      </c>
      <c r="F114" s="19" t="str">
        <f t="shared" si="23"/>
        <v>2026-27</v>
      </c>
      <c r="G114" s="19" t="str">
        <f t="shared" si="23"/>
        <v>2027-28</v>
      </c>
      <c r="H114" s="19" t="str">
        <f t="shared" si="23"/>
        <v>2028-29</v>
      </c>
      <c r="I114" s="19" t="str">
        <f t="shared" si="23"/>
        <v>2029-30</v>
      </c>
      <c r="J114" s="19" t="str">
        <f t="shared" si="23"/>
        <v>2030-31</v>
      </c>
      <c r="K114" s="19" t="str">
        <f t="shared" si="23"/>
        <v>2031-32</v>
      </c>
      <c r="L114" s="19" t="str">
        <f t="shared" si="23"/>
        <v>2032-33</v>
      </c>
      <c r="M114" s="19" t="str">
        <f t="shared" si="23"/>
        <v>2033-34</v>
      </c>
      <c r="N114" s="20" t="str">
        <f t="shared" si="23"/>
        <v>2034-35</v>
      </c>
    </row>
    <row r="115" spans="2:14" x14ac:dyDescent="0.2">
      <c r="B115" s="27"/>
      <c r="C115" s="31"/>
      <c r="N115" s="23"/>
    </row>
    <row r="116" spans="2:14" x14ac:dyDescent="0.2">
      <c r="B116" s="53" t="s">
        <v>107</v>
      </c>
      <c r="C116" s="31"/>
      <c r="D116" s="45">
        <v>6369617</v>
      </c>
      <c r="E116" s="45">
        <v>5104559</v>
      </c>
      <c r="F116" s="45">
        <v>4518601</v>
      </c>
      <c r="G116" s="45">
        <v>5157152</v>
      </c>
      <c r="H116" s="45">
        <v>5818009</v>
      </c>
      <c r="I116" s="45">
        <v>5587763</v>
      </c>
      <c r="J116" s="45">
        <v>5749763</v>
      </c>
      <c r="K116" s="45">
        <v>5796601</v>
      </c>
      <c r="L116" s="45">
        <v>5787601</v>
      </c>
      <c r="M116" s="45">
        <v>6081601</v>
      </c>
      <c r="N116" s="46">
        <v>6269601</v>
      </c>
    </row>
    <row r="117" spans="2:14" x14ac:dyDescent="0.2">
      <c r="B117" s="53" t="s">
        <v>108</v>
      </c>
      <c r="C117" s="31"/>
      <c r="D117" s="45">
        <v>6330558</v>
      </c>
      <c r="E117" s="45">
        <v>3343855</v>
      </c>
      <c r="F117" s="45">
        <v>2910000</v>
      </c>
      <c r="G117" s="45">
        <v>2388156</v>
      </c>
      <c r="H117" s="45">
        <v>2455000</v>
      </c>
      <c r="I117" s="45">
        <v>2750000</v>
      </c>
      <c r="J117" s="45">
        <v>2445000</v>
      </c>
      <c r="K117" s="45">
        <v>2549744</v>
      </c>
      <c r="L117" s="45">
        <v>2911271</v>
      </c>
      <c r="M117" s="45">
        <v>2284061</v>
      </c>
      <c r="N117" s="46">
        <v>2133196</v>
      </c>
    </row>
    <row r="118" spans="2:14" x14ac:dyDescent="0.2">
      <c r="B118" s="53" t="s">
        <v>109</v>
      </c>
      <c r="C118" s="31"/>
      <c r="D118" s="45">
        <v>1365271</v>
      </c>
      <c r="E118" s="45">
        <v>837342</v>
      </c>
      <c r="F118" s="45">
        <v>915000</v>
      </c>
      <c r="G118" s="45">
        <v>779449</v>
      </c>
      <c r="H118" s="45"/>
      <c r="I118" s="45"/>
      <c r="J118" s="45"/>
      <c r="K118" s="45"/>
      <c r="L118" s="45"/>
      <c r="M118" s="45"/>
      <c r="N118" s="46"/>
    </row>
    <row r="119" spans="2:14" x14ac:dyDescent="0.2">
      <c r="B119" s="53" t="s">
        <v>110</v>
      </c>
      <c r="C119" s="31"/>
      <c r="D119" s="45"/>
      <c r="E119" s="45" t="s">
        <v>435</v>
      </c>
      <c r="F119" s="45" t="s">
        <v>435</v>
      </c>
      <c r="G119" s="45" t="s">
        <v>435</v>
      </c>
      <c r="H119" s="45" t="s">
        <v>435</v>
      </c>
      <c r="I119" s="45" t="s">
        <v>435</v>
      </c>
      <c r="J119" s="45" t="s">
        <v>435</v>
      </c>
      <c r="K119" s="45" t="s">
        <v>435</v>
      </c>
      <c r="L119" s="45" t="s">
        <v>435</v>
      </c>
      <c r="M119" s="45" t="s">
        <v>435</v>
      </c>
      <c r="N119" s="46" t="s">
        <v>435</v>
      </c>
    </row>
    <row r="120" spans="2:14" ht="15" x14ac:dyDescent="0.2">
      <c r="B120" s="55" t="s">
        <v>111</v>
      </c>
      <c r="C120" s="35"/>
      <c r="D120" s="57">
        <f>+SUM(D116:D119)</f>
        <v>14065446</v>
      </c>
      <c r="E120" s="58">
        <f t="shared" ref="E120:N120" si="24">+SUM(E116:E119)</f>
        <v>9285756</v>
      </c>
      <c r="F120" s="58">
        <f t="shared" si="24"/>
        <v>8343601</v>
      </c>
      <c r="G120" s="58">
        <f t="shared" si="24"/>
        <v>8324757</v>
      </c>
      <c r="H120" s="58">
        <f t="shared" si="24"/>
        <v>8273009</v>
      </c>
      <c r="I120" s="58">
        <f t="shared" si="24"/>
        <v>8337763</v>
      </c>
      <c r="J120" s="58">
        <f t="shared" si="24"/>
        <v>8194763</v>
      </c>
      <c r="K120" s="58">
        <f t="shared" si="24"/>
        <v>8346345</v>
      </c>
      <c r="L120" s="58">
        <f t="shared" si="24"/>
        <v>8698872</v>
      </c>
      <c r="M120" s="58">
        <f t="shared" si="24"/>
        <v>8365662</v>
      </c>
      <c r="N120" s="59">
        <f t="shared" si="24"/>
        <v>8402797</v>
      </c>
    </row>
    <row r="121" spans="2:14" x14ac:dyDescent="0.2">
      <c r="B121" s="30"/>
      <c r="C121" s="39"/>
      <c r="D121" s="50"/>
      <c r="E121" s="50"/>
      <c r="F121" s="50"/>
      <c r="G121" s="50"/>
      <c r="H121" s="50"/>
      <c r="I121" s="50"/>
      <c r="J121" s="50"/>
      <c r="K121" s="50"/>
      <c r="L121" s="50"/>
      <c r="M121" s="50"/>
      <c r="N121" s="51"/>
    </row>
    <row r="122" spans="2:14" x14ac:dyDescent="0.2">
      <c r="B122" s="28" t="s">
        <v>112</v>
      </c>
      <c r="C122" s="37"/>
      <c r="D122" s="50"/>
      <c r="E122" s="50"/>
      <c r="F122" s="50"/>
      <c r="G122" s="50"/>
      <c r="H122" s="50"/>
      <c r="I122" s="50"/>
      <c r="J122" s="50"/>
      <c r="K122" s="50"/>
      <c r="L122" s="50"/>
      <c r="M122" s="50"/>
      <c r="N122" s="51"/>
    </row>
    <row r="123" spans="2:14" x14ac:dyDescent="0.2">
      <c r="B123" s="53" t="s">
        <v>113</v>
      </c>
      <c r="C123" s="31"/>
      <c r="D123" s="45">
        <v>11204576</v>
      </c>
      <c r="E123" s="45">
        <v>3728917.75</v>
      </c>
      <c r="F123" s="45">
        <v>3728917.75</v>
      </c>
      <c r="G123" s="45">
        <v>3594706.6687500002</v>
      </c>
      <c r="H123" s="45">
        <v>3424707.4104687506</v>
      </c>
      <c r="I123" s="45">
        <v>3368253.8707304699</v>
      </c>
      <c r="J123" s="45">
        <v>3101016.1424987325</v>
      </c>
      <c r="K123" s="45">
        <v>3125254.4710612018</v>
      </c>
      <c r="L123" s="45">
        <v>3347254.2078377325</v>
      </c>
      <c r="M123" s="45">
        <v>2880253.763033676</v>
      </c>
      <c r="N123" s="46">
        <v>2780253.557109518</v>
      </c>
    </row>
    <row r="124" spans="2:14" x14ac:dyDescent="0.2">
      <c r="B124" s="53" t="s">
        <v>114</v>
      </c>
      <c r="C124" s="31"/>
      <c r="D124" s="45">
        <v>391000</v>
      </c>
      <c r="E124" s="45">
        <v>0</v>
      </c>
      <c r="F124" s="45">
        <v>0</v>
      </c>
      <c r="G124" s="45">
        <v>0</v>
      </c>
      <c r="H124" s="45">
        <v>0</v>
      </c>
      <c r="I124" s="45">
        <v>0</v>
      </c>
      <c r="J124" s="45">
        <v>0</v>
      </c>
      <c r="K124" s="45">
        <v>0</v>
      </c>
      <c r="L124" s="45">
        <v>0</v>
      </c>
      <c r="M124" s="45">
        <v>0</v>
      </c>
      <c r="N124" s="46">
        <v>0</v>
      </c>
    </row>
    <row r="125" spans="2:14" x14ac:dyDescent="0.2">
      <c r="B125" s="53" t="s">
        <v>115</v>
      </c>
      <c r="C125" s="31"/>
      <c r="D125" s="45">
        <v>2469870</v>
      </c>
      <c r="E125" s="45">
        <f>4040130+1516708</f>
        <v>5556838</v>
      </c>
      <c r="F125" s="45">
        <v>4614683.25</v>
      </c>
      <c r="G125" s="45">
        <v>4730050.3312499998</v>
      </c>
      <c r="H125" s="45">
        <v>4848301.5895312494</v>
      </c>
      <c r="I125" s="45">
        <v>4969509.1292695301</v>
      </c>
      <c r="J125" s="45">
        <v>5093746.8575012675</v>
      </c>
      <c r="K125" s="45">
        <v>5221090.5289387982</v>
      </c>
      <c r="L125" s="45">
        <v>5351617.7921622675</v>
      </c>
      <c r="M125" s="45">
        <v>5485408.236966324</v>
      </c>
      <c r="N125" s="46">
        <v>5622543.442890482</v>
      </c>
    </row>
    <row r="126" spans="2:14" x14ac:dyDescent="0.2">
      <c r="B126" s="53" t="s">
        <v>116</v>
      </c>
      <c r="C126" s="31"/>
      <c r="D126" s="45">
        <v>0</v>
      </c>
      <c r="E126" s="45">
        <v>0</v>
      </c>
      <c r="F126" s="45">
        <v>0</v>
      </c>
      <c r="G126" s="45">
        <v>0</v>
      </c>
      <c r="H126" s="45">
        <v>0</v>
      </c>
      <c r="I126" s="45">
        <v>0</v>
      </c>
      <c r="J126" s="45">
        <v>0</v>
      </c>
      <c r="K126" s="45">
        <v>0</v>
      </c>
      <c r="L126" s="45">
        <v>0</v>
      </c>
      <c r="M126" s="45">
        <v>0</v>
      </c>
      <c r="N126" s="46">
        <v>0</v>
      </c>
    </row>
    <row r="127" spans="2:14" ht="15" x14ac:dyDescent="0.2">
      <c r="B127" s="62" t="s">
        <v>117</v>
      </c>
      <c r="C127" s="60"/>
      <c r="D127" s="61">
        <f>+SUM(D123:D126)</f>
        <v>14065446</v>
      </c>
      <c r="E127" s="63">
        <f t="shared" ref="E127:N127" si="25">+SUM(E123:E126)</f>
        <v>9285755.75</v>
      </c>
      <c r="F127" s="63">
        <f t="shared" si="25"/>
        <v>8343601</v>
      </c>
      <c r="G127" s="63">
        <f t="shared" si="25"/>
        <v>8324757</v>
      </c>
      <c r="H127" s="63">
        <f t="shared" si="25"/>
        <v>8273009</v>
      </c>
      <c r="I127" s="63">
        <f t="shared" si="25"/>
        <v>8337763</v>
      </c>
      <c r="J127" s="63">
        <f t="shared" si="25"/>
        <v>8194763</v>
      </c>
      <c r="K127" s="63">
        <f t="shared" si="25"/>
        <v>8346345</v>
      </c>
      <c r="L127" s="63">
        <f t="shared" si="25"/>
        <v>8698872</v>
      </c>
      <c r="M127" s="63">
        <f t="shared" si="25"/>
        <v>8365662</v>
      </c>
      <c r="N127" s="64">
        <f t="shared" si="25"/>
        <v>8402797</v>
      </c>
    </row>
    <row r="128" spans="2:14" x14ac:dyDescent="0.2"/>
    <row r="129" spans="1:26" x14ac:dyDescent="0.2"/>
    <row r="130" spans="1:26" ht="16.5" thickBot="1" x14ac:dyDescent="0.25">
      <c r="A130" s="4">
        <f ca="1">MAX(A$2:A129)+0.1</f>
        <v>2.2000000000000002</v>
      </c>
      <c r="B130" s="5" t="s">
        <v>118</v>
      </c>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x14ac:dyDescent="0.2"/>
    <row r="132" spans="1:26" ht="15.75" x14ac:dyDescent="0.2">
      <c r="B132" s="69" t="s">
        <v>15</v>
      </c>
      <c r="C132" s="13"/>
      <c r="D132" s="67" t="s">
        <v>26</v>
      </c>
      <c r="E132" s="174" t="s">
        <v>27</v>
      </c>
      <c r="F132" s="175"/>
      <c r="G132" s="175"/>
      <c r="H132" s="176"/>
      <c r="I132" s="174" t="s">
        <v>28</v>
      </c>
      <c r="J132" s="175"/>
      <c r="K132" s="175"/>
      <c r="L132" s="175"/>
      <c r="M132" s="175"/>
      <c r="N132" s="176"/>
    </row>
    <row r="133" spans="1:26" ht="15.75" x14ac:dyDescent="0.2">
      <c r="B133" s="70"/>
      <c r="C133" s="34"/>
      <c r="D133" s="34" t="str">
        <f>D$2</f>
        <v>2024-25</v>
      </c>
      <c r="E133" s="19" t="str">
        <f t="shared" ref="E133:N133" si="26">E$2</f>
        <v>2025-26</v>
      </c>
      <c r="F133" s="19" t="str">
        <f t="shared" si="26"/>
        <v>2026-27</v>
      </c>
      <c r="G133" s="19" t="str">
        <f t="shared" si="26"/>
        <v>2027-28</v>
      </c>
      <c r="H133" s="19" t="str">
        <f t="shared" si="26"/>
        <v>2028-29</v>
      </c>
      <c r="I133" s="19" t="str">
        <f t="shared" si="26"/>
        <v>2029-30</v>
      </c>
      <c r="J133" s="19" t="str">
        <f t="shared" si="26"/>
        <v>2030-31</v>
      </c>
      <c r="K133" s="19" t="str">
        <f t="shared" si="26"/>
        <v>2031-32</v>
      </c>
      <c r="L133" s="19" t="str">
        <f t="shared" si="26"/>
        <v>2032-33</v>
      </c>
      <c r="M133" s="19" t="str">
        <f t="shared" si="26"/>
        <v>2033-34</v>
      </c>
      <c r="N133" s="20" t="str">
        <f t="shared" si="26"/>
        <v>2034-35</v>
      </c>
    </row>
    <row r="134" spans="1:26" x14ac:dyDescent="0.2">
      <c r="B134" s="22" t="s">
        <v>29</v>
      </c>
      <c r="D134" s="47">
        <f>D8</f>
        <v>13337460</v>
      </c>
      <c r="E134" s="45">
        <v>13737583.800000001</v>
      </c>
      <c r="F134" s="45">
        <v>14081023.395</v>
      </c>
      <c r="G134" s="45">
        <v>14433048.979874998</v>
      </c>
      <c r="H134" s="45">
        <v>14793875.204371871</v>
      </c>
      <c r="I134" s="45">
        <v>15163722.084481167</v>
      </c>
      <c r="J134" s="45">
        <v>15542815.136593195</v>
      </c>
      <c r="K134" s="45">
        <v>15931385.515008023</v>
      </c>
      <c r="L134" s="45">
        <v>16329670.152883222</v>
      </c>
      <c r="M134" s="45">
        <v>16737911.906705301</v>
      </c>
      <c r="N134" s="46">
        <v>17156359.704372931</v>
      </c>
    </row>
    <row r="135" spans="1:26" x14ac:dyDescent="0.2">
      <c r="B135" s="22" t="s">
        <v>30</v>
      </c>
      <c r="D135" s="47">
        <f>D9</f>
        <v>3060346</v>
      </c>
      <c r="E135" s="45">
        <v>3152156.38</v>
      </c>
      <c r="F135" s="45">
        <v>3230960.2894999995</v>
      </c>
      <c r="G135" s="45">
        <v>3311734.2967374991</v>
      </c>
      <c r="H135" s="45">
        <v>3394527.6541559361</v>
      </c>
      <c r="I135" s="45">
        <v>3479390.8455098341</v>
      </c>
      <c r="J135" s="45">
        <v>3566375.6166475797</v>
      </c>
      <c r="K135" s="45">
        <v>3655535.0070637688</v>
      </c>
      <c r="L135" s="45">
        <v>3746923.3822403629</v>
      </c>
      <c r="M135" s="45">
        <v>3840596.4667963716</v>
      </c>
      <c r="N135" s="46">
        <v>3936611.3784662806</v>
      </c>
    </row>
    <row r="136" spans="1:26" ht="15" x14ac:dyDescent="0.2">
      <c r="B136" s="43" t="s">
        <v>31</v>
      </c>
      <c r="D136" s="47">
        <f>SUM(D134:D135)</f>
        <v>16397806</v>
      </c>
      <c r="E136" s="48">
        <f t="shared" ref="E136" si="27">SUM(E134:E135)</f>
        <v>16889740.18</v>
      </c>
      <c r="F136" s="48">
        <f t="shared" ref="F136" si="28">SUM(F134:F135)</f>
        <v>17311983.684499998</v>
      </c>
      <c r="G136" s="48">
        <f t="shared" ref="G136" si="29">SUM(G134:G135)</f>
        <v>17744783.276612498</v>
      </c>
      <c r="H136" s="48">
        <f t="shared" ref="H136" si="30">SUM(H134:H135)</f>
        <v>18188402.858527809</v>
      </c>
      <c r="I136" s="48">
        <f t="shared" ref="I136" si="31">SUM(I134:I135)</f>
        <v>18643112.929990999</v>
      </c>
      <c r="J136" s="48">
        <f t="shared" ref="J136" si="32">SUM(J134:J135)</f>
        <v>19109190.753240775</v>
      </c>
      <c r="K136" s="48">
        <f t="shared" ref="K136" si="33">SUM(K134:K135)</f>
        <v>19586920.522071794</v>
      </c>
      <c r="L136" s="48">
        <f t="shared" ref="L136" si="34">SUM(L134:L135)</f>
        <v>20076593.535123587</v>
      </c>
      <c r="M136" s="48">
        <f t="shared" ref="M136" si="35">SUM(M134:M135)</f>
        <v>20578508.373501673</v>
      </c>
      <c r="N136" s="49">
        <f t="shared" ref="N136" si="36">SUM(N134:N135)</f>
        <v>21092971.082839213</v>
      </c>
    </row>
    <row r="137" spans="1:26" x14ac:dyDescent="0.2">
      <c r="B137" s="22" t="s">
        <v>32</v>
      </c>
      <c r="D137" s="47">
        <f t="shared" ref="D137:E143" si="37">D11</f>
        <v>2955053</v>
      </c>
      <c r="E137" s="45">
        <v>3043704.59</v>
      </c>
      <c r="F137" s="45">
        <v>3119797.2047499996</v>
      </c>
      <c r="G137" s="45">
        <v>3197792.1348687494</v>
      </c>
      <c r="H137" s="45">
        <v>3277736.938240468</v>
      </c>
      <c r="I137" s="45">
        <v>3359680.3616964794</v>
      </c>
      <c r="J137" s="45">
        <v>3443672.370738891</v>
      </c>
      <c r="K137" s="45">
        <v>3529764.1800073627</v>
      </c>
      <c r="L137" s="45">
        <v>3618008.2845075466</v>
      </c>
      <c r="M137" s="45">
        <v>3708458.4916202351</v>
      </c>
      <c r="N137" s="46">
        <v>3801169.9539107406</v>
      </c>
    </row>
    <row r="138" spans="1:26" x14ac:dyDescent="0.2">
      <c r="B138" s="22" t="s">
        <v>33</v>
      </c>
      <c r="D138" s="47">
        <f t="shared" si="37"/>
        <v>778276</v>
      </c>
      <c r="E138" s="45">
        <v>801624.28</v>
      </c>
      <c r="F138" s="45">
        <v>821664.88699999999</v>
      </c>
      <c r="G138" s="45">
        <v>842206.5091749999</v>
      </c>
      <c r="H138" s="45">
        <v>863261.67190437485</v>
      </c>
      <c r="I138" s="45">
        <v>884843.21370198415</v>
      </c>
      <c r="J138" s="45">
        <v>906964.29404453363</v>
      </c>
      <c r="K138" s="45">
        <v>929638.40139564686</v>
      </c>
      <c r="L138" s="45">
        <v>952879.36143053789</v>
      </c>
      <c r="M138" s="45">
        <v>976701.34546630119</v>
      </c>
      <c r="N138" s="46">
        <v>1001118.8791029586</v>
      </c>
    </row>
    <row r="139" spans="1:26" x14ac:dyDescent="0.2">
      <c r="B139" s="22" t="s">
        <v>34</v>
      </c>
      <c r="D139" s="47">
        <f t="shared" si="37"/>
        <v>0</v>
      </c>
      <c r="E139" s="45">
        <f t="shared" si="37"/>
        <v>0</v>
      </c>
      <c r="F139" s="45">
        <f t="shared" ref="F139:N139" si="38">F13</f>
        <v>0</v>
      </c>
      <c r="G139" s="45">
        <f t="shared" si="38"/>
        <v>0</v>
      </c>
      <c r="H139" s="45">
        <f t="shared" si="38"/>
        <v>0</v>
      </c>
      <c r="I139" s="45">
        <f t="shared" si="38"/>
        <v>0</v>
      </c>
      <c r="J139" s="45">
        <f t="shared" si="38"/>
        <v>0</v>
      </c>
      <c r="K139" s="45">
        <f t="shared" si="38"/>
        <v>0</v>
      </c>
      <c r="L139" s="45">
        <f t="shared" si="38"/>
        <v>0</v>
      </c>
      <c r="M139" s="45">
        <f t="shared" si="38"/>
        <v>0</v>
      </c>
      <c r="N139" s="46">
        <f t="shared" si="38"/>
        <v>0</v>
      </c>
    </row>
    <row r="140" spans="1:26" x14ac:dyDescent="0.2">
      <c r="B140" s="22" t="s">
        <v>35</v>
      </c>
      <c r="D140" s="47">
        <f t="shared" si="37"/>
        <v>66000</v>
      </c>
      <c r="E140" s="45">
        <f t="shared" ref="E140:M140" si="39">E14</f>
        <v>30000</v>
      </c>
      <c r="F140" s="45">
        <f t="shared" si="39"/>
        <v>30749.999999999996</v>
      </c>
      <c r="G140" s="45">
        <f t="shared" si="39"/>
        <v>31518.749999999993</v>
      </c>
      <c r="H140" s="45">
        <f t="shared" si="39"/>
        <v>32306.718749999989</v>
      </c>
      <c r="I140" s="45">
        <f t="shared" si="39"/>
        <v>33114.386718749985</v>
      </c>
      <c r="J140" s="45">
        <f t="shared" si="39"/>
        <v>33942.246386718703</v>
      </c>
      <c r="K140" s="45">
        <f t="shared" si="39"/>
        <v>34790.802546386694</v>
      </c>
      <c r="L140" s="45">
        <f t="shared" si="39"/>
        <v>35660.572610046358</v>
      </c>
      <c r="M140" s="45">
        <f t="shared" si="39"/>
        <v>36552.086925297517</v>
      </c>
      <c r="N140" s="46">
        <f t="shared" ref="N140" si="40">N14</f>
        <v>37465.889098429951</v>
      </c>
    </row>
    <row r="141" spans="1:26" x14ac:dyDescent="0.2">
      <c r="B141" s="22" t="s">
        <v>36</v>
      </c>
      <c r="D141" s="47">
        <f t="shared" si="37"/>
        <v>0</v>
      </c>
      <c r="E141" s="45">
        <f t="shared" ref="E141:M141" si="41">E15</f>
        <v>0</v>
      </c>
      <c r="F141" s="45">
        <f t="shared" si="41"/>
        <v>0</v>
      </c>
      <c r="G141" s="45">
        <f t="shared" si="41"/>
        <v>0</v>
      </c>
      <c r="H141" s="45">
        <f t="shared" si="41"/>
        <v>0</v>
      </c>
      <c r="I141" s="45">
        <f t="shared" si="41"/>
        <v>0</v>
      </c>
      <c r="J141" s="45">
        <f t="shared" si="41"/>
        <v>0</v>
      </c>
      <c r="K141" s="45">
        <f t="shared" si="41"/>
        <v>0</v>
      </c>
      <c r="L141" s="45">
        <f t="shared" si="41"/>
        <v>0</v>
      </c>
      <c r="M141" s="45">
        <f t="shared" si="41"/>
        <v>0</v>
      </c>
      <c r="N141" s="46">
        <f t="shared" ref="N141" si="42">N15</f>
        <v>0</v>
      </c>
    </row>
    <row r="142" spans="1:26" x14ac:dyDescent="0.2">
      <c r="B142" s="22" t="s">
        <v>37</v>
      </c>
      <c r="D142" s="47">
        <f t="shared" si="37"/>
        <v>0</v>
      </c>
      <c r="E142" s="45">
        <f t="shared" ref="E142:M142" si="43">E16</f>
        <v>0</v>
      </c>
      <c r="F142" s="45">
        <f t="shared" si="43"/>
        <v>0</v>
      </c>
      <c r="G142" s="45">
        <f t="shared" si="43"/>
        <v>0</v>
      </c>
      <c r="H142" s="45">
        <f t="shared" si="43"/>
        <v>0</v>
      </c>
      <c r="I142" s="45">
        <f t="shared" si="43"/>
        <v>0</v>
      </c>
      <c r="J142" s="45">
        <f t="shared" si="43"/>
        <v>0</v>
      </c>
      <c r="K142" s="45">
        <f t="shared" si="43"/>
        <v>0</v>
      </c>
      <c r="L142" s="45">
        <f t="shared" si="43"/>
        <v>0</v>
      </c>
      <c r="M142" s="45">
        <f t="shared" si="43"/>
        <v>0</v>
      </c>
      <c r="N142" s="46">
        <f t="shared" ref="N142" si="44">N16</f>
        <v>0</v>
      </c>
    </row>
    <row r="143" spans="1:26" x14ac:dyDescent="0.2">
      <c r="B143" s="22" t="s">
        <v>38</v>
      </c>
      <c r="D143" s="47">
        <f t="shared" si="37"/>
        <v>0</v>
      </c>
      <c r="E143" s="45">
        <f t="shared" ref="E143:M143" si="45">E17</f>
        <v>0</v>
      </c>
      <c r="F143" s="45">
        <f t="shared" si="45"/>
        <v>0</v>
      </c>
      <c r="G143" s="45">
        <f t="shared" si="45"/>
        <v>0</v>
      </c>
      <c r="H143" s="45">
        <f t="shared" si="45"/>
        <v>0</v>
      </c>
      <c r="I143" s="45">
        <f t="shared" si="45"/>
        <v>0</v>
      </c>
      <c r="J143" s="45">
        <f t="shared" si="45"/>
        <v>0</v>
      </c>
      <c r="K143" s="45">
        <f t="shared" si="45"/>
        <v>0</v>
      </c>
      <c r="L143" s="45">
        <f t="shared" si="45"/>
        <v>0</v>
      </c>
      <c r="M143" s="45">
        <f t="shared" si="45"/>
        <v>0</v>
      </c>
      <c r="N143" s="46">
        <f t="shared" ref="N143" si="46">N17</f>
        <v>0</v>
      </c>
    </row>
    <row r="144" spans="1:26" ht="15" x14ac:dyDescent="0.2">
      <c r="B144" s="62" t="s">
        <v>39</v>
      </c>
      <c r="C144" s="41"/>
      <c r="D144" s="61">
        <f>SUM(D136:D143)</f>
        <v>20197135</v>
      </c>
      <c r="E144" s="63">
        <f t="shared" ref="E144" si="47">SUM(E136:E143)</f>
        <v>20765069.050000001</v>
      </c>
      <c r="F144" s="63">
        <f t="shared" ref="F144" si="48">SUM(F136:F143)</f>
        <v>21284195.776249994</v>
      </c>
      <c r="G144" s="63">
        <f t="shared" ref="G144" si="49">SUM(G136:G143)</f>
        <v>21816300.670656245</v>
      </c>
      <c r="H144" s="63">
        <f t="shared" ref="H144" si="50">SUM(H136:H143)</f>
        <v>22361708.187422652</v>
      </c>
      <c r="I144" s="63">
        <f t="shared" ref="I144" si="51">SUM(I136:I143)</f>
        <v>22920750.892108213</v>
      </c>
      <c r="J144" s="63">
        <f t="shared" ref="J144" si="52">SUM(J136:J143)</f>
        <v>23493769.664410915</v>
      </c>
      <c r="K144" s="63">
        <f t="shared" ref="K144" si="53">SUM(K136:K143)</f>
        <v>24081113.906021189</v>
      </c>
      <c r="L144" s="63">
        <f t="shared" ref="L144" si="54">SUM(L136:L143)</f>
        <v>24683141.753671717</v>
      </c>
      <c r="M144" s="63">
        <f t="shared" ref="M144" si="55">SUM(M136:M143)</f>
        <v>25300220.297513507</v>
      </c>
      <c r="N144" s="64">
        <f t="shared" ref="N144" si="56">SUM(N136:N143)</f>
        <v>25932725.804951344</v>
      </c>
    </row>
    <row r="145" spans="2:14" x14ac:dyDescent="0.2"/>
    <row r="146" spans="2:14" ht="15.75" x14ac:dyDescent="0.2">
      <c r="B146" s="69" t="s">
        <v>40</v>
      </c>
      <c r="C146" s="13"/>
    </row>
    <row r="147" spans="2:14" ht="15.75" x14ac:dyDescent="0.2">
      <c r="B147" s="54"/>
      <c r="C147" s="54"/>
      <c r="D147" s="34" t="str">
        <f>D$2</f>
        <v>2024-25</v>
      </c>
      <c r="E147" s="19" t="str">
        <f t="shared" ref="E147:N147" si="57">E$2</f>
        <v>2025-26</v>
      </c>
      <c r="F147" s="19" t="str">
        <f t="shared" si="57"/>
        <v>2026-27</v>
      </c>
      <c r="G147" s="19" t="str">
        <f t="shared" si="57"/>
        <v>2027-28</v>
      </c>
      <c r="H147" s="19" t="str">
        <f t="shared" si="57"/>
        <v>2028-29</v>
      </c>
      <c r="I147" s="19" t="str">
        <f t="shared" si="57"/>
        <v>2029-30</v>
      </c>
      <c r="J147" s="19" t="str">
        <f t="shared" si="57"/>
        <v>2030-31</v>
      </c>
      <c r="K147" s="19" t="str">
        <f t="shared" si="57"/>
        <v>2031-32</v>
      </c>
      <c r="L147" s="19" t="str">
        <f t="shared" si="57"/>
        <v>2032-33</v>
      </c>
      <c r="M147" s="19" t="str">
        <f t="shared" si="57"/>
        <v>2033-34</v>
      </c>
      <c r="N147" s="20" t="str">
        <f t="shared" si="57"/>
        <v>2034-35</v>
      </c>
    </row>
    <row r="148" spans="2:14" x14ac:dyDescent="0.2">
      <c r="B148" s="53" t="s">
        <v>15</v>
      </c>
      <c r="C148" s="35"/>
      <c r="D148" s="47">
        <f>D144</f>
        <v>20197135</v>
      </c>
      <c r="E148" s="47">
        <f t="shared" ref="E148:N148" si="58">E144</f>
        <v>20765069.050000001</v>
      </c>
      <c r="F148" s="47">
        <f t="shared" si="58"/>
        <v>21284195.776249994</v>
      </c>
      <c r="G148" s="47">
        <f t="shared" si="58"/>
        <v>21816300.670656245</v>
      </c>
      <c r="H148" s="47">
        <f t="shared" si="58"/>
        <v>22361708.187422652</v>
      </c>
      <c r="I148" s="47">
        <f t="shared" si="58"/>
        <v>22920750.892108213</v>
      </c>
      <c r="J148" s="47">
        <f t="shared" si="58"/>
        <v>23493769.664410915</v>
      </c>
      <c r="K148" s="47">
        <f t="shared" si="58"/>
        <v>24081113.906021189</v>
      </c>
      <c r="L148" s="47">
        <f t="shared" si="58"/>
        <v>24683141.753671717</v>
      </c>
      <c r="M148" s="47">
        <f t="shared" si="58"/>
        <v>25300220.297513507</v>
      </c>
      <c r="N148" s="49">
        <f t="shared" si="58"/>
        <v>25932725.804951344</v>
      </c>
    </row>
    <row r="149" spans="2:14" x14ac:dyDescent="0.2">
      <c r="B149" s="53" t="s">
        <v>41</v>
      </c>
      <c r="C149" s="35"/>
      <c r="D149" s="47">
        <f t="shared" ref="D149:F164" si="59">D23</f>
        <v>1268138</v>
      </c>
      <c r="E149" s="45">
        <f t="shared" si="59"/>
        <v>1287160.0699999998</v>
      </c>
      <c r="F149" s="45">
        <f t="shared" ref="F149:N149" si="60">F23</f>
        <v>1306467.4710499998</v>
      </c>
      <c r="G149" s="45">
        <f t="shared" si="60"/>
        <v>1326064.4831157497</v>
      </c>
      <c r="H149" s="45">
        <f t="shared" si="60"/>
        <v>1345955.4503624858</v>
      </c>
      <c r="I149" s="45">
        <f t="shared" si="60"/>
        <v>1366144.782117923</v>
      </c>
      <c r="J149" s="45">
        <f t="shared" si="60"/>
        <v>1386636.9538496917</v>
      </c>
      <c r="K149" s="45">
        <f t="shared" si="60"/>
        <v>1407436.508157437</v>
      </c>
      <c r="L149" s="45">
        <f t="shared" si="60"/>
        <v>1428548.0557797984</v>
      </c>
      <c r="M149" s="45">
        <f t="shared" si="60"/>
        <v>1449976.2766164953</v>
      </c>
      <c r="N149" s="46">
        <f t="shared" si="60"/>
        <v>1486225.6835319076</v>
      </c>
    </row>
    <row r="150" spans="2:14" x14ac:dyDescent="0.2">
      <c r="B150" s="53" t="s">
        <v>42</v>
      </c>
      <c r="C150" s="35"/>
      <c r="D150" s="47">
        <f t="shared" si="59"/>
        <v>4243329</v>
      </c>
      <c r="E150" s="45">
        <f t="shared" si="59"/>
        <v>4338803.9024999999</v>
      </c>
      <c r="F150" s="45">
        <f t="shared" ref="F150:N150" si="61">F24</f>
        <v>4436426.9903062498</v>
      </c>
      <c r="G150" s="45">
        <f t="shared" si="61"/>
        <v>4536246.5975881405</v>
      </c>
      <c r="H150" s="45">
        <f t="shared" si="61"/>
        <v>4646971.5295399036</v>
      </c>
      <c r="I150" s="45">
        <f t="shared" si="61"/>
        <v>4759910.9601307018</v>
      </c>
      <c r="J150" s="45">
        <f t="shared" si="61"/>
        <v>4855109.1793333162</v>
      </c>
      <c r="K150" s="45">
        <f t="shared" si="61"/>
        <v>4952211.3629199825</v>
      </c>
      <c r="L150" s="45">
        <f t="shared" si="61"/>
        <v>5051255.5901783826</v>
      </c>
      <c r="M150" s="45">
        <f t="shared" si="61"/>
        <v>5152280.7019819506</v>
      </c>
      <c r="N150" s="46">
        <f t="shared" si="61"/>
        <v>5281087.7195314988</v>
      </c>
    </row>
    <row r="151" spans="2:14" x14ac:dyDescent="0.2">
      <c r="B151" s="53" t="s">
        <v>43</v>
      </c>
      <c r="C151" s="35"/>
      <c r="D151" s="47">
        <f>+SUM(D152:D153)</f>
        <v>7902090</v>
      </c>
      <c r="E151" s="48">
        <f t="shared" ref="E151" si="62">+SUM(E152:E153)</f>
        <v>8940454.5250000004</v>
      </c>
      <c r="F151" s="48">
        <f t="shared" ref="F151" si="63">+SUM(F152:F153)</f>
        <v>7683642.6643125005</v>
      </c>
      <c r="G151" s="48">
        <f t="shared" ref="G151" si="64">+SUM(G152:G153)</f>
        <v>7795349.2492595296</v>
      </c>
      <c r="H151" s="48">
        <f t="shared" ref="H151" si="65">+SUM(H152:H153)</f>
        <v>8001666.7052139994</v>
      </c>
      <c r="I151" s="48">
        <f t="shared" ref="I151" si="66">+SUM(I152:I153)</f>
        <v>8468736.0481844004</v>
      </c>
      <c r="J151" s="48">
        <f t="shared" ref="J151" si="67">+SUM(J152:J153)</f>
        <v>8683741.1380135994</v>
      </c>
      <c r="K151" s="48">
        <f t="shared" ref="K151" si="68">+SUM(K152:K153)</f>
        <v>8895029.0207739007</v>
      </c>
      <c r="L151" s="48">
        <f t="shared" ref="L151" si="69">+SUM(L152:L153)</f>
        <v>9110542.6611893997</v>
      </c>
      <c r="M151" s="48">
        <f t="shared" ref="M151" si="70">+SUM(M152:M153)</f>
        <v>9330366.5744132008</v>
      </c>
      <c r="N151" s="49">
        <f t="shared" ref="N151" si="71">+SUM(N152:N153)</f>
        <v>9610642.0637734998</v>
      </c>
    </row>
    <row r="152" spans="2:14" x14ac:dyDescent="0.2">
      <c r="B152" s="53" t="s">
        <v>44</v>
      </c>
      <c r="C152" s="35"/>
      <c r="D152" s="47">
        <f t="shared" si="59"/>
        <v>5413808</v>
      </c>
      <c r="E152" s="45">
        <f t="shared" si="59"/>
        <v>7790454.5250000004</v>
      </c>
      <c r="F152" s="45">
        <f t="shared" ref="F152:N152" si="72">F26</f>
        <v>7683642.6643125005</v>
      </c>
      <c r="G152" s="45">
        <f t="shared" si="72"/>
        <v>7795349.2492595296</v>
      </c>
      <c r="H152" s="45">
        <f t="shared" si="72"/>
        <v>8001666.7052139994</v>
      </c>
      <c r="I152" s="45">
        <f t="shared" si="72"/>
        <v>8468736.0481844004</v>
      </c>
      <c r="J152" s="45">
        <f t="shared" si="72"/>
        <v>8683741.1380135994</v>
      </c>
      <c r="K152" s="45">
        <f t="shared" si="72"/>
        <v>8895029.0207739007</v>
      </c>
      <c r="L152" s="45">
        <f t="shared" si="72"/>
        <v>9110542.6611893997</v>
      </c>
      <c r="M152" s="45">
        <f t="shared" si="72"/>
        <v>9330366.5744132008</v>
      </c>
      <c r="N152" s="46">
        <f t="shared" si="72"/>
        <v>9610642.0637734998</v>
      </c>
    </row>
    <row r="153" spans="2:14" x14ac:dyDescent="0.2">
      <c r="B153" s="53" t="s">
        <v>45</v>
      </c>
      <c r="C153" s="35"/>
      <c r="D153" s="47">
        <f t="shared" si="59"/>
        <v>2488282</v>
      </c>
      <c r="E153" s="45">
        <f t="shared" si="59"/>
        <v>1150000</v>
      </c>
      <c r="F153" s="45">
        <f t="shared" ref="F153:N153" si="73">F27</f>
        <v>0</v>
      </c>
      <c r="G153" s="45">
        <f t="shared" si="73"/>
        <v>0</v>
      </c>
      <c r="H153" s="45">
        <f t="shared" si="73"/>
        <v>0</v>
      </c>
      <c r="I153" s="45">
        <f t="shared" si="73"/>
        <v>0</v>
      </c>
      <c r="J153" s="45">
        <f t="shared" si="73"/>
        <v>0</v>
      </c>
      <c r="K153" s="45">
        <f t="shared" si="73"/>
        <v>0</v>
      </c>
      <c r="L153" s="45">
        <f t="shared" si="73"/>
        <v>0</v>
      </c>
      <c r="M153" s="45">
        <f t="shared" si="73"/>
        <v>0</v>
      </c>
      <c r="N153" s="46">
        <f t="shared" si="73"/>
        <v>0</v>
      </c>
    </row>
    <row r="154" spans="2:14" x14ac:dyDescent="0.2">
      <c r="B154" s="53" t="s">
        <v>46</v>
      </c>
      <c r="C154" s="35"/>
      <c r="D154" s="47">
        <f>SUM(D155:D156)</f>
        <v>11204576</v>
      </c>
      <c r="E154" s="48">
        <f t="shared" ref="E154" si="74">SUM(E155:E156)</f>
        <v>3728918</v>
      </c>
      <c r="F154" s="48">
        <f t="shared" ref="F154" si="75">SUM(F155:F156)</f>
        <v>3728918</v>
      </c>
      <c r="G154" s="48">
        <f t="shared" ref="G154" si="76">SUM(G155:G156)</f>
        <v>3594707</v>
      </c>
      <c r="H154" s="48">
        <f t="shared" ref="H154" si="77">SUM(H155:H156)</f>
        <v>3424707</v>
      </c>
      <c r="I154" s="48">
        <f t="shared" ref="I154" si="78">SUM(I155:I156)</f>
        <v>3368254</v>
      </c>
      <c r="J154" s="48">
        <f t="shared" ref="J154" si="79">SUM(J155:J156)</f>
        <v>3101016</v>
      </c>
      <c r="K154" s="48">
        <f t="shared" ref="K154" si="80">SUM(K155:K156)</f>
        <v>3125255</v>
      </c>
      <c r="L154" s="48">
        <f t="shared" ref="L154" si="81">SUM(L155:L156)</f>
        <v>3347254</v>
      </c>
      <c r="M154" s="48">
        <f t="shared" ref="M154" si="82">SUM(M155:M156)</f>
        <v>2880254</v>
      </c>
      <c r="N154" s="49">
        <f t="shared" ref="N154" si="83">SUM(N155:N156)</f>
        <v>2780254</v>
      </c>
    </row>
    <row r="155" spans="2:14" x14ac:dyDescent="0.2">
      <c r="B155" s="53" t="s">
        <v>44</v>
      </c>
      <c r="C155" s="35"/>
      <c r="D155" s="47">
        <f t="shared" si="59"/>
        <v>1389000</v>
      </c>
      <c r="E155" s="167">
        <v>1709685</v>
      </c>
      <c r="F155" s="45">
        <f t="shared" si="59"/>
        <v>2030250</v>
      </c>
      <c r="G155" s="45">
        <f t="shared" ref="G155:N155" si="84">G29</f>
        <v>2137106</v>
      </c>
      <c r="H155" s="45">
        <f t="shared" si="84"/>
        <v>2137106</v>
      </c>
      <c r="I155" s="45">
        <f t="shared" si="84"/>
        <v>1880653</v>
      </c>
      <c r="J155" s="45">
        <f t="shared" si="84"/>
        <v>1880653</v>
      </c>
      <c r="K155" s="45">
        <f t="shared" si="84"/>
        <v>1880653</v>
      </c>
      <c r="L155" s="45">
        <f t="shared" si="84"/>
        <v>1880653</v>
      </c>
      <c r="M155" s="45">
        <f t="shared" si="84"/>
        <v>1880653</v>
      </c>
      <c r="N155" s="46">
        <f t="shared" si="84"/>
        <v>1880653</v>
      </c>
    </row>
    <row r="156" spans="2:14" x14ac:dyDescent="0.2">
      <c r="B156" s="53" t="s">
        <v>45</v>
      </c>
      <c r="C156" s="35"/>
      <c r="D156" s="47">
        <f t="shared" si="59"/>
        <v>9815576</v>
      </c>
      <c r="E156" s="45">
        <v>2019233</v>
      </c>
      <c r="F156" s="45">
        <f t="shared" si="59"/>
        <v>1698668</v>
      </c>
      <c r="G156" s="45">
        <f t="shared" ref="G156:N156" si="85">G30</f>
        <v>1457601</v>
      </c>
      <c r="H156" s="45">
        <f t="shared" si="85"/>
        <v>1287601</v>
      </c>
      <c r="I156" s="45">
        <f t="shared" si="85"/>
        <v>1487601</v>
      </c>
      <c r="J156" s="45">
        <f t="shared" si="85"/>
        <v>1220363</v>
      </c>
      <c r="K156" s="45">
        <f t="shared" si="85"/>
        <v>1244602</v>
      </c>
      <c r="L156" s="45">
        <f t="shared" si="85"/>
        <v>1466601</v>
      </c>
      <c r="M156" s="45">
        <f t="shared" si="85"/>
        <v>999601</v>
      </c>
      <c r="N156" s="46">
        <f t="shared" si="85"/>
        <v>899601</v>
      </c>
    </row>
    <row r="157" spans="2:14" x14ac:dyDescent="0.2">
      <c r="B157" s="53" t="s">
        <v>47</v>
      </c>
      <c r="C157" s="35"/>
      <c r="D157" s="47">
        <f>SUM(D158:D159)</f>
        <v>50000</v>
      </c>
      <c r="E157" s="48">
        <f>SUM(E158:E159)</f>
        <v>50000</v>
      </c>
      <c r="F157" s="48">
        <f t="shared" ref="F157" si="86">SUM(F158:F159)</f>
        <v>50000</v>
      </c>
      <c r="G157" s="48">
        <f t="shared" ref="G157" si="87">SUM(G158:G159)</f>
        <v>50000</v>
      </c>
      <c r="H157" s="48">
        <f t="shared" ref="H157" si="88">SUM(H158:H159)</f>
        <v>50000</v>
      </c>
      <c r="I157" s="48">
        <f t="shared" ref="I157" si="89">SUM(I158:I159)</f>
        <v>50000</v>
      </c>
      <c r="J157" s="48">
        <f t="shared" ref="J157" si="90">SUM(J158:J159)</f>
        <v>50000</v>
      </c>
      <c r="K157" s="48">
        <f t="shared" ref="K157" si="91">SUM(K158:K159)</f>
        <v>50000</v>
      </c>
      <c r="L157" s="48">
        <f t="shared" ref="L157" si="92">SUM(L158:L159)</f>
        <v>50000</v>
      </c>
      <c r="M157" s="48">
        <f t="shared" ref="M157" si="93">SUM(M158:M159)</f>
        <v>50000</v>
      </c>
      <c r="N157" s="49">
        <f t="shared" ref="N157" si="94">SUM(N158:N159)</f>
        <v>50000</v>
      </c>
    </row>
    <row r="158" spans="2:14" x14ac:dyDescent="0.2">
      <c r="B158" s="53" t="s">
        <v>48</v>
      </c>
      <c r="C158" s="35"/>
      <c r="D158" s="47">
        <f t="shared" si="59"/>
        <v>30000</v>
      </c>
      <c r="E158" s="45">
        <f t="shared" si="59"/>
        <v>0</v>
      </c>
      <c r="F158" s="45">
        <f t="shared" ref="F158:N158" si="95">F32</f>
        <v>0</v>
      </c>
      <c r="G158" s="45">
        <f t="shared" si="95"/>
        <v>0</v>
      </c>
      <c r="H158" s="45">
        <f t="shared" si="95"/>
        <v>0</v>
      </c>
      <c r="I158" s="45">
        <f t="shared" si="95"/>
        <v>0</v>
      </c>
      <c r="J158" s="45">
        <f t="shared" si="95"/>
        <v>0</v>
      </c>
      <c r="K158" s="45">
        <f t="shared" si="95"/>
        <v>0</v>
      </c>
      <c r="L158" s="45">
        <f t="shared" si="95"/>
        <v>0</v>
      </c>
      <c r="M158" s="45">
        <f t="shared" si="95"/>
        <v>0</v>
      </c>
      <c r="N158" s="46">
        <f t="shared" si="95"/>
        <v>0</v>
      </c>
    </row>
    <row r="159" spans="2:14" x14ac:dyDescent="0.2">
      <c r="B159" s="53" t="s">
        <v>49</v>
      </c>
      <c r="C159" s="35"/>
      <c r="D159" s="47">
        <f t="shared" si="59"/>
        <v>20000</v>
      </c>
      <c r="E159" s="45">
        <f t="shared" ref="E159:N159" si="96">E33</f>
        <v>50000</v>
      </c>
      <c r="F159" s="45">
        <f t="shared" si="96"/>
        <v>50000</v>
      </c>
      <c r="G159" s="45">
        <f t="shared" si="96"/>
        <v>50000</v>
      </c>
      <c r="H159" s="45">
        <f t="shared" si="96"/>
        <v>50000</v>
      </c>
      <c r="I159" s="45">
        <f t="shared" si="96"/>
        <v>50000</v>
      </c>
      <c r="J159" s="45">
        <f t="shared" si="96"/>
        <v>50000</v>
      </c>
      <c r="K159" s="45">
        <f t="shared" si="96"/>
        <v>50000</v>
      </c>
      <c r="L159" s="45">
        <f t="shared" si="96"/>
        <v>50000</v>
      </c>
      <c r="M159" s="45">
        <f t="shared" si="96"/>
        <v>50000</v>
      </c>
      <c r="N159" s="46">
        <f t="shared" si="96"/>
        <v>50000</v>
      </c>
    </row>
    <row r="160" spans="2:14" x14ac:dyDescent="0.2">
      <c r="B160" s="53" t="s">
        <v>50</v>
      </c>
      <c r="C160" s="35"/>
      <c r="D160" s="47">
        <f t="shared" si="59"/>
        <v>0</v>
      </c>
      <c r="E160" s="45">
        <f t="shared" ref="E160:N160" si="97">E34</f>
        <v>0</v>
      </c>
      <c r="F160" s="45">
        <f t="shared" si="97"/>
        <v>0</v>
      </c>
      <c r="G160" s="45">
        <f t="shared" si="97"/>
        <v>0</v>
      </c>
      <c r="H160" s="45">
        <f t="shared" si="97"/>
        <v>0</v>
      </c>
      <c r="I160" s="45">
        <f t="shared" si="97"/>
        <v>0</v>
      </c>
      <c r="J160" s="45">
        <f t="shared" si="97"/>
        <v>0</v>
      </c>
      <c r="K160" s="45">
        <f t="shared" si="97"/>
        <v>0</v>
      </c>
      <c r="L160" s="45">
        <f t="shared" si="97"/>
        <v>0</v>
      </c>
      <c r="M160" s="45">
        <f t="shared" si="97"/>
        <v>0</v>
      </c>
      <c r="N160" s="46">
        <f t="shared" si="97"/>
        <v>0</v>
      </c>
    </row>
    <row r="161" spans="2:14" x14ac:dyDescent="0.2">
      <c r="B161" s="53" t="s">
        <v>51</v>
      </c>
      <c r="C161" s="35"/>
      <c r="D161" s="47">
        <f t="shared" si="59"/>
        <v>391000</v>
      </c>
      <c r="E161" s="45">
        <f t="shared" ref="E161:N161" si="98">E35</f>
        <v>183000</v>
      </c>
      <c r="F161" s="45">
        <f t="shared" si="98"/>
        <v>264000</v>
      </c>
      <c r="G161" s="45">
        <f t="shared" si="98"/>
        <v>230000</v>
      </c>
      <c r="H161" s="45">
        <f t="shared" si="98"/>
        <v>246000</v>
      </c>
      <c r="I161" s="45">
        <f t="shared" si="98"/>
        <v>245000</v>
      </c>
      <c r="J161" s="45">
        <f t="shared" si="98"/>
        <v>194000</v>
      </c>
      <c r="K161" s="45">
        <f t="shared" si="98"/>
        <v>194000</v>
      </c>
      <c r="L161" s="45">
        <f t="shared" si="98"/>
        <v>194000</v>
      </c>
      <c r="M161" s="45">
        <f t="shared" si="98"/>
        <v>197000</v>
      </c>
      <c r="N161" s="46">
        <f t="shared" si="98"/>
        <v>197000</v>
      </c>
    </row>
    <row r="162" spans="2:14" x14ac:dyDescent="0.2">
      <c r="B162" s="53" t="s">
        <v>52</v>
      </c>
      <c r="C162" s="35"/>
      <c r="D162" s="47">
        <f t="shared" si="59"/>
        <v>0</v>
      </c>
      <c r="E162" s="45">
        <f t="shared" ref="E162:N162" si="99">E36</f>
        <v>0</v>
      </c>
      <c r="F162" s="45">
        <f t="shared" si="99"/>
        <v>0</v>
      </c>
      <c r="G162" s="45">
        <f t="shared" si="99"/>
        <v>0</v>
      </c>
      <c r="H162" s="45">
        <f t="shared" si="99"/>
        <v>0</v>
      </c>
      <c r="I162" s="45">
        <f t="shared" si="99"/>
        <v>0</v>
      </c>
      <c r="J162" s="45">
        <f t="shared" si="99"/>
        <v>0</v>
      </c>
      <c r="K162" s="45">
        <f t="shared" si="99"/>
        <v>0</v>
      </c>
      <c r="L162" s="45">
        <f t="shared" si="99"/>
        <v>0</v>
      </c>
      <c r="M162" s="45">
        <f t="shared" si="99"/>
        <v>0</v>
      </c>
      <c r="N162" s="46">
        <f t="shared" si="99"/>
        <v>0</v>
      </c>
    </row>
    <row r="163" spans="2:14" x14ac:dyDescent="0.2">
      <c r="B163" s="53" t="s">
        <v>53</v>
      </c>
      <c r="C163" s="35"/>
      <c r="D163" s="47">
        <f t="shared" si="59"/>
        <v>0</v>
      </c>
      <c r="E163" s="45">
        <f t="shared" ref="E163:N163" si="100">E37</f>
        <v>0</v>
      </c>
      <c r="F163" s="45">
        <f t="shared" si="100"/>
        <v>0</v>
      </c>
      <c r="G163" s="45">
        <f t="shared" si="100"/>
        <v>0</v>
      </c>
      <c r="H163" s="45">
        <f t="shared" si="100"/>
        <v>0</v>
      </c>
      <c r="I163" s="45">
        <f t="shared" si="100"/>
        <v>0</v>
      </c>
      <c r="J163" s="45">
        <f t="shared" si="100"/>
        <v>0</v>
      </c>
      <c r="K163" s="45">
        <f t="shared" si="100"/>
        <v>0</v>
      </c>
      <c r="L163" s="45">
        <f t="shared" si="100"/>
        <v>0</v>
      </c>
      <c r="M163" s="45">
        <f t="shared" si="100"/>
        <v>0</v>
      </c>
      <c r="N163" s="46">
        <f t="shared" si="100"/>
        <v>0</v>
      </c>
    </row>
    <row r="164" spans="2:14" x14ac:dyDescent="0.2">
      <c r="B164" s="53" t="s">
        <v>54</v>
      </c>
      <c r="C164" s="35"/>
      <c r="D164" s="47">
        <f t="shared" si="59"/>
        <v>1177035</v>
      </c>
      <c r="E164" s="45">
        <f t="shared" ref="E164:N164" si="101">E38</f>
        <v>1099000</v>
      </c>
      <c r="F164" s="45">
        <f t="shared" si="101"/>
        <v>1090000</v>
      </c>
      <c r="G164" s="45">
        <f t="shared" si="101"/>
        <v>1111000</v>
      </c>
      <c r="H164" s="45">
        <f t="shared" si="101"/>
        <v>1130000</v>
      </c>
      <c r="I164" s="45">
        <f t="shared" si="101"/>
        <v>1150000</v>
      </c>
      <c r="J164" s="45">
        <f t="shared" si="101"/>
        <v>1170000</v>
      </c>
      <c r="K164" s="45">
        <f t="shared" si="101"/>
        <v>1190000</v>
      </c>
      <c r="L164" s="45">
        <f t="shared" si="101"/>
        <v>1211000</v>
      </c>
      <c r="M164" s="45">
        <f t="shared" si="101"/>
        <v>1232000</v>
      </c>
      <c r="N164" s="46">
        <f t="shared" si="101"/>
        <v>1262800</v>
      </c>
    </row>
    <row r="165" spans="2:14" ht="15" x14ac:dyDescent="0.2">
      <c r="B165" s="55" t="s">
        <v>55</v>
      </c>
      <c r="C165" s="35"/>
      <c r="D165" s="57">
        <f>SUM(D160:D164,D157,D154,D148:D151)</f>
        <v>46433303</v>
      </c>
      <c r="E165" s="58">
        <f t="shared" ref="E165" si="102">SUM(E160:E164,E157,E154,E148:E151)</f>
        <v>40392405.547499999</v>
      </c>
      <c r="F165" s="58">
        <f t="shared" ref="F165" si="103">SUM(F160:F164,F157,F154,F148:F151)</f>
        <v>39843650.901918739</v>
      </c>
      <c r="G165" s="58">
        <f t="shared" ref="G165" si="104">SUM(G160:G164,G157,G154,G148:G151)</f>
        <v>40459668.000619665</v>
      </c>
      <c r="H165" s="58">
        <f t="shared" ref="H165" si="105">SUM(H160:H164,H157,H154,H148:H151)</f>
        <v>41207008.872539043</v>
      </c>
      <c r="I165" s="58">
        <f t="shared" ref="I165" si="106">SUM(I160:I164,I157,I154,I148:I151)</f>
        <v>42328796.682541236</v>
      </c>
      <c r="J165" s="58">
        <f t="shared" ref="J165" si="107">SUM(J160:J164,J157,J154,J148:J151)</f>
        <v>42934272.935607523</v>
      </c>
      <c r="K165" s="58">
        <f t="shared" ref="K165" si="108">SUM(K160:K164,K157,K154,K148:K151)</f>
        <v>43895045.797872514</v>
      </c>
      <c r="L165" s="58">
        <f t="shared" ref="L165" si="109">SUM(L160:L164,L157,L154,L148:L151)</f>
        <v>45075742.060819298</v>
      </c>
      <c r="M165" s="58">
        <f t="shared" ref="M165" si="110">SUM(M160:M164,M157,M154,M148:M151)</f>
        <v>45592097.850525156</v>
      </c>
      <c r="N165" s="59">
        <f t="shared" ref="N165" si="111">SUM(N160:N164,N157,N154,N148:N151)</f>
        <v>46600735.271788247</v>
      </c>
    </row>
    <row r="166" spans="2:14" x14ac:dyDescent="0.2">
      <c r="B166" s="22"/>
      <c r="D166" s="50"/>
      <c r="E166" s="50"/>
      <c r="F166" s="50"/>
      <c r="G166" s="50"/>
      <c r="H166" s="50"/>
      <c r="I166" s="50"/>
      <c r="J166" s="50"/>
      <c r="K166" s="50"/>
      <c r="L166" s="50"/>
      <c r="M166" s="50"/>
      <c r="N166" s="51"/>
    </row>
    <row r="167" spans="2:14" x14ac:dyDescent="0.2">
      <c r="B167" s="53" t="s">
        <v>57</v>
      </c>
      <c r="C167" s="35"/>
      <c r="D167" s="47">
        <f t="shared" ref="D167:E169" si="112">D41</f>
        <v>15479630</v>
      </c>
      <c r="E167" s="45">
        <f t="shared" si="112"/>
        <v>15827921.674999999</v>
      </c>
      <c r="F167" s="45">
        <f t="shared" ref="F167:N167" si="113">F41</f>
        <v>16184049.912687499</v>
      </c>
      <c r="G167" s="45">
        <f t="shared" si="113"/>
        <v>16507730.910941249</v>
      </c>
      <c r="H167" s="45">
        <f t="shared" si="113"/>
        <v>16837885.529160075</v>
      </c>
      <c r="I167" s="45">
        <f t="shared" si="113"/>
        <v>17174643.239743277</v>
      </c>
      <c r="J167" s="45">
        <f t="shared" si="113"/>
        <v>17518136.104538143</v>
      </c>
      <c r="K167" s="45">
        <f t="shared" si="113"/>
        <v>17868498.826628905</v>
      </c>
      <c r="L167" s="45">
        <f t="shared" si="113"/>
        <v>18225868.803161483</v>
      </c>
      <c r="M167" s="45">
        <f t="shared" si="113"/>
        <v>18590386.179224715</v>
      </c>
      <c r="N167" s="46">
        <f t="shared" si="113"/>
        <v>19055145.833705332</v>
      </c>
    </row>
    <row r="168" spans="2:14" x14ac:dyDescent="0.2">
      <c r="B168" s="53" t="s">
        <v>58</v>
      </c>
      <c r="C168" s="35"/>
      <c r="D168" s="47">
        <f t="shared" si="112"/>
        <v>16652679</v>
      </c>
      <c r="E168" s="45">
        <f t="shared" ref="E168:N168" si="114">E42</f>
        <v>18628739.322500002</v>
      </c>
      <c r="F168" s="45">
        <f t="shared" si="114"/>
        <v>17539292.244756248</v>
      </c>
      <c r="G168" s="45">
        <f t="shared" si="114"/>
        <v>17932882.050263267</v>
      </c>
      <c r="H168" s="45">
        <f t="shared" si="114"/>
        <v>18452182.811268527</v>
      </c>
      <c r="I168" s="45">
        <f t="shared" si="114"/>
        <v>18821226.407493901</v>
      </c>
      <c r="J168" s="45">
        <f t="shared" si="114"/>
        <v>19197650.955643781</v>
      </c>
      <c r="K168" s="45">
        <f t="shared" si="114"/>
        <v>19581603.694756657</v>
      </c>
      <c r="L168" s="45">
        <f t="shared" si="114"/>
        <v>19973235.78865179</v>
      </c>
      <c r="M168" s="45">
        <f t="shared" si="114"/>
        <v>20368970.384424828</v>
      </c>
      <c r="N168" s="46">
        <f t="shared" si="114"/>
        <v>20878194.644035444</v>
      </c>
    </row>
    <row r="169" spans="2:14" x14ac:dyDescent="0.2">
      <c r="B169" s="53" t="s">
        <v>59</v>
      </c>
      <c r="C169" s="35"/>
      <c r="D169" s="47">
        <f t="shared" si="112"/>
        <v>2359</v>
      </c>
      <c r="E169" s="45">
        <f t="shared" ref="E169:N169" si="115">E43</f>
        <v>0</v>
      </c>
      <c r="F169" s="45">
        <f t="shared" si="115"/>
        <v>0</v>
      </c>
      <c r="G169" s="45">
        <f t="shared" si="115"/>
        <v>0</v>
      </c>
      <c r="H169" s="45">
        <f t="shared" si="115"/>
        <v>0</v>
      </c>
      <c r="I169" s="45">
        <f t="shared" si="115"/>
        <v>0</v>
      </c>
      <c r="J169" s="45">
        <f t="shared" si="115"/>
        <v>0</v>
      </c>
      <c r="K169" s="45">
        <f t="shared" si="115"/>
        <v>0</v>
      </c>
      <c r="L169" s="45">
        <f t="shared" si="115"/>
        <v>0</v>
      </c>
      <c r="M169" s="45">
        <f t="shared" si="115"/>
        <v>0</v>
      </c>
      <c r="N169" s="46">
        <f t="shared" si="115"/>
        <v>0</v>
      </c>
    </row>
    <row r="170" spans="2:14" x14ac:dyDescent="0.2">
      <c r="B170" s="53" t="s">
        <v>60</v>
      </c>
      <c r="C170" s="35"/>
      <c r="D170" s="47">
        <f>+SUM(D171:D172)</f>
        <v>8495510</v>
      </c>
      <c r="E170" s="48">
        <f t="shared" ref="E170" si="116">+SUM(E171:E172)</f>
        <v>9129174.4800000004</v>
      </c>
      <c r="F170" s="48">
        <f t="shared" ref="F170" si="117">+SUM(F171:F172)</f>
        <v>9334580.905799998</v>
      </c>
      <c r="G170" s="48">
        <f t="shared" ref="G170" si="118">+SUM(G171:G172)</f>
        <v>9334580.905799998</v>
      </c>
      <c r="H170" s="48">
        <f t="shared" ref="H170" si="119">+SUM(H171:H172)</f>
        <v>9334580.905799998</v>
      </c>
      <c r="I170" s="48">
        <f t="shared" ref="I170" si="120">+SUM(I171:I172)</f>
        <v>9334580.905799998</v>
      </c>
      <c r="J170" s="48">
        <f t="shared" ref="J170" si="121">+SUM(J171:J172)</f>
        <v>9334580.905799998</v>
      </c>
      <c r="K170" s="48">
        <f t="shared" ref="K170" si="122">+SUM(K171:K172)</f>
        <v>9334580.905799998</v>
      </c>
      <c r="L170" s="48">
        <f t="shared" ref="L170" si="123">+SUM(L171:L172)</f>
        <v>9334580.905799998</v>
      </c>
      <c r="M170" s="48">
        <f t="shared" ref="M170" si="124">+SUM(M171:M172)</f>
        <v>9334580.905799998</v>
      </c>
      <c r="N170" s="49">
        <f t="shared" ref="N170" si="125">+SUM(N171:N172)</f>
        <v>9567945.4284449965</v>
      </c>
    </row>
    <row r="171" spans="2:14" x14ac:dyDescent="0.2">
      <c r="B171" s="53" t="s">
        <v>61</v>
      </c>
      <c r="C171" s="35"/>
      <c r="D171" s="47">
        <f t="shared" ref="D171:N178" si="126">D45</f>
        <v>8459958</v>
      </c>
      <c r="E171" s="45">
        <f t="shared" si="126"/>
        <v>9129174.4800000004</v>
      </c>
      <c r="F171" s="45">
        <f t="shared" si="126"/>
        <v>9334580.905799998</v>
      </c>
      <c r="G171" s="45">
        <f t="shared" si="126"/>
        <v>9334580.905799998</v>
      </c>
      <c r="H171" s="45">
        <f t="shared" si="126"/>
        <v>9334580.905799998</v>
      </c>
      <c r="I171" s="45">
        <f t="shared" si="126"/>
        <v>9334580.905799998</v>
      </c>
      <c r="J171" s="45">
        <f t="shared" si="126"/>
        <v>9334580.905799998</v>
      </c>
      <c r="K171" s="45">
        <f t="shared" si="126"/>
        <v>9334580.905799998</v>
      </c>
      <c r="L171" s="45">
        <f t="shared" si="126"/>
        <v>9334580.905799998</v>
      </c>
      <c r="M171" s="45">
        <f t="shared" si="126"/>
        <v>9334580.905799998</v>
      </c>
      <c r="N171" s="46">
        <f t="shared" si="126"/>
        <v>9567945.4284449965</v>
      </c>
    </row>
    <row r="172" spans="2:14" x14ac:dyDescent="0.2">
      <c r="B172" s="53" t="s">
        <v>62</v>
      </c>
      <c r="C172" s="35"/>
      <c r="D172" s="47">
        <f t="shared" si="126"/>
        <v>35552</v>
      </c>
      <c r="E172" s="45">
        <f t="shared" si="126"/>
        <v>0</v>
      </c>
      <c r="F172" s="45">
        <f t="shared" si="126"/>
        <v>0</v>
      </c>
      <c r="G172" s="45">
        <f t="shared" si="126"/>
        <v>0</v>
      </c>
      <c r="H172" s="45">
        <f t="shared" si="126"/>
        <v>0</v>
      </c>
      <c r="I172" s="45">
        <f t="shared" si="126"/>
        <v>0</v>
      </c>
      <c r="J172" s="45">
        <f t="shared" si="126"/>
        <v>0</v>
      </c>
      <c r="K172" s="45">
        <f t="shared" si="126"/>
        <v>0</v>
      </c>
      <c r="L172" s="45">
        <f t="shared" si="126"/>
        <v>0</v>
      </c>
      <c r="M172" s="45">
        <f t="shared" si="126"/>
        <v>0</v>
      </c>
      <c r="N172" s="46">
        <f t="shared" si="126"/>
        <v>0</v>
      </c>
    </row>
    <row r="173" spans="2:14" x14ac:dyDescent="0.2">
      <c r="B173" s="53" t="s">
        <v>63</v>
      </c>
      <c r="C173" s="35"/>
      <c r="D173" s="47">
        <f t="shared" si="126"/>
        <v>81620</v>
      </c>
      <c r="E173" s="45">
        <f t="shared" si="126"/>
        <v>82850.099999999991</v>
      </c>
      <c r="F173" s="45">
        <f t="shared" si="126"/>
        <v>127349.34</v>
      </c>
      <c r="G173" s="45">
        <f t="shared" si="126"/>
        <v>114585.59</v>
      </c>
      <c r="H173" s="45">
        <f t="shared" si="126"/>
        <v>101012.35</v>
      </c>
      <c r="I173" s="45">
        <f t="shared" si="126"/>
        <v>86577.260000000009</v>
      </c>
      <c r="J173" s="45">
        <f t="shared" si="126"/>
        <v>71224.489999999991</v>
      </c>
      <c r="K173" s="45">
        <f t="shared" si="126"/>
        <v>54894.490000000005</v>
      </c>
      <c r="L173" s="45">
        <f t="shared" si="126"/>
        <v>38708.85</v>
      </c>
      <c r="M173" s="45">
        <f t="shared" si="126"/>
        <v>22947.210000000003</v>
      </c>
      <c r="N173" s="46">
        <f t="shared" si="126"/>
        <v>7185.570000000007</v>
      </c>
    </row>
    <row r="174" spans="2:14" x14ac:dyDescent="0.2">
      <c r="B174" s="53" t="s">
        <v>64</v>
      </c>
      <c r="C174" s="35"/>
      <c r="D174" s="47">
        <f t="shared" si="126"/>
        <v>31601</v>
      </c>
      <c r="E174" s="45">
        <f t="shared" ref="E174:N174" si="127">E48</f>
        <v>0</v>
      </c>
      <c r="F174" s="45">
        <f t="shared" si="127"/>
        <v>0</v>
      </c>
      <c r="G174" s="45">
        <f t="shared" si="127"/>
        <v>0</v>
      </c>
      <c r="H174" s="45">
        <f t="shared" si="127"/>
        <v>0</v>
      </c>
      <c r="I174" s="45">
        <f t="shared" si="127"/>
        <v>0</v>
      </c>
      <c r="J174" s="45">
        <f t="shared" si="127"/>
        <v>0</v>
      </c>
      <c r="K174" s="45">
        <f t="shared" si="127"/>
        <v>0</v>
      </c>
      <c r="L174" s="45">
        <f t="shared" si="127"/>
        <v>0</v>
      </c>
      <c r="M174" s="45">
        <f t="shared" si="127"/>
        <v>0</v>
      </c>
      <c r="N174" s="46">
        <f t="shared" si="127"/>
        <v>0</v>
      </c>
    </row>
    <row r="175" spans="2:14" x14ac:dyDescent="0.2">
      <c r="B175" s="53" t="s">
        <v>51</v>
      </c>
      <c r="C175" s="35"/>
      <c r="D175" s="47">
        <f t="shared" si="126"/>
        <v>0</v>
      </c>
      <c r="E175" s="45">
        <f t="shared" ref="E175:N175" si="128">E49</f>
        <v>0</v>
      </c>
      <c r="F175" s="45">
        <f t="shared" si="128"/>
        <v>0</v>
      </c>
      <c r="G175" s="45">
        <f t="shared" si="128"/>
        <v>0</v>
      </c>
      <c r="H175" s="45">
        <f t="shared" si="128"/>
        <v>0</v>
      </c>
      <c r="I175" s="45">
        <f t="shared" si="128"/>
        <v>0</v>
      </c>
      <c r="J175" s="45">
        <f t="shared" si="128"/>
        <v>0</v>
      </c>
      <c r="K175" s="45">
        <f t="shared" si="128"/>
        <v>0</v>
      </c>
      <c r="L175" s="45">
        <f t="shared" si="128"/>
        <v>0</v>
      </c>
      <c r="M175" s="45">
        <f t="shared" si="128"/>
        <v>0</v>
      </c>
      <c r="N175" s="46">
        <f t="shared" si="128"/>
        <v>0</v>
      </c>
    </row>
    <row r="176" spans="2:14" x14ac:dyDescent="0.2">
      <c r="B176" s="53" t="s">
        <v>52</v>
      </c>
      <c r="C176" s="35"/>
      <c r="D176" s="47">
        <f t="shared" si="126"/>
        <v>0</v>
      </c>
      <c r="E176" s="45">
        <f t="shared" ref="E176:N176" si="129">E50</f>
        <v>0</v>
      </c>
      <c r="F176" s="45">
        <f t="shared" si="129"/>
        <v>0</v>
      </c>
      <c r="G176" s="45">
        <f t="shared" si="129"/>
        <v>0</v>
      </c>
      <c r="H176" s="45">
        <f t="shared" si="129"/>
        <v>0</v>
      </c>
      <c r="I176" s="45">
        <f t="shared" si="129"/>
        <v>0</v>
      </c>
      <c r="J176" s="45">
        <f t="shared" si="129"/>
        <v>0</v>
      </c>
      <c r="K176" s="45">
        <f t="shared" si="129"/>
        <v>0</v>
      </c>
      <c r="L176" s="45">
        <f t="shared" si="129"/>
        <v>0</v>
      </c>
      <c r="M176" s="45">
        <f t="shared" si="129"/>
        <v>0</v>
      </c>
      <c r="N176" s="46">
        <f t="shared" si="129"/>
        <v>0</v>
      </c>
    </row>
    <row r="177" spans="2:14" x14ac:dyDescent="0.2">
      <c r="B177" s="53" t="s">
        <v>53</v>
      </c>
      <c r="C177" s="35"/>
      <c r="D177" s="47">
        <f t="shared" si="126"/>
        <v>0</v>
      </c>
      <c r="E177" s="45">
        <f t="shared" ref="E177:N177" si="130">E51</f>
        <v>0</v>
      </c>
      <c r="F177" s="45">
        <f t="shared" si="130"/>
        <v>0</v>
      </c>
      <c r="G177" s="45">
        <f t="shared" si="130"/>
        <v>0</v>
      </c>
      <c r="H177" s="45">
        <f t="shared" si="130"/>
        <v>0</v>
      </c>
      <c r="I177" s="45">
        <f t="shared" si="130"/>
        <v>0</v>
      </c>
      <c r="J177" s="45">
        <f t="shared" si="130"/>
        <v>0</v>
      </c>
      <c r="K177" s="45">
        <f t="shared" si="130"/>
        <v>0</v>
      </c>
      <c r="L177" s="45">
        <f t="shared" si="130"/>
        <v>0</v>
      </c>
      <c r="M177" s="45">
        <f t="shared" si="130"/>
        <v>0</v>
      </c>
      <c r="N177" s="46">
        <f t="shared" si="130"/>
        <v>0</v>
      </c>
    </row>
    <row r="178" spans="2:14" x14ac:dyDescent="0.2">
      <c r="B178" s="53" t="s">
        <v>65</v>
      </c>
      <c r="C178" s="35"/>
      <c r="D178" s="47">
        <f t="shared" si="126"/>
        <v>2176566</v>
      </c>
      <c r="E178" s="45">
        <f t="shared" ref="E178:N178" si="131">E52</f>
        <v>2098983.91</v>
      </c>
      <c r="F178" s="45">
        <f t="shared" si="131"/>
        <v>2146211.047975</v>
      </c>
      <c r="G178" s="45">
        <f t="shared" si="131"/>
        <v>2194500.7965544374</v>
      </c>
      <c r="H178" s="45">
        <f t="shared" si="131"/>
        <v>2238390.8124855263</v>
      </c>
      <c r="I178" s="45">
        <f t="shared" si="131"/>
        <v>2283158.6287352368</v>
      </c>
      <c r="J178" s="45">
        <f t="shared" si="131"/>
        <v>2328821.8013099418</v>
      </c>
      <c r="K178" s="45">
        <f t="shared" si="131"/>
        <v>2375398.2373361406</v>
      </c>
      <c r="L178" s="45">
        <f t="shared" si="131"/>
        <v>2422906.2020828635</v>
      </c>
      <c r="M178" s="45">
        <f t="shared" si="131"/>
        <v>2471364.326124521</v>
      </c>
      <c r="N178" s="46">
        <f t="shared" si="131"/>
        <v>2533148.4342776337</v>
      </c>
    </row>
    <row r="179" spans="2:14" ht="15" x14ac:dyDescent="0.2">
      <c r="B179" s="55" t="s">
        <v>66</v>
      </c>
      <c r="C179" s="35"/>
      <c r="D179" s="57">
        <f>SUM(D173:D178,D167:D170)</f>
        <v>42919965</v>
      </c>
      <c r="E179" s="58">
        <f t="shared" ref="E179" si="132">SUM(E173:E178,E167:E170)</f>
        <v>45767669.487499997</v>
      </c>
      <c r="F179" s="58">
        <f t="shared" ref="F179" si="133">SUM(F173:F178,F167:F170)</f>
        <v>45331483.451218747</v>
      </c>
      <c r="G179" s="58">
        <f t="shared" ref="G179" si="134">SUM(G173:G178,G167:G170)</f>
        <v>46084280.253558949</v>
      </c>
      <c r="H179" s="58">
        <f t="shared" ref="H179" si="135">SUM(H173:H178,H167:H170)</f>
        <v>46964052.408714131</v>
      </c>
      <c r="I179" s="58">
        <f t="shared" ref="I179" si="136">SUM(I173:I178,I167:I170)</f>
        <v>47700186.441772416</v>
      </c>
      <c r="J179" s="58">
        <f t="shared" ref="J179" si="137">SUM(J173:J178,J167:J170)</f>
        <v>48450414.257291868</v>
      </c>
      <c r="K179" s="58">
        <f t="shared" ref="K179" si="138">SUM(K173:K178,K167:K170)</f>
        <v>49214976.154521704</v>
      </c>
      <c r="L179" s="58">
        <f t="shared" ref="L179" si="139">SUM(L173:L178,L167:L170)</f>
        <v>49995300.549696133</v>
      </c>
      <c r="M179" s="58">
        <f t="shared" ref="M179" si="140">SUM(M173:M178,M167:M170)</f>
        <v>50788249.005574062</v>
      </c>
      <c r="N179" s="59">
        <f t="shared" ref="N179" si="141">SUM(N173:N178,N167:N170)</f>
        <v>52041619.910463408</v>
      </c>
    </row>
    <row r="180" spans="2:14" x14ac:dyDescent="0.2">
      <c r="B180" s="22"/>
      <c r="D180" s="50"/>
      <c r="E180" s="50"/>
      <c r="F180" s="50"/>
      <c r="G180" s="50"/>
      <c r="H180" s="50"/>
      <c r="I180" s="50"/>
      <c r="J180" s="50"/>
      <c r="K180" s="50"/>
      <c r="L180" s="50"/>
      <c r="M180" s="50"/>
      <c r="N180" s="51"/>
    </row>
    <row r="181" spans="2:14" ht="15" x14ac:dyDescent="0.2">
      <c r="B181" s="55" t="s">
        <v>415</v>
      </c>
      <c r="C181" s="52"/>
      <c r="D181" s="57">
        <f>D165-D179</f>
        <v>3513338</v>
      </c>
      <c r="E181" s="58">
        <f t="shared" ref="E181:N181" si="142">E165-E179</f>
        <v>-5375263.9399999976</v>
      </c>
      <c r="F181" s="58">
        <f t="shared" si="142"/>
        <v>-5487832.5493000075</v>
      </c>
      <c r="G181" s="58">
        <f t="shared" si="142"/>
        <v>-5624612.2529392838</v>
      </c>
      <c r="H181" s="58">
        <f t="shared" si="142"/>
        <v>-5757043.5361750871</v>
      </c>
      <c r="I181" s="58">
        <f t="shared" si="142"/>
        <v>-5371389.75923118</v>
      </c>
      <c r="J181" s="58">
        <f t="shared" si="142"/>
        <v>-5516141.3216843456</v>
      </c>
      <c r="K181" s="58">
        <f t="shared" si="142"/>
        <v>-5319930.3566491902</v>
      </c>
      <c r="L181" s="58">
        <f t="shared" si="142"/>
        <v>-4919558.4888768345</v>
      </c>
      <c r="M181" s="58">
        <f t="shared" si="142"/>
        <v>-5196151.1550489068</v>
      </c>
      <c r="N181" s="59">
        <f t="shared" si="142"/>
        <v>-5440884.6386751607</v>
      </c>
    </row>
    <row r="182" spans="2:14" x14ac:dyDescent="0.2">
      <c r="B182" s="56"/>
      <c r="C182" s="41"/>
      <c r="D182" s="25"/>
      <c r="E182" s="25"/>
      <c r="F182" s="25"/>
      <c r="G182" s="25"/>
      <c r="H182" s="25"/>
      <c r="I182" s="25"/>
      <c r="J182" s="25"/>
      <c r="K182" s="25"/>
      <c r="L182" s="25"/>
      <c r="M182" s="25"/>
      <c r="N182" s="26"/>
    </row>
    <row r="183" spans="2:14" x14ac:dyDescent="0.2"/>
    <row r="184" spans="2:14" ht="15.75" x14ac:dyDescent="0.2">
      <c r="B184" s="69" t="s">
        <v>105</v>
      </c>
      <c r="C184" s="13"/>
    </row>
    <row r="185" spans="2:14" ht="15" x14ac:dyDescent="0.2">
      <c r="B185" s="33"/>
      <c r="C185" s="36"/>
      <c r="D185" s="34" t="str">
        <f>D$2</f>
        <v>2024-25</v>
      </c>
      <c r="E185" s="19" t="str">
        <f t="shared" ref="E185:N185" si="143">E$2</f>
        <v>2025-26</v>
      </c>
      <c r="F185" s="19" t="str">
        <f t="shared" si="143"/>
        <v>2026-27</v>
      </c>
      <c r="G185" s="19" t="str">
        <f t="shared" si="143"/>
        <v>2027-28</v>
      </c>
      <c r="H185" s="19" t="str">
        <f t="shared" si="143"/>
        <v>2028-29</v>
      </c>
      <c r="I185" s="19" t="str">
        <f t="shared" si="143"/>
        <v>2029-30</v>
      </c>
      <c r="J185" s="19" t="str">
        <f t="shared" si="143"/>
        <v>2030-31</v>
      </c>
      <c r="K185" s="19" t="str">
        <f t="shared" si="143"/>
        <v>2031-32</v>
      </c>
      <c r="L185" s="19" t="str">
        <f t="shared" si="143"/>
        <v>2032-33</v>
      </c>
      <c r="M185" s="19" t="str">
        <f t="shared" si="143"/>
        <v>2033-34</v>
      </c>
      <c r="N185" s="20" t="str">
        <f t="shared" si="143"/>
        <v>2034-35</v>
      </c>
    </row>
    <row r="186" spans="2:14" x14ac:dyDescent="0.2">
      <c r="B186" s="28" t="s">
        <v>162</v>
      </c>
      <c r="C186" s="31"/>
      <c r="D186" s="31"/>
      <c r="E186" s="31"/>
      <c r="F186" s="31"/>
      <c r="G186" s="31"/>
      <c r="H186" s="31"/>
      <c r="I186" s="31"/>
      <c r="J186" s="31"/>
      <c r="K186" s="31"/>
      <c r="L186" s="31"/>
      <c r="M186" s="31"/>
      <c r="N186" s="32"/>
    </row>
    <row r="187" spans="2:14" x14ac:dyDescent="0.2">
      <c r="B187" s="53" t="s">
        <v>67</v>
      </c>
      <c r="C187" s="35"/>
      <c r="D187" s="47">
        <f>+SUM(D188:D192)</f>
        <v>2987765</v>
      </c>
      <c r="E187" s="48">
        <f t="shared" ref="E187" si="144">+SUM(E188:E192)</f>
        <v>5614643.6652500024</v>
      </c>
      <c r="F187" s="48">
        <f t="shared" ref="F187" si="145">+SUM(F188:F192)</f>
        <v>5808290.1373118758</v>
      </c>
      <c r="G187" s="48">
        <f t="shared" ref="G187" si="146">+SUM(G188:G192)</f>
        <v>6006293.6549951406</v>
      </c>
      <c r="H187" s="48">
        <f t="shared" ref="H187" si="147">+SUM(H188:H192)</f>
        <v>6208752.2518262798</v>
      </c>
      <c r="I187" s="48">
        <f t="shared" ref="I187" si="148">+SUM(I188:I192)</f>
        <v>6400760.1610619705</v>
      </c>
      <c r="J187" s="48">
        <f t="shared" ref="J187" si="149">+SUM(J188:J192)</f>
        <v>6596608.2284823861</v>
      </c>
      <c r="K187" s="48">
        <f t="shared" ref="K187" si="150">+SUM(K188:K192)</f>
        <v>6796373.2572512049</v>
      </c>
      <c r="L187" s="48">
        <f t="shared" ref="L187" si="151">+SUM(L188:L192)</f>
        <v>7000133.5865954002</v>
      </c>
      <c r="M187" s="48">
        <f t="shared" ref="M187" si="152">+SUM(M188:M192)</f>
        <v>7207969.1225264734</v>
      </c>
      <c r="N187" s="49">
        <f t="shared" ref="N187" si="153">+SUM(N188:N192)</f>
        <v>7388168.3505896349</v>
      </c>
    </row>
    <row r="188" spans="2:14" x14ac:dyDescent="0.2">
      <c r="B188" s="53" t="s">
        <v>68</v>
      </c>
      <c r="C188" s="35"/>
      <c r="D188" s="47">
        <f t="shared" ref="D188:E198" si="154">D62</f>
        <v>2987765</v>
      </c>
      <c r="E188" s="45">
        <f t="shared" si="154"/>
        <v>5614643.6652500024</v>
      </c>
      <c r="F188" s="45">
        <f t="shared" ref="F188:N188" si="155">F62</f>
        <v>5808290.1373118758</v>
      </c>
      <c r="G188" s="45">
        <f t="shared" si="155"/>
        <v>6006293.6549951406</v>
      </c>
      <c r="H188" s="45">
        <f t="shared" si="155"/>
        <v>6208752.2518262798</v>
      </c>
      <c r="I188" s="45">
        <f t="shared" si="155"/>
        <v>6400760.1610619705</v>
      </c>
      <c r="J188" s="45">
        <f t="shared" si="155"/>
        <v>6596608.2284823861</v>
      </c>
      <c r="K188" s="45">
        <f t="shared" si="155"/>
        <v>6796373.2572512049</v>
      </c>
      <c r="L188" s="45">
        <f t="shared" si="155"/>
        <v>7000133.5865954002</v>
      </c>
      <c r="M188" s="45">
        <f t="shared" si="155"/>
        <v>7207969.1225264734</v>
      </c>
      <c r="N188" s="46">
        <f t="shared" si="155"/>
        <v>7388168.3505896349</v>
      </c>
    </row>
    <row r="189" spans="2:14" x14ac:dyDescent="0.2">
      <c r="B189" s="53" t="s">
        <v>69</v>
      </c>
      <c r="C189" s="35"/>
      <c r="D189" s="47">
        <f t="shared" si="154"/>
        <v>0</v>
      </c>
      <c r="E189" s="45">
        <f t="shared" ref="E189:N189" si="156">E63</f>
        <v>0</v>
      </c>
      <c r="F189" s="45">
        <f t="shared" si="156"/>
        <v>0</v>
      </c>
      <c r="G189" s="45">
        <f t="shared" si="156"/>
        <v>0</v>
      </c>
      <c r="H189" s="45">
        <f t="shared" si="156"/>
        <v>0</v>
      </c>
      <c r="I189" s="45">
        <f t="shared" si="156"/>
        <v>0</v>
      </c>
      <c r="J189" s="45">
        <f t="shared" si="156"/>
        <v>0</v>
      </c>
      <c r="K189" s="45">
        <f t="shared" si="156"/>
        <v>0</v>
      </c>
      <c r="L189" s="45">
        <f t="shared" si="156"/>
        <v>0</v>
      </c>
      <c r="M189" s="45">
        <f t="shared" si="156"/>
        <v>0</v>
      </c>
      <c r="N189" s="46">
        <f t="shared" si="156"/>
        <v>0</v>
      </c>
    </row>
    <row r="190" spans="2:14" x14ac:dyDescent="0.2">
      <c r="B190" s="53" t="s">
        <v>70</v>
      </c>
      <c r="C190" s="35"/>
      <c r="D190" s="47">
        <f t="shared" si="154"/>
        <v>0</v>
      </c>
      <c r="E190" s="45">
        <f t="shared" ref="E190:N190" si="157">E64</f>
        <v>0</v>
      </c>
      <c r="F190" s="45">
        <f t="shared" si="157"/>
        <v>0</v>
      </c>
      <c r="G190" s="45">
        <f t="shared" si="157"/>
        <v>0</v>
      </c>
      <c r="H190" s="45">
        <f t="shared" si="157"/>
        <v>0</v>
      </c>
      <c r="I190" s="45">
        <f t="shared" si="157"/>
        <v>0</v>
      </c>
      <c r="J190" s="45">
        <f t="shared" si="157"/>
        <v>0</v>
      </c>
      <c r="K190" s="45">
        <f t="shared" si="157"/>
        <v>0</v>
      </c>
      <c r="L190" s="45">
        <f t="shared" si="157"/>
        <v>0</v>
      </c>
      <c r="M190" s="45">
        <f t="shared" si="157"/>
        <v>0</v>
      </c>
      <c r="N190" s="46">
        <f t="shared" si="157"/>
        <v>0</v>
      </c>
    </row>
    <row r="191" spans="2:14" x14ac:dyDescent="0.2">
      <c r="B191" s="53" t="s">
        <v>71</v>
      </c>
      <c r="C191" s="35"/>
      <c r="D191" s="47">
        <f t="shared" si="154"/>
        <v>0</v>
      </c>
      <c r="E191" s="45">
        <f t="shared" ref="E191:N191" si="158">E65</f>
        <v>0</v>
      </c>
      <c r="F191" s="45">
        <f t="shared" si="158"/>
        <v>0</v>
      </c>
      <c r="G191" s="45">
        <f t="shared" si="158"/>
        <v>0</v>
      </c>
      <c r="H191" s="45">
        <f t="shared" si="158"/>
        <v>0</v>
      </c>
      <c r="I191" s="45">
        <f t="shared" si="158"/>
        <v>0</v>
      </c>
      <c r="J191" s="45">
        <f t="shared" si="158"/>
        <v>0</v>
      </c>
      <c r="K191" s="45">
        <f t="shared" si="158"/>
        <v>0</v>
      </c>
      <c r="L191" s="45">
        <f t="shared" si="158"/>
        <v>0</v>
      </c>
      <c r="M191" s="45">
        <f t="shared" si="158"/>
        <v>0</v>
      </c>
      <c r="N191" s="46">
        <f t="shared" si="158"/>
        <v>0</v>
      </c>
    </row>
    <row r="192" spans="2:14" x14ac:dyDescent="0.2">
      <c r="B192" s="53" t="s">
        <v>72</v>
      </c>
      <c r="C192" s="35"/>
      <c r="D192" s="47">
        <f t="shared" si="154"/>
        <v>0</v>
      </c>
      <c r="E192" s="45">
        <f t="shared" ref="E192:N192" si="159">E66</f>
        <v>0</v>
      </c>
      <c r="F192" s="45">
        <f t="shared" si="159"/>
        <v>0</v>
      </c>
      <c r="G192" s="45">
        <f t="shared" si="159"/>
        <v>0</v>
      </c>
      <c r="H192" s="45">
        <f t="shared" si="159"/>
        <v>0</v>
      </c>
      <c r="I192" s="45">
        <f t="shared" si="159"/>
        <v>0</v>
      </c>
      <c r="J192" s="45">
        <f t="shared" si="159"/>
        <v>0</v>
      </c>
      <c r="K192" s="45">
        <f t="shared" si="159"/>
        <v>0</v>
      </c>
      <c r="L192" s="45">
        <f t="shared" si="159"/>
        <v>0</v>
      </c>
      <c r="M192" s="45">
        <f t="shared" si="159"/>
        <v>0</v>
      </c>
      <c r="N192" s="46">
        <f t="shared" si="159"/>
        <v>0</v>
      </c>
    </row>
    <row r="193" spans="2:14" x14ac:dyDescent="0.2">
      <c r="B193" s="53" t="s">
        <v>73</v>
      </c>
      <c r="C193" s="35"/>
      <c r="D193" s="47">
        <f t="shared" si="154"/>
        <v>5257167</v>
      </c>
      <c r="E193" s="45">
        <f t="shared" ref="E193:N193" si="160">E67</f>
        <v>4146345.7380360002</v>
      </c>
      <c r="F193" s="45">
        <f t="shared" si="160"/>
        <v>4436589.9396985201</v>
      </c>
      <c r="G193" s="45">
        <f t="shared" si="160"/>
        <v>4747151.2354774168</v>
      </c>
      <c r="H193" s="45">
        <f t="shared" si="160"/>
        <v>5079451.8219608366</v>
      </c>
      <c r="I193" s="45">
        <f t="shared" si="160"/>
        <v>5435013.4494980955</v>
      </c>
      <c r="J193" s="45">
        <f t="shared" si="160"/>
        <v>5815464.390962963</v>
      </c>
      <c r="K193" s="45">
        <f t="shared" si="160"/>
        <v>6222546.8983303709</v>
      </c>
      <c r="L193" s="45">
        <f t="shared" si="160"/>
        <v>6658125.1812134972</v>
      </c>
      <c r="M193" s="45">
        <f t="shared" si="160"/>
        <v>7124193.9438984422</v>
      </c>
      <c r="N193" s="46">
        <f t="shared" si="160"/>
        <v>7302298.7924959026</v>
      </c>
    </row>
    <row r="194" spans="2:14" x14ac:dyDescent="0.2">
      <c r="B194" s="53" t="s">
        <v>74</v>
      </c>
      <c r="C194" s="35"/>
      <c r="D194" s="47">
        <f t="shared" si="154"/>
        <v>0</v>
      </c>
      <c r="E194" s="45">
        <f t="shared" ref="E194:N194" si="161">E68</f>
        <v>0</v>
      </c>
      <c r="F194" s="45">
        <f t="shared" si="161"/>
        <v>0</v>
      </c>
      <c r="G194" s="45">
        <f t="shared" si="161"/>
        <v>0</v>
      </c>
      <c r="H194" s="45">
        <f t="shared" si="161"/>
        <v>0</v>
      </c>
      <c r="I194" s="45">
        <f t="shared" si="161"/>
        <v>0</v>
      </c>
      <c r="J194" s="45">
        <f t="shared" si="161"/>
        <v>0</v>
      </c>
      <c r="K194" s="45">
        <f t="shared" si="161"/>
        <v>0</v>
      </c>
      <c r="L194" s="45">
        <f t="shared" si="161"/>
        <v>0</v>
      </c>
      <c r="M194" s="45">
        <f t="shared" si="161"/>
        <v>0</v>
      </c>
      <c r="N194" s="46">
        <f t="shared" si="161"/>
        <v>0</v>
      </c>
    </row>
    <row r="195" spans="2:14" x14ac:dyDescent="0.2">
      <c r="B195" s="53" t="s">
        <v>75</v>
      </c>
      <c r="C195" s="35"/>
      <c r="D195" s="47">
        <f t="shared" si="154"/>
        <v>340653</v>
      </c>
      <c r="E195" s="45">
        <f t="shared" ref="E195:N195" si="162">E69</f>
        <v>330159</v>
      </c>
      <c r="F195" s="45">
        <f t="shared" si="162"/>
        <v>330159</v>
      </c>
      <c r="G195" s="45">
        <f t="shared" si="162"/>
        <v>330159</v>
      </c>
      <c r="H195" s="45">
        <f t="shared" si="162"/>
        <v>330159</v>
      </c>
      <c r="I195" s="45">
        <f t="shared" si="162"/>
        <v>330159</v>
      </c>
      <c r="J195" s="45">
        <f t="shared" si="162"/>
        <v>330159</v>
      </c>
      <c r="K195" s="45">
        <f t="shared" si="162"/>
        <v>330159</v>
      </c>
      <c r="L195" s="45">
        <f t="shared" si="162"/>
        <v>330159</v>
      </c>
      <c r="M195" s="45">
        <f t="shared" si="162"/>
        <v>330159</v>
      </c>
      <c r="N195" s="46">
        <f t="shared" si="162"/>
        <v>330159</v>
      </c>
    </row>
    <row r="196" spans="2:14" x14ac:dyDescent="0.2">
      <c r="B196" s="53" t="s">
        <v>76</v>
      </c>
      <c r="C196" s="35"/>
      <c r="D196" s="47">
        <f t="shared" si="154"/>
        <v>0</v>
      </c>
      <c r="E196" s="45">
        <f t="shared" ref="E196:N196" si="163">E70</f>
        <v>0</v>
      </c>
      <c r="F196" s="45">
        <f t="shared" si="163"/>
        <v>0</v>
      </c>
      <c r="G196" s="45">
        <f t="shared" si="163"/>
        <v>0</v>
      </c>
      <c r="H196" s="45">
        <f t="shared" si="163"/>
        <v>0</v>
      </c>
      <c r="I196" s="45">
        <f t="shared" si="163"/>
        <v>0</v>
      </c>
      <c r="J196" s="45">
        <f t="shared" si="163"/>
        <v>0</v>
      </c>
      <c r="K196" s="45">
        <f t="shared" si="163"/>
        <v>0</v>
      </c>
      <c r="L196" s="45">
        <f t="shared" si="163"/>
        <v>0</v>
      </c>
      <c r="M196" s="45">
        <f t="shared" si="163"/>
        <v>0</v>
      </c>
      <c r="N196" s="46">
        <f t="shared" si="163"/>
        <v>0</v>
      </c>
    </row>
    <row r="197" spans="2:14" x14ac:dyDescent="0.2">
      <c r="B197" s="53" t="s">
        <v>77</v>
      </c>
      <c r="C197" s="35"/>
      <c r="D197" s="47">
        <f t="shared" si="154"/>
        <v>0</v>
      </c>
      <c r="E197" s="45">
        <f t="shared" ref="E197:N197" si="164">E71</f>
        <v>0</v>
      </c>
      <c r="F197" s="45">
        <f t="shared" si="164"/>
        <v>0</v>
      </c>
      <c r="G197" s="45">
        <f t="shared" si="164"/>
        <v>0</v>
      </c>
      <c r="H197" s="45">
        <f t="shared" si="164"/>
        <v>0</v>
      </c>
      <c r="I197" s="45">
        <f t="shared" si="164"/>
        <v>0</v>
      </c>
      <c r="J197" s="45">
        <f t="shared" si="164"/>
        <v>0</v>
      </c>
      <c r="K197" s="45">
        <f t="shared" si="164"/>
        <v>0</v>
      </c>
      <c r="L197" s="45">
        <f t="shared" si="164"/>
        <v>0</v>
      </c>
      <c r="M197" s="45">
        <f t="shared" si="164"/>
        <v>0</v>
      </c>
      <c r="N197" s="46">
        <f t="shared" si="164"/>
        <v>0</v>
      </c>
    </row>
    <row r="198" spans="2:14" x14ac:dyDescent="0.2">
      <c r="B198" s="53" t="s">
        <v>78</v>
      </c>
      <c r="C198" s="35"/>
      <c r="D198" s="47">
        <f t="shared" si="154"/>
        <v>281000</v>
      </c>
      <c r="E198" s="45">
        <f t="shared" ref="E198:N198" si="165">E72</f>
        <v>281000</v>
      </c>
      <c r="F198" s="45">
        <f t="shared" si="165"/>
        <v>281000</v>
      </c>
      <c r="G198" s="45">
        <f t="shared" si="165"/>
        <v>281000</v>
      </c>
      <c r="H198" s="45">
        <f t="shared" si="165"/>
        <v>281000</v>
      </c>
      <c r="I198" s="45">
        <f t="shared" si="165"/>
        <v>281000</v>
      </c>
      <c r="J198" s="45">
        <f t="shared" si="165"/>
        <v>281000</v>
      </c>
      <c r="K198" s="45">
        <f t="shared" si="165"/>
        <v>281000</v>
      </c>
      <c r="L198" s="45">
        <f t="shared" si="165"/>
        <v>281000</v>
      </c>
      <c r="M198" s="45">
        <f t="shared" si="165"/>
        <v>281000</v>
      </c>
      <c r="N198" s="46">
        <f t="shared" si="165"/>
        <v>281000</v>
      </c>
    </row>
    <row r="199" spans="2:14" ht="15" x14ac:dyDescent="0.2">
      <c r="B199" s="55" t="s">
        <v>79</v>
      </c>
      <c r="C199" s="35"/>
      <c r="D199" s="57">
        <f>SUM(D193:D198,D187)</f>
        <v>8866585</v>
      </c>
      <c r="E199" s="48">
        <f t="shared" ref="E199" si="166">SUM(E193:E198,E187)</f>
        <v>10372148.403286003</v>
      </c>
      <c r="F199" s="48">
        <f t="shared" ref="F199" si="167">SUM(F193:F198,F187)</f>
        <v>10856039.077010397</v>
      </c>
      <c r="G199" s="48">
        <f t="shared" ref="G199" si="168">SUM(G193:G198,G187)</f>
        <v>11364603.890472557</v>
      </c>
      <c r="H199" s="48">
        <f t="shared" ref="H199" si="169">SUM(H193:H198,H187)</f>
        <v>11899363.073787116</v>
      </c>
      <c r="I199" s="48">
        <f t="shared" ref="I199" si="170">SUM(I193:I198,I187)</f>
        <v>12446932.610560067</v>
      </c>
      <c r="J199" s="48">
        <f t="shared" ref="J199" si="171">SUM(J193:J198,J187)</f>
        <v>13023231.61944535</v>
      </c>
      <c r="K199" s="48">
        <f t="shared" ref="K199" si="172">SUM(K193:K198,K187)</f>
        <v>13630079.155581575</v>
      </c>
      <c r="L199" s="48">
        <f t="shared" ref="L199" si="173">SUM(L193:L198,L187)</f>
        <v>14269417.767808897</v>
      </c>
      <c r="M199" s="48">
        <f t="shared" ref="M199" si="174">SUM(M193:M198,M187)</f>
        <v>14943322.066424916</v>
      </c>
      <c r="N199" s="49">
        <f t="shared" ref="N199" si="175">SUM(N193:N198,N187)</f>
        <v>15301626.143085537</v>
      </c>
    </row>
    <row r="200" spans="2:14" x14ac:dyDescent="0.2">
      <c r="B200" s="27"/>
      <c r="C200" s="31"/>
      <c r="D200" s="50"/>
      <c r="E200" s="50"/>
      <c r="F200" s="50"/>
      <c r="G200" s="50"/>
      <c r="H200" s="50"/>
      <c r="I200" s="50"/>
      <c r="J200" s="50"/>
      <c r="K200" s="50"/>
      <c r="L200" s="50"/>
      <c r="M200" s="50"/>
      <c r="N200" s="50"/>
    </row>
    <row r="201" spans="2:14" x14ac:dyDescent="0.2">
      <c r="B201" s="28" t="s">
        <v>163</v>
      </c>
      <c r="C201" s="31"/>
      <c r="D201" s="50"/>
      <c r="E201" s="50"/>
      <c r="F201" s="50"/>
      <c r="G201" s="50"/>
      <c r="H201" s="50"/>
      <c r="I201" s="50"/>
      <c r="J201" s="50"/>
      <c r="K201" s="50"/>
      <c r="L201" s="50"/>
      <c r="M201" s="50"/>
      <c r="N201" s="50"/>
    </row>
    <row r="202" spans="2:14" x14ac:dyDescent="0.2">
      <c r="B202" s="53" t="s">
        <v>73</v>
      </c>
      <c r="C202" s="35"/>
      <c r="D202" s="47">
        <f t="shared" ref="D202:E208" si="176">D76</f>
        <v>0</v>
      </c>
      <c r="E202" s="45">
        <f t="shared" si="176"/>
        <v>0</v>
      </c>
      <c r="F202" s="45">
        <f t="shared" ref="F202:N202" si="177">F76</f>
        <v>0</v>
      </c>
      <c r="G202" s="45">
        <f t="shared" si="177"/>
        <v>0</v>
      </c>
      <c r="H202" s="45">
        <f t="shared" si="177"/>
        <v>0</v>
      </c>
      <c r="I202" s="45">
        <f t="shared" si="177"/>
        <v>0</v>
      </c>
      <c r="J202" s="45">
        <f t="shared" si="177"/>
        <v>0</v>
      </c>
      <c r="K202" s="45">
        <f t="shared" si="177"/>
        <v>0</v>
      </c>
      <c r="L202" s="45">
        <f t="shared" si="177"/>
        <v>0</v>
      </c>
      <c r="M202" s="45">
        <f t="shared" si="177"/>
        <v>0</v>
      </c>
      <c r="N202" s="46">
        <f t="shared" si="177"/>
        <v>0</v>
      </c>
    </row>
    <row r="203" spans="2:14" x14ac:dyDescent="0.2">
      <c r="B203" s="53" t="s">
        <v>74</v>
      </c>
      <c r="C203" s="35"/>
      <c r="D203" s="47">
        <f t="shared" si="176"/>
        <v>0</v>
      </c>
      <c r="E203" s="45">
        <f t="shared" ref="E203:N203" si="178">E77</f>
        <v>0</v>
      </c>
      <c r="F203" s="45">
        <f t="shared" si="178"/>
        <v>0</v>
      </c>
      <c r="G203" s="45">
        <f t="shared" si="178"/>
        <v>0</v>
      </c>
      <c r="H203" s="45">
        <f t="shared" si="178"/>
        <v>0</v>
      </c>
      <c r="I203" s="45">
        <f t="shared" si="178"/>
        <v>0</v>
      </c>
      <c r="J203" s="45">
        <f t="shared" si="178"/>
        <v>0</v>
      </c>
      <c r="K203" s="45">
        <f t="shared" si="178"/>
        <v>0</v>
      </c>
      <c r="L203" s="45">
        <f t="shared" si="178"/>
        <v>0</v>
      </c>
      <c r="M203" s="45">
        <f t="shared" si="178"/>
        <v>0</v>
      </c>
      <c r="N203" s="46">
        <f t="shared" si="178"/>
        <v>0</v>
      </c>
    </row>
    <row r="204" spans="2:14" x14ac:dyDescent="0.2">
      <c r="B204" s="53" t="s">
        <v>80</v>
      </c>
      <c r="C204" s="35"/>
      <c r="D204" s="47">
        <f t="shared" si="176"/>
        <v>0</v>
      </c>
      <c r="E204" s="45">
        <f t="shared" ref="E204:N204" si="179">E78</f>
        <v>0</v>
      </c>
      <c r="F204" s="45">
        <f t="shared" si="179"/>
        <v>0</v>
      </c>
      <c r="G204" s="45">
        <f t="shared" si="179"/>
        <v>0</v>
      </c>
      <c r="H204" s="45">
        <f t="shared" si="179"/>
        <v>0</v>
      </c>
      <c r="I204" s="45">
        <f t="shared" si="179"/>
        <v>0</v>
      </c>
      <c r="J204" s="45">
        <f t="shared" si="179"/>
        <v>0</v>
      </c>
      <c r="K204" s="45">
        <f t="shared" si="179"/>
        <v>0</v>
      </c>
      <c r="L204" s="45">
        <f t="shared" si="179"/>
        <v>0</v>
      </c>
      <c r="M204" s="45">
        <f t="shared" si="179"/>
        <v>0</v>
      </c>
      <c r="N204" s="46">
        <f t="shared" si="179"/>
        <v>0</v>
      </c>
    </row>
    <row r="205" spans="2:14" x14ac:dyDescent="0.2">
      <c r="B205" s="53" t="s">
        <v>81</v>
      </c>
      <c r="C205" s="35"/>
      <c r="D205" s="47">
        <f t="shared" si="176"/>
        <v>379027089</v>
      </c>
      <c r="E205" s="45">
        <f t="shared" ref="E205:N205" si="180">E79</f>
        <v>384597025</v>
      </c>
      <c r="F205" s="45">
        <f t="shared" si="180"/>
        <v>384753606.51999998</v>
      </c>
      <c r="G205" s="45">
        <f t="shared" si="180"/>
        <v>383762626.6142</v>
      </c>
      <c r="H205" s="45">
        <f t="shared" si="180"/>
        <v>382752802.70840001</v>
      </c>
      <c r="I205" s="45">
        <f t="shared" si="180"/>
        <v>381691230.80260003</v>
      </c>
      <c r="J205" s="45">
        <f t="shared" si="180"/>
        <v>380694412.89680004</v>
      </c>
      <c r="K205" s="45">
        <f t="shared" si="180"/>
        <v>379554594.99100006</v>
      </c>
      <c r="L205" s="45">
        <f t="shared" si="180"/>
        <v>378566359.08520007</v>
      </c>
      <c r="M205" s="45">
        <f t="shared" si="180"/>
        <v>377930650.17940009</v>
      </c>
      <c r="N205" s="46">
        <f t="shared" si="180"/>
        <v>376961731.2736001</v>
      </c>
    </row>
    <row r="206" spans="2:14" x14ac:dyDescent="0.2">
      <c r="B206" s="53" t="s">
        <v>82</v>
      </c>
      <c r="C206" s="35"/>
      <c r="D206" s="47">
        <f t="shared" si="176"/>
        <v>19132</v>
      </c>
      <c r="E206" s="45">
        <f t="shared" ref="E206:N206" si="181">E80</f>
        <v>0</v>
      </c>
      <c r="F206" s="45">
        <f t="shared" si="181"/>
        <v>0</v>
      </c>
      <c r="G206" s="45">
        <f t="shared" si="181"/>
        <v>0</v>
      </c>
      <c r="H206" s="45">
        <f t="shared" si="181"/>
        <v>0</v>
      </c>
      <c r="I206" s="45">
        <f t="shared" si="181"/>
        <v>0</v>
      </c>
      <c r="J206" s="45">
        <f t="shared" si="181"/>
        <v>0</v>
      </c>
      <c r="K206" s="45">
        <f t="shared" si="181"/>
        <v>0</v>
      </c>
      <c r="L206" s="45">
        <f t="shared" si="181"/>
        <v>0</v>
      </c>
      <c r="M206" s="45">
        <f t="shared" si="181"/>
        <v>0</v>
      </c>
      <c r="N206" s="46">
        <f t="shared" si="181"/>
        <v>0</v>
      </c>
    </row>
    <row r="207" spans="2:14" x14ac:dyDescent="0.2">
      <c r="B207" s="53" t="s">
        <v>83</v>
      </c>
      <c r="C207" s="35"/>
      <c r="D207" s="47">
        <f t="shared" si="176"/>
        <v>0</v>
      </c>
      <c r="E207" s="45">
        <f t="shared" ref="E207:N207" si="182">E81</f>
        <v>0</v>
      </c>
      <c r="F207" s="45">
        <f t="shared" si="182"/>
        <v>0</v>
      </c>
      <c r="G207" s="45">
        <f t="shared" si="182"/>
        <v>0</v>
      </c>
      <c r="H207" s="45">
        <f t="shared" si="182"/>
        <v>0</v>
      </c>
      <c r="I207" s="45">
        <f t="shared" si="182"/>
        <v>0</v>
      </c>
      <c r="J207" s="45">
        <f t="shared" si="182"/>
        <v>0</v>
      </c>
      <c r="K207" s="45">
        <f t="shared" si="182"/>
        <v>0</v>
      </c>
      <c r="L207" s="45">
        <f t="shared" si="182"/>
        <v>0</v>
      </c>
      <c r="M207" s="45">
        <f t="shared" si="182"/>
        <v>0</v>
      </c>
      <c r="N207" s="46">
        <f t="shared" si="182"/>
        <v>0</v>
      </c>
    </row>
    <row r="208" spans="2:14" x14ac:dyDescent="0.2">
      <c r="B208" s="53" t="s">
        <v>84</v>
      </c>
      <c r="C208" s="35"/>
      <c r="D208" s="47">
        <f t="shared" si="176"/>
        <v>0</v>
      </c>
      <c r="E208" s="45">
        <f t="shared" ref="E208:N208" si="183">E82</f>
        <v>0</v>
      </c>
      <c r="F208" s="45">
        <f t="shared" si="183"/>
        <v>0</v>
      </c>
      <c r="G208" s="45">
        <f t="shared" si="183"/>
        <v>0</v>
      </c>
      <c r="H208" s="45">
        <f t="shared" si="183"/>
        <v>0</v>
      </c>
      <c r="I208" s="45">
        <f t="shared" si="183"/>
        <v>0</v>
      </c>
      <c r="J208" s="45">
        <f t="shared" si="183"/>
        <v>0</v>
      </c>
      <c r="K208" s="45">
        <f t="shared" si="183"/>
        <v>0</v>
      </c>
      <c r="L208" s="45">
        <f t="shared" si="183"/>
        <v>0</v>
      </c>
      <c r="M208" s="45">
        <f t="shared" si="183"/>
        <v>0</v>
      </c>
      <c r="N208" s="46">
        <f t="shared" si="183"/>
        <v>0</v>
      </c>
    </row>
    <row r="209" spans="2:14" ht="15" x14ac:dyDescent="0.2">
      <c r="B209" s="55" t="s">
        <v>85</v>
      </c>
      <c r="C209" s="35"/>
      <c r="D209" s="57">
        <f>SUM(D202:D208)</f>
        <v>379046221</v>
      </c>
      <c r="E209" s="58">
        <f t="shared" ref="E209" si="184">SUM(E202:E208)</f>
        <v>384597025</v>
      </c>
      <c r="F209" s="58">
        <f t="shared" ref="F209" si="185">SUM(F202:F208)</f>
        <v>384753606.51999998</v>
      </c>
      <c r="G209" s="58">
        <f t="shared" ref="G209" si="186">SUM(G202:G208)</f>
        <v>383762626.6142</v>
      </c>
      <c r="H209" s="58">
        <f t="shared" ref="H209" si="187">SUM(H202:H208)</f>
        <v>382752802.70840001</v>
      </c>
      <c r="I209" s="58">
        <f t="shared" ref="I209" si="188">SUM(I202:I208)</f>
        <v>381691230.80260003</v>
      </c>
      <c r="J209" s="58">
        <f t="shared" ref="J209" si="189">SUM(J202:J208)</f>
        <v>380694412.89680004</v>
      </c>
      <c r="K209" s="58">
        <f t="shared" ref="K209" si="190">SUM(K202:K208)</f>
        <v>379554594.99100006</v>
      </c>
      <c r="L209" s="58">
        <f t="shared" ref="L209" si="191">SUM(L202:L208)</f>
        <v>378566359.08520007</v>
      </c>
      <c r="M209" s="58">
        <f t="shared" ref="M209" si="192">SUM(M202:M208)</f>
        <v>377930650.17940009</v>
      </c>
      <c r="N209" s="59">
        <f t="shared" ref="N209" si="193">SUM(N202:N208)</f>
        <v>376961731.2736001</v>
      </c>
    </row>
    <row r="210" spans="2:14" ht="15" x14ac:dyDescent="0.2">
      <c r="B210" s="55" t="s">
        <v>86</v>
      </c>
      <c r="C210" s="35"/>
      <c r="D210" s="57">
        <f>+SUM(D209,D199)</f>
        <v>387912806</v>
      </c>
      <c r="E210" s="58">
        <f t="shared" ref="E210" si="194">+SUM(E209,E199)</f>
        <v>394969173.40328598</v>
      </c>
      <c r="F210" s="58">
        <f t="shared" ref="F210" si="195">+SUM(F209,F199)</f>
        <v>395609645.59701037</v>
      </c>
      <c r="G210" s="58">
        <f t="shared" ref="G210" si="196">+SUM(G209,G199)</f>
        <v>395127230.50467253</v>
      </c>
      <c r="H210" s="58">
        <f t="shared" ref="H210" si="197">+SUM(H209,H199)</f>
        <v>394652165.7821871</v>
      </c>
      <c r="I210" s="58">
        <f t="shared" ref="I210" si="198">+SUM(I209,I199)</f>
        <v>394138163.41316009</v>
      </c>
      <c r="J210" s="58">
        <f t="shared" ref="J210" si="199">+SUM(J209,J199)</f>
        <v>393717644.51624537</v>
      </c>
      <c r="K210" s="58">
        <f t="shared" ref="K210" si="200">+SUM(K209,K199)</f>
        <v>393184674.14658165</v>
      </c>
      <c r="L210" s="58">
        <f t="shared" ref="L210" si="201">+SUM(L209,L199)</f>
        <v>392835776.85300899</v>
      </c>
      <c r="M210" s="58">
        <f t="shared" ref="M210" si="202">+SUM(M209,M199)</f>
        <v>392873972.24582499</v>
      </c>
      <c r="N210" s="59">
        <f t="shared" ref="N210" si="203">+SUM(N209,N199)</f>
        <v>392263357.41668564</v>
      </c>
    </row>
    <row r="211" spans="2:14" x14ac:dyDescent="0.2">
      <c r="B211" s="27"/>
      <c r="C211" s="31"/>
      <c r="D211" s="50"/>
      <c r="E211" s="50"/>
      <c r="F211" s="50"/>
      <c r="G211" s="50"/>
      <c r="H211" s="50"/>
      <c r="I211" s="50"/>
      <c r="J211" s="50"/>
      <c r="K211" s="50"/>
      <c r="L211" s="50"/>
      <c r="M211" s="50"/>
      <c r="N211" s="51"/>
    </row>
    <row r="212" spans="2:14" x14ac:dyDescent="0.2">
      <c r="B212" s="28" t="s">
        <v>87</v>
      </c>
      <c r="C212" s="37"/>
      <c r="D212" s="50"/>
      <c r="E212" s="50"/>
      <c r="F212" s="50"/>
      <c r="G212" s="50"/>
      <c r="H212" s="50"/>
      <c r="I212" s="50"/>
      <c r="J212" s="50"/>
      <c r="K212" s="50"/>
      <c r="L212" s="50"/>
      <c r="M212" s="50"/>
      <c r="N212" s="51"/>
    </row>
    <row r="213" spans="2:14" x14ac:dyDescent="0.2">
      <c r="B213" s="53" t="s">
        <v>88</v>
      </c>
      <c r="C213" s="31"/>
      <c r="D213" s="47">
        <f t="shared" ref="D213:E218" si="204">D87</f>
        <v>4901898</v>
      </c>
      <c r="E213" s="45">
        <f t="shared" si="204"/>
        <v>3931782.6998569774</v>
      </c>
      <c r="F213" s="45">
        <f t="shared" ref="F213:N213" si="205">F87</f>
        <v>4013956.9582839878</v>
      </c>
      <c r="G213" s="45">
        <f t="shared" si="205"/>
        <v>4097848.6587121231</v>
      </c>
      <c r="H213" s="45">
        <f t="shared" si="205"/>
        <v>4183493.6956792059</v>
      </c>
      <c r="I213" s="45">
        <f t="shared" si="205"/>
        <v>4270928.713918901</v>
      </c>
      <c r="J213" s="45">
        <f t="shared" si="205"/>
        <v>4360191.1240398055</v>
      </c>
      <c r="K213" s="45">
        <f t="shared" si="205"/>
        <v>4451319.1185322367</v>
      </c>
      <c r="L213" s="45">
        <f t="shared" si="205"/>
        <v>4544351.6881095599</v>
      </c>
      <c r="M213" s="45">
        <f t="shared" si="205"/>
        <v>4639328.6383910496</v>
      </c>
      <c r="N213" s="46">
        <f t="shared" si="205"/>
        <v>4755311.8543508258</v>
      </c>
    </row>
    <row r="214" spans="2:14" x14ac:dyDescent="0.2">
      <c r="B214" s="53" t="s">
        <v>89</v>
      </c>
      <c r="C214" s="31"/>
      <c r="D214" s="47">
        <f t="shared" si="204"/>
        <v>247431</v>
      </c>
      <c r="E214" s="45">
        <f t="shared" ref="E214:N214" si="206">E88</f>
        <v>160875</v>
      </c>
      <c r="F214" s="45">
        <f t="shared" si="206"/>
        <v>160875</v>
      </c>
      <c r="G214" s="45">
        <f t="shared" si="206"/>
        <v>160875</v>
      </c>
      <c r="H214" s="45">
        <f t="shared" si="206"/>
        <v>160875</v>
      </c>
      <c r="I214" s="45">
        <f t="shared" si="206"/>
        <v>160875</v>
      </c>
      <c r="J214" s="45">
        <f t="shared" si="206"/>
        <v>160875</v>
      </c>
      <c r="K214" s="45">
        <f t="shared" si="206"/>
        <v>160875</v>
      </c>
      <c r="L214" s="45">
        <f t="shared" si="206"/>
        <v>160875</v>
      </c>
      <c r="M214" s="45">
        <f t="shared" si="206"/>
        <v>160875</v>
      </c>
      <c r="N214" s="46">
        <f t="shared" si="206"/>
        <v>160875</v>
      </c>
    </row>
    <row r="215" spans="2:14" x14ac:dyDescent="0.2">
      <c r="B215" s="53" t="s">
        <v>90</v>
      </c>
      <c r="C215" s="31"/>
      <c r="D215" s="47">
        <f t="shared" si="204"/>
        <v>0</v>
      </c>
      <c r="E215" s="45">
        <f t="shared" ref="E215:N215" si="207">E89</f>
        <v>0</v>
      </c>
      <c r="F215" s="45">
        <f t="shared" si="207"/>
        <v>0</v>
      </c>
      <c r="G215" s="45">
        <f t="shared" si="207"/>
        <v>0</v>
      </c>
      <c r="H215" s="45">
        <f t="shared" si="207"/>
        <v>0</v>
      </c>
      <c r="I215" s="45">
        <f t="shared" si="207"/>
        <v>0</v>
      </c>
      <c r="J215" s="45">
        <f t="shared" si="207"/>
        <v>0</v>
      </c>
      <c r="K215" s="45">
        <f t="shared" si="207"/>
        <v>0</v>
      </c>
      <c r="L215" s="45">
        <f t="shared" si="207"/>
        <v>0</v>
      </c>
      <c r="M215" s="45">
        <f t="shared" si="207"/>
        <v>0</v>
      </c>
      <c r="N215" s="46">
        <f t="shared" si="207"/>
        <v>0</v>
      </c>
    </row>
    <row r="216" spans="2:14" x14ac:dyDescent="0.2">
      <c r="B216" s="53" t="s">
        <v>91</v>
      </c>
      <c r="C216" s="31"/>
      <c r="D216" s="47">
        <f t="shared" si="204"/>
        <v>3498280</v>
      </c>
      <c r="E216" s="45">
        <f t="shared" ref="E216:N216" si="208">E90</f>
        <v>3350250.6063170307</v>
      </c>
      <c r="F216" s="45">
        <f t="shared" si="208"/>
        <v>3562321.4696968985</v>
      </c>
      <c r="G216" s="45">
        <f t="shared" si="208"/>
        <v>3787816.418728712</v>
      </c>
      <c r="H216" s="45">
        <f t="shared" si="208"/>
        <v>3989707.033846952</v>
      </c>
      <c r="I216" s="45">
        <f t="shared" si="208"/>
        <v>4202358.4187509939</v>
      </c>
      <c r="J216" s="45">
        <f t="shared" si="208"/>
        <v>4426344.1224704217</v>
      </c>
      <c r="K216" s="45">
        <f t="shared" si="208"/>
        <v>4662268.2641980946</v>
      </c>
      <c r="L216" s="45">
        <f t="shared" si="208"/>
        <v>4910767.1626798529</v>
      </c>
      <c r="M216" s="45">
        <f t="shared" si="208"/>
        <v>5172511.0524506886</v>
      </c>
      <c r="N216" s="46">
        <f t="shared" si="208"/>
        <v>5301823.8287619557</v>
      </c>
    </row>
    <row r="217" spans="2:14" x14ac:dyDescent="0.2">
      <c r="B217" s="53" t="s">
        <v>92</v>
      </c>
      <c r="C217" s="31"/>
      <c r="D217" s="47">
        <f t="shared" si="204"/>
        <v>311501</v>
      </c>
      <c r="E217" s="45">
        <f t="shared" ref="E217:N217" si="209">E91</f>
        <v>256327.22</v>
      </c>
      <c r="F217" s="45">
        <f t="shared" si="209"/>
        <v>271161.47499999998</v>
      </c>
      <c r="G217" s="45">
        <f t="shared" si="209"/>
        <v>286893.67</v>
      </c>
      <c r="H217" s="45">
        <f t="shared" si="209"/>
        <v>303578.5</v>
      </c>
      <c r="I217" s="45">
        <f t="shared" si="209"/>
        <v>321276.28000000003</v>
      </c>
      <c r="J217" s="45">
        <f t="shared" si="209"/>
        <v>340050.54000000004</v>
      </c>
      <c r="K217" s="45">
        <f t="shared" si="209"/>
        <v>234417.15000000002</v>
      </c>
      <c r="L217" s="45">
        <f t="shared" si="209"/>
        <v>227418.32</v>
      </c>
      <c r="M217" s="45">
        <f t="shared" si="209"/>
        <v>110459.38</v>
      </c>
      <c r="N217" s="46">
        <f t="shared" si="209"/>
        <v>0</v>
      </c>
    </row>
    <row r="218" spans="2:14" x14ac:dyDescent="0.2">
      <c r="B218" s="53" t="s">
        <v>93</v>
      </c>
      <c r="C218" s="31"/>
      <c r="D218" s="47">
        <f t="shared" si="204"/>
        <v>1779</v>
      </c>
      <c r="E218" s="45">
        <f t="shared" ref="E218:N218" si="210">E92</f>
        <v>1336</v>
      </c>
      <c r="F218" s="45">
        <f t="shared" si="210"/>
        <v>0</v>
      </c>
      <c r="G218" s="45">
        <f t="shared" si="210"/>
        <v>0</v>
      </c>
      <c r="H218" s="45">
        <f t="shared" si="210"/>
        <v>0</v>
      </c>
      <c r="I218" s="45">
        <f t="shared" si="210"/>
        <v>0</v>
      </c>
      <c r="J218" s="45">
        <f t="shared" si="210"/>
        <v>0</v>
      </c>
      <c r="K218" s="45">
        <f t="shared" si="210"/>
        <v>0</v>
      </c>
      <c r="L218" s="45">
        <f t="shared" si="210"/>
        <v>0</v>
      </c>
      <c r="M218" s="45">
        <f t="shared" si="210"/>
        <v>0</v>
      </c>
      <c r="N218" s="46">
        <f t="shared" si="210"/>
        <v>0</v>
      </c>
    </row>
    <row r="219" spans="2:14" ht="15" x14ac:dyDescent="0.2">
      <c r="B219" s="55" t="s">
        <v>94</v>
      </c>
      <c r="C219" s="35"/>
      <c r="D219" s="57">
        <f>+SUM(D213:D218)</f>
        <v>8960889</v>
      </c>
      <c r="E219" s="58">
        <f t="shared" ref="E219" si="211">+SUM(E213:E218)</f>
        <v>7700571.5261740079</v>
      </c>
      <c r="F219" s="58">
        <f t="shared" ref="F219" si="212">+SUM(F213:F218)</f>
        <v>8008314.9029808864</v>
      </c>
      <c r="G219" s="58">
        <f t="shared" ref="G219" si="213">+SUM(G213:G218)</f>
        <v>8333433.7474408345</v>
      </c>
      <c r="H219" s="58">
        <f t="shared" ref="H219" si="214">+SUM(H213:H218)</f>
        <v>8637654.2295261584</v>
      </c>
      <c r="I219" s="58">
        <f t="shared" ref="I219" si="215">+SUM(I213:I218)</f>
        <v>8955438.4126698952</v>
      </c>
      <c r="J219" s="58">
        <f t="shared" ref="J219" si="216">+SUM(J213:J218)</f>
        <v>9287460.7865102254</v>
      </c>
      <c r="K219" s="58">
        <f t="shared" ref="K219" si="217">+SUM(K213:K218)</f>
        <v>9508879.5327303316</v>
      </c>
      <c r="L219" s="58">
        <f t="shared" ref="L219" si="218">+SUM(L213:L218)</f>
        <v>9843412.1707894132</v>
      </c>
      <c r="M219" s="58">
        <f t="shared" ref="M219" si="219">+SUM(M213:M218)</f>
        <v>10083174.070841739</v>
      </c>
      <c r="N219" s="59">
        <f t="shared" ref="N219" si="220">+SUM(N213:N218)</f>
        <v>10218010.683112781</v>
      </c>
    </row>
    <row r="220" spans="2:14" x14ac:dyDescent="0.2">
      <c r="B220" s="27"/>
      <c r="C220" s="31"/>
      <c r="D220" s="50"/>
      <c r="E220" s="50"/>
      <c r="F220" s="50"/>
      <c r="G220" s="50"/>
      <c r="H220" s="50"/>
      <c r="I220" s="50"/>
      <c r="J220" s="50"/>
      <c r="K220" s="50"/>
      <c r="L220" s="50"/>
      <c r="M220" s="50"/>
      <c r="N220" s="51"/>
    </row>
    <row r="221" spans="2:14" x14ac:dyDescent="0.2">
      <c r="B221" s="28" t="s">
        <v>95</v>
      </c>
      <c r="C221" s="31"/>
      <c r="D221" s="50"/>
      <c r="E221" s="50"/>
      <c r="F221" s="50"/>
      <c r="G221" s="50"/>
      <c r="H221" s="50"/>
      <c r="I221" s="50"/>
      <c r="J221" s="50"/>
      <c r="K221" s="50"/>
      <c r="L221" s="50"/>
      <c r="M221" s="50"/>
      <c r="N221" s="51"/>
    </row>
    <row r="222" spans="2:14" x14ac:dyDescent="0.2">
      <c r="B222" s="53" t="s">
        <v>88</v>
      </c>
      <c r="C222" s="31"/>
      <c r="D222" s="47">
        <f t="shared" ref="D222:E225" si="221">D96</f>
        <v>321269</v>
      </c>
      <c r="E222" s="45">
        <f t="shared" si="221"/>
        <v>321269</v>
      </c>
      <c r="F222" s="45">
        <f t="shared" ref="F222:N222" si="222">F96</f>
        <v>321269</v>
      </c>
      <c r="G222" s="45">
        <f t="shared" si="222"/>
        <v>321269</v>
      </c>
      <c r="H222" s="45">
        <f t="shared" si="222"/>
        <v>321269</v>
      </c>
      <c r="I222" s="45">
        <f t="shared" si="222"/>
        <v>321269</v>
      </c>
      <c r="J222" s="45">
        <f t="shared" si="222"/>
        <v>321269</v>
      </c>
      <c r="K222" s="45">
        <f t="shared" si="222"/>
        <v>321269</v>
      </c>
      <c r="L222" s="45">
        <f t="shared" si="222"/>
        <v>321269</v>
      </c>
      <c r="M222" s="45">
        <f t="shared" si="222"/>
        <v>321269</v>
      </c>
      <c r="N222" s="46">
        <f t="shared" si="222"/>
        <v>321269</v>
      </c>
    </row>
    <row r="223" spans="2:14" x14ac:dyDescent="0.2">
      <c r="B223" s="53" t="s">
        <v>91</v>
      </c>
      <c r="C223" s="31"/>
      <c r="D223" s="47">
        <f t="shared" si="221"/>
        <v>4850344</v>
      </c>
      <c r="E223" s="45">
        <f t="shared" ref="E223:N223" si="223">E97</f>
        <v>5118688.9713667417</v>
      </c>
      <c r="F223" s="45">
        <f t="shared" si="223"/>
        <v>5255869.83579937</v>
      </c>
      <c r="G223" s="45">
        <f t="shared" si="223"/>
        <v>5396727.1473987931</v>
      </c>
      <c r="H223" s="45">
        <f t="shared" si="223"/>
        <v>5541359.4349490805</v>
      </c>
      <c r="I223" s="45">
        <f t="shared" si="223"/>
        <v>5689867.8678057157</v>
      </c>
      <c r="J223" s="45">
        <f t="shared" si="223"/>
        <v>5842356.3266629083</v>
      </c>
      <c r="K223" s="45">
        <f t="shared" si="223"/>
        <v>5998931.4762174739</v>
      </c>
      <c r="L223" s="45">
        <f t="shared" si="223"/>
        <v>6159702.8397801016</v>
      </c>
      <c r="M223" s="45">
        <f t="shared" si="223"/>
        <v>6324782.8758862074</v>
      </c>
      <c r="N223" s="46">
        <f t="shared" si="223"/>
        <v>6482902.4477833621</v>
      </c>
    </row>
    <row r="224" spans="2:14" x14ac:dyDescent="0.2">
      <c r="B224" s="53" t="s">
        <v>92</v>
      </c>
      <c r="C224" s="31"/>
      <c r="D224" s="47">
        <f t="shared" si="221"/>
        <v>1667651</v>
      </c>
      <c r="E224" s="45">
        <f t="shared" ref="E224:N224" si="224">E98</f>
        <v>2220110.4099999997</v>
      </c>
      <c r="F224" s="45">
        <f t="shared" si="224"/>
        <v>1948948.9350000001</v>
      </c>
      <c r="G224" s="45">
        <f t="shared" si="224"/>
        <v>1662055.2650000001</v>
      </c>
      <c r="H224" s="45">
        <f t="shared" si="224"/>
        <v>1358476.7649999999</v>
      </c>
      <c r="I224" s="45">
        <f t="shared" si="224"/>
        <v>1037200.4849999996</v>
      </c>
      <c r="J224" s="45">
        <f t="shared" si="224"/>
        <v>697149.94499999972</v>
      </c>
      <c r="K224" s="45">
        <f t="shared" si="224"/>
        <v>462732.79499999969</v>
      </c>
      <c r="L224" s="45">
        <f t="shared" si="224"/>
        <v>235314.0699999996</v>
      </c>
      <c r="M224" s="45">
        <f t="shared" si="224"/>
        <v>124854.68999999959</v>
      </c>
      <c r="N224" s="46">
        <f t="shared" si="224"/>
        <v>0</v>
      </c>
    </row>
    <row r="225" spans="2:14" x14ac:dyDescent="0.2">
      <c r="B225" s="53" t="s">
        <v>93</v>
      </c>
      <c r="C225" s="31"/>
      <c r="D225" s="47">
        <f t="shared" si="221"/>
        <v>1779</v>
      </c>
      <c r="E225" s="45">
        <f t="shared" ref="E225:N225" si="225">E99</f>
        <v>0</v>
      </c>
      <c r="F225" s="45">
        <f t="shared" si="225"/>
        <v>0</v>
      </c>
      <c r="G225" s="45">
        <f t="shared" si="225"/>
        <v>0</v>
      </c>
      <c r="H225" s="45">
        <f t="shared" si="225"/>
        <v>0</v>
      </c>
      <c r="I225" s="45">
        <f t="shared" si="225"/>
        <v>0</v>
      </c>
      <c r="J225" s="45">
        <f t="shared" si="225"/>
        <v>0</v>
      </c>
      <c r="K225" s="45">
        <f t="shared" si="225"/>
        <v>0</v>
      </c>
      <c r="L225" s="45">
        <f t="shared" si="225"/>
        <v>0</v>
      </c>
      <c r="M225" s="45">
        <f t="shared" si="225"/>
        <v>0</v>
      </c>
      <c r="N225" s="46">
        <f t="shared" si="225"/>
        <v>0</v>
      </c>
    </row>
    <row r="226" spans="2:14" ht="15" x14ac:dyDescent="0.2">
      <c r="B226" s="55" t="s">
        <v>96</v>
      </c>
      <c r="C226" s="35"/>
      <c r="D226" s="57">
        <f>+SUM(D222:D225)</f>
        <v>6841043</v>
      </c>
      <c r="E226" s="58">
        <f t="shared" ref="E226" si="226">+SUM(E222:E225)</f>
        <v>7660068.3813667409</v>
      </c>
      <c r="F226" s="58">
        <f t="shared" ref="F226" si="227">+SUM(F222:F225)</f>
        <v>7526087.7707993705</v>
      </c>
      <c r="G226" s="58">
        <f t="shared" ref="G226" si="228">+SUM(G222:G225)</f>
        <v>7380051.4123987928</v>
      </c>
      <c r="H226" s="58">
        <f t="shared" ref="H226" si="229">+SUM(H222:H225)</f>
        <v>7221105.1999490801</v>
      </c>
      <c r="I226" s="58">
        <f t="shared" ref="I226" si="230">+SUM(I222:I225)</f>
        <v>7048337.3528057151</v>
      </c>
      <c r="J226" s="58">
        <f t="shared" ref="J226" si="231">+SUM(J222:J225)</f>
        <v>6860775.2716629077</v>
      </c>
      <c r="K226" s="58">
        <f t="shared" ref="K226" si="232">+SUM(K222:K225)</f>
        <v>6782933.2712174738</v>
      </c>
      <c r="L226" s="58">
        <f t="shared" ref="L226" si="233">+SUM(L222:L225)</f>
        <v>6716285.9097801009</v>
      </c>
      <c r="M226" s="58">
        <f t="shared" ref="M226" si="234">+SUM(M222:M225)</f>
        <v>6770906.5658862069</v>
      </c>
      <c r="N226" s="59">
        <f t="shared" ref="N226" si="235">+SUM(N222:N225)</f>
        <v>6804171.4477833621</v>
      </c>
    </row>
    <row r="227" spans="2:14" ht="15" x14ac:dyDescent="0.2">
      <c r="B227" s="55" t="s">
        <v>97</v>
      </c>
      <c r="C227" s="35"/>
      <c r="D227" s="57">
        <f>+SUM(D226,D219)</f>
        <v>15801932</v>
      </c>
      <c r="E227" s="58">
        <f t="shared" ref="E227" si="236">+SUM(E226,E219)</f>
        <v>15360639.90754075</v>
      </c>
      <c r="F227" s="58">
        <f t="shared" ref="F227" si="237">+SUM(F226,F219)</f>
        <v>15534402.673780257</v>
      </c>
      <c r="G227" s="58">
        <f t="shared" ref="G227" si="238">+SUM(G226,G219)</f>
        <v>15713485.159839626</v>
      </c>
      <c r="H227" s="58">
        <f t="shared" ref="H227" si="239">+SUM(H226,H219)</f>
        <v>15858759.429475239</v>
      </c>
      <c r="I227" s="58">
        <f t="shared" ref="I227" si="240">+SUM(I226,I219)</f>
        <v>16003775.76547561</v>
      </c>
      <c r="J227" s="58">
        <f t="shared" ref="J227" si="241">+SUM(J226,J219)</f>
        <v>16148236.058173133</v>
      </c>
      <c r="K227" s="58">
        <f t="shared" ref="K227" si="242">+SUM(K226,K219)</f>
        <v>16291812.803947806</v>
      </c>
      <c r="L227" s="58">
        <f t="shared" ref="L227" si="243">+SUM(L226,L219)</f>
        <v>16559698.080569513</v>
      </c>
      <c r="M227" s="58">
        <f t="shared" ref="M227" si="244">+SUM(M226,M219)</f>
        <v>16854080.636727944</v>
      </c>
      <c r="N227" s="59">
        <f t="shared" ref="N227" si="245">+SUM(N226,N219)</f>
        <v>17022182.130896144</v>
      </c>
    </row>
    <row r="228" spans="2:14" x14ac:dyDescent="0.2">
      <c r="B228" s="27"/>
      <c r="C228" s="31"/>
      <c r="D228" s="50"/>
      <c r="E228" s="50"/>
      <c r="F228" s="50"/>
      <c r="G228" s="50"/>
      <c r="H228" s="50"/>
      <c r="I228" s="50"/>
      <c r="J228" s="50"/>
      <c r="K228" s="50"/>
      <c r="L228" s="50"/>
      <c r="M228" s="50"/>
      <c r="N228" s="51"/>
    </row>
    <row r="229" spans="2:14" ht="15" x14ac:dyDescent="0.2">
      <c r="B229" s="55" t="s">
        <v>98</v>
      </c>
      <c r="C229" s="35"/>
      <c r="D229" s="57">
        <f t="shared" ref="D229:N229" si="246">+D210-D227</f>
        <v>372110874</v>
      </c>
      <c r="E229" s="58">
        <f t="shared" si="246"/>
        <v>379608533.49574524</v>
      </c>
      <c r="F229" s="58">
        <f t="shared" si="246"/>
        <v>380075242.92323011</v>
      </c>
      <c r="G229" s="58">
        <f t="shared" si="246"/>
        <v>379413745.3448329</v>
      </c>
      <c r="H229" s="58">
        <f t="shared" si="246"/>
        <v>378793406.35271186</v>
      </c>
      <c r="I229" s="58">
        <f t="shared" si="246"/>
        <v>378134387.64768445</v>
      </c>
      <c r="J229" s="58">
        <f t="shared" si="246"/>
        <v>377569408.45807225</v>
      </c>
      <c r="K229" s="58">
        <f t="shared" si="246"/>
        <v>376892861.34263384</v>
      </c>
      <c r="L229" s="58">
        <f t="shared" si="246"/>
        <v>376276078.77243948</v>
      </c>
      <c r="M229" s="58">
        <f t="shared" si="246"/>
        <v>376019891.60909706</v>
      </c>
      <c r="N229" s="59">
        <f t="shared" si="246"/>
        <v>375241175.28578949</v>
      </c>
    </row>
    <row r="230" spans="2:14" x14ac:dyDescent="0.2">
      <c r="B230" s="27"/>
      <c r="C230" s="31"/>
      <c r="D230" s="50"/>
      <c r="E230" s="50"/>
      <c r="F230" s="50"/>
      <c r="G230" s="50"/>
      <c r="H230" s="50"/>
      <c r="I230" s="50"/>
      <c r="J230" s="50"/>
      <c r="K230" s="50"/>
      <c r="L230" s="50"/>
      <c r="M230" s="50"/>
      <c r="N230" s="51"/>
    </row>
    <row r="231" spans="2:14" x14ac:dyDescent="0.2">
      <c r="B231" s="28" t="s">
        <v>99</v>
      </c>
      <c r="C231" s="37"/>
      <c r="D231" s="50"/>
      <c r="E231" s="50"/>
      <c r="F231" s="50"/>
      <c r="G231" s="50"/>
      <c r="H231" s="50"/>
      <c r="I231" s="50"/>
      <c r="J231" s="50"/>
      <c r="K231" s="50"/>
      <c r="L231" s="50"/>
      <c r="M231" s="50"/>
      <c r="N231" s="51"/>
    </row>
    <row r="232" spans="2:14" x14ac:dyDescent="0.2">
      <c r="B232" s="53" t="s">
        <v>100</v>
      </c>
      <c r="C232" s="31"/>
      <c r="D232" s="47">
        <f t="shared" ref="D232:N234" si="247">D106</f>
        <v>153887303</v>
      </c>
      <c r="E232" s="45">
        <f t="shared" si="247"/>
        <v>207454028</v>
      </c>
      <c r="F232" s="45">
        <f t="shared" si="247"/>
        <v>201126185</v>
      </c>
      <c r="G232" s="45">
        <f t="shared" si="247"/>
        <v>195985922</v>
      </c>
      <c r="H232" s="45">
        <f t="shared" si="247"/>
        <v>190775473</v>
      </c>
      <c r="I232" s="45">
        <f t="shared" si="247"/>
        <v>185412217</v>
      </c>
      <c r="J232" s="45">
        <f t="shared" si="247"/>
        <v>180026018</v>
      </c>
      <c r="K232" s="45">
        <f t="shared" si="247"/>
        <v>174408347</v>
      </c>
      <c r="L232" s="45">
        <f t="shared" si="247"/>
        <v>168727538</v>
      </c>
      <c r="M232" s="45">
        <f t="shared" si="247"/>
        <v>163281348</v>
      </c>
      <c r="N232" s="46">
        <f t="shared" si="247"/>
        <v>157184167</v>
      </c>
    </row>
    <row r="233" spans="2:14" ht="15" x14ac:dyDescent="0.2">
      <c r="B233" s="53" t="s">
        <v>101</v>
      </c>
      <c r="C233" s="35"/>
      <c r="D233" s="57">
        <f>+SUM(D234:D236)</f>
        <v>218223571</v>
      </c>
      <c r="E233" s="48">
        <f t="shared" ref="E233" si="248">+SUM(E234:E236)</f>
        <v>172154504.90671661</v>
      </c>
      <c r="F233" s="48">
        <f t="shared" ref="F233" si="249">+SUM(F234:F236)</f>
        <v>178949057.60253194</v>
      </c>
      <c r="G233" s="48">
        <f t="shared" ref="G233" si="250">+SUM(G234:G236)</f>
        <v>183427823.44259521</v>
      </c>
      <c r="H233" s="48">
        <f t="shared" ref="H233" si="251">+SUM(H234:H236)</f>
        <v>188017933.42866006</v>
      </c>
      <c r="I233" s="48">
        <f t="shared" ref="I233" si="252">+SUM(I234:I236)</f>
        <v>192722171.16437656</v>
      </c>
      <c r="J233" s="48">
        <f t="shared" ref="J233" si="253">+SUM(J234:J236)</f>
        <v>197543389.84348595</v>
      </c>
      <c r="K233" s="48">
        <f t="shared" ref="K233" si="254">+SUM(K234:K236)</f>
        <v>202484513.98957309</v>
      </c>
      <c r="L233" s="48">
        <f t="shared" ref="L233" si="255">+SUM(L234:L236)</f>
        <v>207548541.23931241</v>
      </c>
      <c r="M233" s="48">
        <f t="shared" ref="M233" si="256">+SUM(M234:M236)</f>
        <v>212738544.17029521</v>
      </c>
      <c r="N233" s="49">
        <f t="shared" ref="N233" si="257">+SUM(N234:N236)</f>
        <v>218057007.77455255</v>
      </c>
    </row>
    <row r="234" spans="2:14" x14ac:dyDescent="0.2">
      <c r="B234" s="53" t="s">
        <v>102</v>
      </c>
      <c r="C234" s="31"/>
      <c r="D234" s="47">
        <f t="shared" ref="D234:E236" si="258">D108</f>
        <v>217395397</v>
      </c>
      <c r="E234" s="45">
        <f t="shared" si="247"/>
        <v>171381080.90671661</v>
      </c>
      <c r="F234" s="45">
        <f t="shared" ref="F234:N234" si="259">F108</f>
        <v>178150633.60253194</v>
      </c>
      <c r="G234" s="45">
        <f t="shared" si="259"/>
        <v>182604399.44259521</v>
      </c>
      <c r="H234" s="45">
        <f t="shared" si="259"/>
        <v>187169509.42866006</v>
      </c>
      <c r="I234" s="45">
        <f t="shared" si="259"/>
        <v>191848747.16437656</v>
      </c>
      <c r="J234" s="45">
        <f t="shared" si="259"/>
        <v>196644965.84348595</v>
      </c>
      <c r="K234" s="45">
        <f t="shared" si="259"/>
        <v>201561089.98957309</v>
      </c>
      <c r="L234" s="45">
        <f t="shared" si="259"/>
        <v>206600117.23931241</v>
      </c>
      <c r="M234" s="45">
        <f t="shared" si="259"/>
        <v>211765120.17029521</v>
      </c>
      <c r="N234" s="46">
        <f t="shared" si="259"/>
        <v>217059248.17455256</v>
      </c>
    </row>
    <row r="235" spans="2:14" x14ac:dyDescent="0.2">
      <c r="B235" s="53" t="s">
        <v>69</v>
      </c>
      <c r="C235" s="31"/>
      <c r="D235" s="47">
        <f t="shared" si="258"/>
        <v>828174</v>
      </c>
      <c r="E235" s="45">
        <f t="shared" si="258"/>
        <v>773424</v>
      </c>
      <c r="F235" s="45">
        <f t="shared" ref="F235:N235" si="260">F109</f>
        <v>798424</v>
      </c>
      <c r="G235" s="45">
        <f t="shared" si="260"/>
        <v>823424</v>
      </c>
      <c r="H235" s="45">
        <f t="shared" si="260"/>
        <v>848424</v>
      </c>
      <c r="I235" s="45">
        <f t="shared" si="260"/>
        <v>873424</v>
      </c>
      <c r="J235" s="45">
        <f t="shared" si="260"/>
        <v>898424</v>
      </c>
      <c r="K235" s="45">
        <f t="shared" si="260"/>
        <v>923424</v>
      </c>
      <c r="L235" s="45">
        <f t="shared" si="260"/>
        <v>948424</v>
      </c>
      <c r="M235" s="45">
        <f t="shared" si="260"/>
        <v>973424</v>
      </c>
      <c r="N235" s="46">
        <f t="shared" si="260"/>
        <v>997759.59999999986</v>
      </c>
    </row>
    <row r="236" spans="2:14" x14ac:dyDescent="0.2">
      <c r="B236" s="53" t="s">
        <v>103</v>
      </c>
      <c r="C236" s="31"/>
      <c r="D236" s="47">
        <f t="shared" si="258"/>
        <v>0</v>
      </c>
      <c r="E236" s="45">
        <f t="shared" si="258"/>
        <v>0</v>
      </c>
      <c r="F236" s="45">
        <f t="shared" ref="F236:N236" si="261">F110</f>
        <v>0</v>
      </c>
      <c r="G236" s="45">
        <f t="shared" si="261"/>
        <v>0</v>
      </c>
      <c r="H236" s="45">
        <f t="shared" si="261"/>
        <v>0</v>
      </c>
      <c r="I236" s="45">
        <f t="shared" si="261"/>
        <v>0</v>
      </c>
      <c r="J236" s="45">
        <f t="shared" si="261"/>
        <v>0</v>
      </c>
      <c r="K236" s="45">
        <f t="shared" si="261"/>
        <v>0</v>
      </c>
      <c r="L236" s="45">
        <f t="shared" si="261"/>
        <v>0</v>
      </c>
      <c r="M236" s="45">
        <f t="shared" si="261"/>
        <v>0</v>
      </c>
      <c r="N236" s="46">
        <f t="shared" si="261"/>
        <v>0</v>
      </c>
    </row>
    <row r="237" spans="2:14" ht="15" x14ac:dyDescent="0.2">
      <c r="B237" s="62" t="s">
        <v>104</v>
      </c>
      <c r="C237" s="60"/>
      <c r="D237" s="61">
        <f>+SUM(D232:D233)</f>
        <v>372110874</v>
      </c>
      <c r="E237" s="63">
        <f t="shared" ref="E237:N237" si="262">+SUM(E232:E233)</f>
        <v>379608532.90671659</v>
      </c>
      <c r="F237" s="63">
        <f t="shared" si="262"/>
        <v>380075242.60253191</v>
      </c>
      <c r="G237" s="63">
        <f t="shared" si="262"/>
        <v>379413745.44259524</v>
      </c>
      <c r="H237" s="63">
        <f t="shared" si="262"/>
        <v>378793406.42866004</v>
      </c>
      <c r="I237" s="63">
        <f t="shared" si="262"/>
        <v>378134388.16437656</v>
      </c>
      <c r="J237" s="63">
        <f t="shared" si="262"/>
        <v>377569407.84348595</v>
      </c>
      <c r="K237" s="63">
        <f t="shared" si="262"/>
        <v>376892860.98957312</v>
      </c>
      <c r="L237" s="63">
        <f t="shared" si="262"/>
        <v>376276079.23931241</v>
      </c>
      <c r="M237" s="63">
        <f t="shared" si="262"/>
        <v>376019892.17029524</v>
      </c>
      <c r="N237" s="64">
        <f t="shared" si="262"/>
        <v>375241174.77455258</v>
      </c>
    </row>
    <row r="238" spans="2:14" x14ac:dyDescent="0.2"/>
    <row r="239" spans="2:14" ht="15.75" x14ac:dyDescent="0.2">
      <c r="B239" s="69" t="s">
        <v>106</v>
      </c>
      <c r="C239" s="13"/>
    </row>
    <row r="240" spans="2:14" ht="15" x14ac:dyDescent="0.2">
      <c r="B240" s="29"/>
      <c r="C240" s="38"/>
      <c r="D240" s="34" t="str">
        <f>D$2</f>
        <v>2024-25</v>
      </c>
      <c r="E240" s="19" t="str">
        <f t="shared" ref="E240:N240" si="263">E$2</f>
        <v>2025-26</v>
      </c>
      <c r="F240" s="19" t="str">
        <f t="shared" si="263"/>
        <v>2026-27</v>
      </c>
      <c r="G240" s="19" t="str">
        <f t="shared" si="263"/>
        <v>2027-28</v>
      </c>
      <c r="H240" s="19" t="str">
        <f t="shared" si="263"/>
        <v>2028-29</v>
      </c>
      <c r="I240" s="19" t="str">
        <f t="shared" si="263"/>
        <v>2029-30</v>
      </c>
      <c r="J240" s="19" t="str">
        <f t="shared" si="263"/>
        <v>2030-31</v>
      </c>
      <c r="K240" s="19" t="str">
        <f t="shared" si="263"/>
        <v>2031-32</v>
      </c>
      <c r="L240" s="19" t="str">
        <f t="shared" si="263"/>
        <v>2032-33</v>
      </c>
      <c r="M240" s="19" t="str">
        <f t="shared" si="263"/>
        <v>2033-34</v>
      </c>
      <c r="N240" s="20" t="str">
        <f t="shared" si="263"/>
        <v>2034-35</v>
      </c>
    </row>
    <row r="241" spans="1:26" x14ac:dyDescent="0.2">
      <c r="B241" s="27"/>
      <c r="C241" s="31"/>
      <c r="N241" s="23"/>
    </row>
    <row r="242" spans="1:26" x14ac:dyDescent="0.2">
      <c r="B242" s="53" t="s">
        <v>107</v>
      </c>
      <c r="C242" s="31"/>
      <c r="D242" s="47">
        <f t="shared" ref="D242:E245" si="264">D116</f>
        <v>6369617</v>
      </c>
      <c r="E242" s="45">
        <f t="shared" si="264"/>
        <v>5104559</v>
      </c>
      <c r="F242" s="45">
        <f t="shared" ref="F242:N242" si="265">F116</f>
        <v>4518601</v>
      </c>
      <c r="G242" s="45">
        <f t="shared" si="265"/>
        <v>5157152</v>
      </c>
      <c r="H242" s="45">
        <f t="shared" si="265"/>
        <v>5818009</v>
      </c>
      <c r="I242" s="45">
        <f t="shared" si="265"/>
        <v>5587763</v>
      </c>
      <c r="J242" s="45">
        <f t="shared" si="265"/>
        <v>5749763</v>
      </c>
      <c r="K242" s="45">
        <f t="shared" si="265"/>
        <v>5796601</v>
      </c>
      <c r="L242" s="45">
        <f t="shared" si="265"/>
        <v>5787601</v>
      </c>
      <c r="M242" s="45">
        <f t="shared" si="265"/>
        <v>6081601</v>
      </c>
      <c r="N242" s="46">
        <f t="shared" si="265"/>
        <v>6269601</v>
      </c>
    </row>
    <row r="243" spans="1:26" x14ac:dyDescent="0.2">
      <c r="B243" s="53" t="s">
        <v>108</v>
      </c>
      <c r="C243" s="31"/>
      <c r="D243" s="47">
        <f t="shared" si="264"/>
        <v>6330558</v>
      </c>
      <c r="E243" s="45">
        <f t="shared" ref="E243:N243" si="266">E117</f>
        <v>3343855</v>
      </c>
      <c r="F243" s="45">
        <f t="shared" si="266"/>
        <v>2910000</v>
      </c>
      <c r="G243" s="45">
        <f t="shared" si="266"/>
        <v>2388156</v>
      </c>
      <c r="H243" s="45">
        <f t="shared" si="266"/>
        <v>2455000</v>
      </c>
      <c r="I243" s="45">
        <f t="shared" si="266"/>
        <v>2750000</v>
      </c>
      <c r="J243" s="45">
        <f t="shared" si="266"/>
        <v>2445000</v>
      </c>
      <c r="K243" s="45">
        <f t="shared" si="266"/>
        <v>2549744</v>
      </c>
      <c r="L243" s="45">
        <f t="shared" si="266"/>
        <v>2911271</v>
      </c>
      <c r="M243" s="45">
        <f t="shared" si="266"/>
        <v>2284061</v>
      </c>
      <c r="N243" s="46">
        <f t="shared" si="266"/>
        <v>2133196</v>
      </c>
    </row>
    <row r="244" spans="1:26" x14ac:dyDescent="0.2">
      <c r="B244" s="53" t="s">
        <v>109</v>
      </c>
      <c r="C244" s="31"/>
      <c r="D244" s="47">
        <f t="shared" si="264"/>
        <v>1365271</v>
      </c>
      <c r="E244" s="45">
        <f t="shared" ref="E244:N244" si="267">E118</f>
        <v>837342</v>
      </c>
      <c r="F244" s="45">
        <f t="shared" si="267"/>
        <v>915000</v>
      </c>
      <c r="G244" s="45">
        <f t="shared" si="267"/>
        <v>779449</v>
      </c>
      <c r="H244" s="45">
        <f t="shared" si="267"/>
        <v>0</v>
      </c>
      <c r="I244" s="45">
        <f t="shared" si="267"/>
        <v>0</v>
      </c>
      <c r="J244" s="45">
        <f t="shared" si="267"/>
        <v>0</v>
      </c>
      <c r="K244" s="45">
        <f t="shared" si="267"/>
        <v>0</v>
      </c>
      <c r="L244" s="45">
        <f t="shared" si="267"/>
        <v>0</v>
      </c>
      <c r="M244" s="45">
        <f t="shared" si="267"/>
        <v>0</v>
      </c>
      <c r="N244" s="46">
        <f t="shared" si="267"/>
        <v>0</v>
      </c>
    </row>
    <row r="245" spans="1:26" x14ac:dyDescent="0.2">
      <c r="B245" s="53" t="s">
        <v>110</v>
      </c>
      <c r="C245" s="31"/>
      <c r="D245" s="47">
        <f t="shared" si="264"/>
        <v>0</v>
      </c>
      <c r="E245" s="45" t="str">
        <f t="shared" ref="E245:N245" si="268">E119</f>
        <v>Included above</v>
      </c>
      <c r="F245" s="45" t="str">
        <f t="shared" si="268"/>
        <v>Included above</v>
      </c>
      <c r="G245" s="45" t="str">
        <f t="shared" si="268"/>
        <v>Included above</v>
      </c>
      <c r="H245" s="45" t="str">
        <f t="shared" si="268"/>
        <v>Included above</v>
      </c>
      <c r="I245" s="45" t="str">
        <f t="shared" si="268"/>
        <v>Included above</v>
      </c>
      <c r="J245" s="45" t="str">
        <f t="shared" si="268"/>
        <v>Included above</v>
      </c>
      <c r="K245" s="45" t="str">
        <f t="shared" si="268"/>
        <v>Included above</v>
      </c>
      <c r="L245" s="45" t="str">
        <f t="shared" si="268"/>
        <v>Included above</v>
      </c>
      <c r="M245" s="45" t="str">
        <f t="shared" si="268"/>
        <v>Included above</v>
      </c>
      <c r="N245" s="46" t="str">
        <f t="shared" si="268"/>
        <v>Included above</v>
      </c>
    </row>
    <row r="246" spans="1:26" ht="15" x14ac:dyDescent="0.2">
      <c r="B246" s="55" t="s">
        <v>111</v>
      </c>
      <c r="C246" s="35"/>
      <c r="D246" s="57">
        <f>+SUM(D242:D245)</f>
        <v>14065446</v>
      </c>
      <c r="E246" s="58">
        <f t="shared" ref="E246" si="269">+SUM(E242:E245)</f>
        <v>9285756</v>
      </c>
      <c r="F246" s="58">
        <f t="shared" ref="F246" si="270">+SUM(F242:F245)</f>
        <v>8343601</v>
      </c>
      <c r="G246" s="58">
        <f t="shared" ref="G246" si="271">+SUM(G242:G245)</f>
        <v>8324757</v>
      </c>
      <c r="H246" s="58">
        <f t="shared" ref="H246" si="272">+SUM(H242:H245)</f>
        <v>8273009</v>
      </c>
      <c r="I246" s="58">
        <f t="shared" ref="I246" si="273">+SUM(I242:I245)</f>
        <v>8337763</v>
      </c>
      <c r="J246" s="58">
        <f t="shared" ref="J246" si="274">+SUM(J242:J245)</f>
        <v>8194763</v>
      </c>
      <c r="K246" s="58">
        <f t="shared" ref="K246" si="275">+SUM(K242:K245)</f>
        <v>8346345</v>
      </c>
      <c r="L246" s="58">
        <f t="shared" ref="L246" si="276">+SUM(L242:L245)</f>
        <v>8698872</v>
      </c>
      <c r="M246" s="58">
        <f t="shared" ref="M246" si="277">+SUM(M242:M245)</f>
        <v>8365662</v>
      </c>
      <c r="N246" s="59">
        <f t="shared" ref="N246" si="278">+SUM(N242:N245)</f>
        <v>8402797</v>
      </c>
    </row>
    <row r="247" spans="1:26" x14ac:dyDescent="0.2">
      <c r="B247" s="30"/>
      <c r="C247" s="39"/>
      <c r="D247" s="50"/>
      <c r="E247" s="50"/>
      <c r="F247" s="50"/>
      <c r="G247" s="50"/>
      <c r="H247" s="50"/>
      <c r="I247" s="50"/>
      <c r="J247" s="50"/>
      <c r="K247" s="50"/>
      <c r="L247" s="50"/>
      <c r="M247" s="50"/>
      <c r="N247" s="51"/>
    </row>
    <row r="248" spans="1:26" x14ac:dyDescent="0.2">
      <c r="B248" s="28" t="s">
        <v>112</v>
      </c>
      <c r="C248" s="37"/>
      <c r="D248" s="50"/>
      <c r="E248" s="50"/>
      <c r="F248" s="50"/>
      <c r="G248" s="50"/>
      <c r="H248" s="50"/>
      <c r="I248" s="50"/>
      <c r="J248" s="50"/>
      <c r="K248" s="50"/>
      <c r="L248" s="50"/>
      <c r="M248" s="50"/>
      <c r="N248" s="51"/>
    </row>
    <row r="249" spans="1:26" x14ac:dyDescent="0.2">
      <c r="B249" s="53" t="s">
        <v>113</v>
      </c>
      <c r="C249" s="31"/>
      <c r="D249" s="47">
        <f t="shared" ref="D249:E252" si="279">D123</f>
        <v>11204576</v>
      </c>
      <c r="E249" s="45">
        <f t="shared" si="279"/>
        <v>3728917.75</v>
      </c>
      <c r="F249" s="45">
        <f t="shared" ref="F249:N249" si="280">F123</f>
        <v>3728917.75</v>
      </c>
      <c r="G249" s="45">
        <f t="shared" si="280"/>
        <v>3594706.6687500002</v>
      </c>
      <c r="H249" s="45">
        <f t="shared" si="280"/>
        <v>3424707.4104687506</v>
      </c>
      <c r="I249" s="45">
        <f t="shared" si="280"/>
        <v>3368253.8707304699</v>
      </c>
      <c r="J249" s="45">
        <f t="shared" si="280"/>
        <v>3101016.1424987325</v>
      </c>
      <c r="K249" s="45">
        <f t="shared" si="280"/>
        <v>3125254.4710612018</v>
      </c>
      <c r="L249" s="45">
        <f t="shared" si="280"/>
        <v>3347254.2078377325</v>
      </c>
      <c r="M249" s="45">
        <f t="shared" si="280"/>
        <v>2880253.763033676</v>
      </c>
      <c r="N249" s="46">
        <f t="shared" si="280"/>
        <v>2780253.557109518</v>
      </c>
    </row>
    <row r="250" spans="1:26" x14ac:dyDescent="0.2">
      <c r="B250" s="53" t="s">
        <v>114</v>
      </c>
      <c r="C250" s="31"/>
      <c r="D250" s="47">
        <f t="shared" si="279"/>
        <v>391000</v>
      </c>
      <c r="E250" s="45">
        <f t="shared" ref="E250:N250" si="281">E124</f>
        <v>0</v>
      </c>
      <c r="F250" s="45">
        <f t="shared" si="281"/>
        <v>0</v>
      </c>
      <c r="G250" s="45">
        <f t="shared" si="281"/>
        <v>0</v>
      </c>
      <c r="H250" s="45">
        <f t="shared" si="281"/>
        <v>0</v>
      </c>
      <c r="I250" s="45">
        <f t="shared" si="281"/>
        <v>0</v>
      </c>
      <c r="J250" s="45">
        <f t="shared" si="281"/>
        <v>0</v>
      </c>
      <c r="K250" s="45">
        <f t="shared" si="281"/>
        <v>0</v>
      </c>
      <c r="L250" s="45">
        <f t="shared" si="281"/>
        <v>0</v>
      </c>
      <c r="M250" s="45">
        <f t="shared" si="281"/>
        <v>0</v>
      </c>
      <c r="N250" s="46">
        <f t="shared" si="281"/>
        <v>0</v>
      </c>
    </row>
    <row r="251" spans="1:26" x14ac:dyDescent="0.2">
      <c r="B251" s="53" t="s">
        <v>115</v>
      </c>
      <c r="C251" s="31"/>
      <c r="D251" s="47">
        <f t="shared" si="279"/>
        <v>2469870</v>
      </c>
      <c r="E251" s="45">
        <f t="shared" ref="E251:N251" si="282">E125</f>
        <v>5556838</v>
      </c>
      <c r="F251" s="45">
        <f t="shared" si="282"/>
        <v>4614683.25</v>
      </c>
      <c r="G251" s="45">
        <f t="shared" si="282"/>
        <v>4730050.3312499998</v>
      </c>
      <c r="H251" s="45">
        <f t="shared" si="282"/>
        <v>4848301.5895312494</v>
      </c>
      <c r="I251" s="45">
        <f t="shared" si="282"/>
        <v>4969509.1292695301</v>
      </c>
      <c r="J251" s="45">
        <f t="shared" si="282"/>
        <v>5093746.8575012675</v>
      </c>
      <c r="K251" s="45">
        <f t="shared" si="282"/>
        <v>5221090.5289387982</v>
      </c>
      <c r="L251" s="45">
        <f t="shared" si="282"/>
        <v>5351617.7921622675</v>
      </c>
      <c r="M251" s="45">
        <f t="shared" si="282"/>
        <v>5485408.236966324</v>
      </c>
      <c r="N251" s="46">
        <f t="shared" si="282"/>
        <v>5622543.442890482</v>
      </c>
    </row>
    <row r="252" spans="1:26" x14ac:dyDescent="0.2">
      <c r="B252" s="53" t="s">
        <v>116</v>
      </c>
      <c r="C252" s="31"/>
      <c r="D252" s="47">
        <f t="shared" si="279"/>
        <v>0</v>
      </c>
      <c r="E252" s="45">
        <f t="shared" ref="E252:N252" si="283">E126</f>
        <v>0</v>
      </c>
      <c r="F252" s="45">
        <f t="shared" si="283"/>
        <v>0</v>
      </c>
      <c r="G252" s="45">
        <f t="shared" si="283"/>
        <v>0</v>
      </c>
      <c r="H252" s="45">
        <f t="shared" si="283"/>
        <v>0</v>
      </c>
      <c r="I252" s="45">
        <f t="shared" si="283"/>
        <v>0</v>
      </c>
      <c r="J252" s="45">
        <f t="shared" si="283"/>
        <v>0</v>
      </c>
      <c r="K252" s="45">
        <f t="shared" si="283"/>
        <v>0</v>
      </c>
      <c r="L252" s="45">
        <f t="shared" si="283"/>
        <v>0</v>
      </c>
      <c r="M252" s="45">
        <f t="shared" si="283"/>
        <v>0</v>
      </c>
      <c r="N252" s="46">
        <f t="shared" si="283"/>
        <v>0</v>
      </c>
    </row>
    <row r="253" spans="1:26" ht="15" x14ac:dyDescent="0.2">
      <c r="B253" s="62" t="s">
        <v>117</v>
      </c>
      <c r="C253" s="60"/>
      <c r="D253" s="61">
        <f>+SUM(D249:D252)</f>
        <v>14065446</v>
      </c>
      <c r="E253" s="63">
        <f t="shared" ref="E253" si="284">+SUM(E249:E252)</f>
        <v>9285755.75</v>
      </c>
      <c r="F253" s="63">
        <f t="shared" ref="F253" si="285">+SUM(F249:F252)</f>
        <v>8343601</v>
      </c>
      <c r="G253" s="63">
        <f t="shared" ref="G253" si="286">+SUM(G249:G252)</f>
        <v>8324757</v>
      </c>
      <c r="H253" s="63">
        <f t="shared" ref="H253" si="287">+SUM(H249:H252)</f>
        <v>8273009</v>
      </c>
      <c r="I253" s="63">
        <f t="shared" ref="I253" si="288">+SUM(I249:I252)</f>
        <v>8337763</v>
      </c>
      <c r="J253" s="63">
        <f t="shared" ref="J253" si="289">+SUM(J249:J252)</f>
        <v>8194763</v>
      </c>
      <c r="K253" s="63">
        <f t="shared" ref="K253" si="290">+SUM(K249:K252)</f>
        <v>8346345</v>
      </c>
      <c r="L253" s="63">
        <f t="shared" ref="L253" si="291">+SUM(L249:L252)</f>
        <v>8698872</v>
      </c>
      <c r="M253" s="63">
        <f t="shared" ref="M253" si="292">+SUM(M249:M252)</f>
        <v>8365662</v>
      </c>
      <c r="N253" s="64">
        <f t="shared" ref="N253" si="293">+SUM(N249:N252)</f>
        <v>8402797</v>
      </c>
    </row>
    <row r="254" spans="1:26" x14ac:dyDescent="0.2"/>
    <row r="255" spans="1:26" x14ac:dyDescent="0.2"/>
    <row r="256" spans="1:26" ht="16.5" thickBot="1" x14ac:dyDescent="0.25">
      <c r="A256" s="4">
        <f ca="1">MAX(A$2:A255)+0.1</f>
        <v>2.3000000000000003</v>
      </c>
      <c r="B256" s="5" t="s">
        <v>119</v>
      </c>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2:14" x14ac:dyDescent="0.2"/>
    <row r="258" spans="2:14" ht="15.75" x14ac:dyDescent="0.2">
      <c r="B258" s="69" t="s">
        <v>15</v>
      </c>
      <c r="C258" s="13"/>
      <c r="D258" s="67" t="s">
        <v>26</v>
      </c>
      <c r="E258" s="174" t="s">
        <v>27</v>
      </c>
      <c r="F258" s="175"/>
      <c r="G258" s="175"/>
      <c r="H258" s="176"/>
      <c r="I258" s="174" t="s">
        <v>28</v>
      </c>
      <c r="J258" s="175"/>
      <c r="K258" s="175"/>
      <c r="L258" s="175"/>
      <c r="M258" s="175"/>
      <c r="N258" s="176"/>
    </row>
    <row r="259" spans="2:14" ht="15" x14ac:dyDescent="0.2">
      <c r="B259" s="24"/>
      <c r="C259" s="34"/>
      <c r="D259" s="34" t="str">
        <f>D$2</f>
        <v>2024-25</v>
      </c>
      <c r="E259" s="19" t="str">
        <f t="shared" ref="E259:N259" si="294">E$2</f>
        <v>2025-26</v>
      </c>
      <c r="F259" s="19" t="str">
        <f t="shared" si="294"/>
        <v>2026-27</v>
      </c>
      <c r="G259" s="19" t="str">
        <f t="shared" si="294"/>
        <v>2027-28</v>
      </c>
      <c r="H259" s="19" t="str">
        <f t="shared" si="294"/>
        <v>2028-29</v>
      </c>
      <c r="I259" s="19" t="str">
        <f t="shared" si="294"/>
        <v>2029-30</v>
      </c>
      <c r="J259" s="19" t="str">
        <f t="shared" si="294"/>
        <v>2030-31</v>
      </c>
      <c r="K259" s="19" t="str">
        <f t="shared" si="294"/>
        <v>2031-32</v>
      </c>
      <c r="L259" s="19" t="str">
        <f t="shared" si="294"/>
        <v>2032-33</v>
      </c>
      <c r="M259" s="19" t="str">
        <f t="shared" si="294"/>
        <v>2033-34</v>
      </c>
      <c r="N259" s="20" t="str">
        <f t="shared" si="294"/>
        <v>2034-35</v>
      </c>
    </row>
    <row r="260" spans="2:14" x14ac:dyDescent="0.2">
      <c r="B260" s="22" t="s">
        <v>29</v>
      </c>
      <c r="C260" s="35"/>
      <c r="D260" s="47">
        <f>IFERROR(D8-D134,"")</f>
        <v>0</v>
      </c>
      <c r="E260" s="48">
        <f t="shared" ref="E260:N260" si="295">IFERROR(E8-E134,"")</f>
        <v>577521.19999999925</v>
      </c>
      <c r="F260" s="48">
        <f t="shared" si="295"/>
        <v>591959.22999999858</v>
      </c>
      <c r="G260" s="48">
        <f t="shared" si="295"/>
        <v>606758.21074999869</v>
      </c>
      <c r="H260" s="48">
        <f t="shared" si="295"/>
        <v>621927.16601874866</v>
      </c>
      <c r="I260" s="48">
        <f t="shared" si="295"/>
        <v>637475.34516921826</v>
      </c>
      <c r="J260" s="48">
        <f t="shared" si="295"/>
        <v>653412.22879844904</v>
      </c>
      <c r="K260" s="48">
        <f t="shared" si="295"/>
        <v>669747.53451840952</v>
      </c>
      <c r="L260" s="48">
        <f t="shared" si="295"/>
        <v>686491.22288137116</v>
      </c>
      <c r="M260" s="48">
        <f t="shared" si="295"/>
        <v>703653.50345340371</v>
      </c>
      <c r="N260" s="49">
        <f t="shared" si="295"/>
        <v>721244.84103973955</v>
      </c>
    </row>
    <row r="261" spans="2:14" x14ac:dyDescent="0.2">
      <c r="B261" s="22" t="s">
        <v>30</v>
      </c>
      <c r="C261" s="35"/>
      <c r="D261" s="47">
        <f t="shared" ref="D261:N261" si="296">IFERROR(D9-D135,"")</f>
        <v>0</v>
      </c>
      <c r="E261" s="48">
        <f t="shared" si="296"/>
        <v>224102.62000000011</v>
      </c>
      <c r="F261" s="48">
        <f t="shared" si="296"/>
        <v>229705.18550000014</v>
      </c>
      <c r="G261" s="48">
        <f t="shared" si="296"/>
        <v>235447.81513750041</v>
      </c>
      <c r="H261" s="48">
        <f t="shared" si="296"/>
        <v>241334.01051593805</v>
      </c>
      <c r="I261" s="48">
        <f t="shared" si="296"/>
        <v>247367.36077883653</v>
      </c>
      <c r="J261" s="48">
        <f t="shared" si="296"/>
        <v>253551.54479830759</v>
      </c>
      <c r="K261" s="48">
        <f t="shared" si="296"/>
        <v>259890.33341826545</v>
      </c>
      <c r="L261" s="48">
        <f t="shared" si="296"/>
        <v>266387.5917537217</v>
      </c>
      <c r="M261" s="48">
        <f t="shared" si="296"/>
        <v>273047.28154756455</v>
      </c>
      <c r="N261" s="49">
        <f t="shared" si="296"/>
        <v>279873.46358625358</v>
      </c>
    </row>
    <row r="262" spans="2:14" ht="15" x14ac:dyDescent="0.2">
      <c r="B262" s="43" t="s">
        <v>31</v>
      </c>
      <c r="C262" s="35"/>
      <c r="D262" s="47">
        <f t="shared" ref="D262:N262" si="297">IFERROR(D10-D136,"")</f>
        <v>0</v>
      </c>
      <c r="E262" s="48">
        <f t="shared" si="297"/>
        <v>801623.8200000003</v>
      </c>
      <c r="F262" s="48">
        <f t="shared" si="297"/>
        <v>821664.41550000012</v>
      </c>
      <c r="G262" s="48">
        <f t="shared" si="297"/>
        <v>842206.02588749677</v>
      </c>
      <c r="H262" s="48">
        <f t="shared" si="297"/>
        <v>863261.17653468624</v>
      </c>
      <c r="I262" s="48">
        <f t="shared" si="297"/>
        <v>884842.70594805479</v>
      </c>
      <c r="J262" s="48">
        <f t="shared" si="297"/>
        <v>906963.77359675616</v>
      </c>
      <c r="K262" s="48">
        <f t="shared" si="297"/>
        <v>929637.86793667451</v>
      </c>
      <c r="L262" s="48">
        <f t="shared" si="297"/>
        <v>952878.81463509053</v>
      </c>
      <c r="M262" s="48">
        <f t="shared" si="297"/>
        <v>976700.78500096872</v>
      </c>
      <c r="N262" s="49">
        <f t="shared" si="297"/>
        <v>1001118.3046259917</v>
      </c>
    </row>
    <row r="263" spans="2:14" x14ac:dyDescent="0.2">
      <c r="B263" s="22" t="s">
        <v>32</v>
      </c>
      <c r="C263" s="35"/>
      <c r="D263" s="47">
        <f t="shared" ref="D263:N263" si="298">IFERROR(D11-D137,"")</f>
        <v>0</v>
      </c>
      <c r="E263" s="48">
        <f t="shared" si="298"/>
        <v>0</v>
      </c>
      <c r="F263" s="48">
        <f t="shared" si="298"/>
        <v>0</v>
      </c>
      <c r="G263" s="48">
        <f t="shared" si="298"/>
        <v>0</v>
      </c>
      <c r="H263" s="48">
        <f t="shared" si="298"/>
        <v>0</v>
      </c>
      <c r="I263" s="48">
        <f t="shared" si="298"/>
        <v>0</v>
      </c>
      <c r="J263" s="48">
        <f t="shared" si="298"/>
        <v>0</v>
      </c>
      <c r="K263" s="48">
        <f t="shared" si="298"/>
        <v>0</v>
      </c>
      <c r="L263" s="48">
        <f t="shared" si="298"/>
        <v>0</v>
      </c>
      <c r="M263" s="48">
        <f t="shared" si="298"/>
        <v>0</v>
      </c>
      <c r="N263" s="49">
        <f t="shared" si="298"/>
        <v>0</v>
      </c>
    </row>
    <row r="264" spans="2:14" x14ac:dyDescent="0.2">
      <c r="B264" s="22" t="s">
        <v>33</v>
      </c>
      <c r="C264" s="35"/>
      <c r="D264" s="47">
        <f t="shared" ref="D264:N264" si="299">IFERROR(D12-D138,"")</f>
        <v>0</v>
      </c>
      <c r="E264" s="48">
        <f t="shared" si="299"/>
        <v>-801624.28</v>
      </c>
      <c r="F264" s="48">
        <f t="shared" si="299"/>
        <v>-821664.88699999999</v>
      </c>
      <c r="G264" s="48">
        <f t="shared" si="299"/>
        <v>-842206.5091749999</v>
      </c>
      <c r="H264" s="48">
        <f t="shared" si="299"/>
        <v>-863261.67190437485</v>
      </c>
      <c r="I264" s="48">
        <f t="shared" si="299"/>
        <v>-884843.21370198415</v>
      </c>
      <c r="J264" s="48">
        <f t="shared" si="299"/>
        <v>-906964.29404453363</v>
      </c>
      <c r="K264" s="48">
        <f t="shared" si="299"/>
        <v>-929638.40139564686</v>
      </c>
      <c r="L264" s="48">
        <f t="shared" si="299"/>
        <v>-952879.36143053789</v>
      </c>
      <c r="M264" s="48">
        <f t="shared" si="299"/>
        <v>-976701.34546630119</v>
      </c>
      <c r="N264" s="49">
        <f t="shared" si="299"/>
        <v>-1001118.8791029586</v>
      </c>
    </row>
    <row r="265" spans="2:14" x14ac:dyDescent="0.2">
      <c r="B265" s="22" t="s">
        <v>34</v>
      </c>
      <c r="C265" s="35"/>
      <c r="D265" s="47">
        <f t="shared" ref="D265:N265" si="300">IFERROR(D13-D139,"")</f>
        <v>0</v>
      </c>
      <c r="E265" s="48">
        <f t="shared" si="300"/>
        <v>0</v>
      </c>
      <c r="F265" s="48">
        <f t="shared" si="300"/>
        <v>0</v>
      </c>
      <c r="G265" s="48">
        <f t="shared" si="300"/>
        <v>0</v>
      </c>
      <c r="H265" s="48">
        <f t="shared" si="300"/>
        <v>0</v>
      </c>
      <c r="I265" s="48">
        <f t="shared" si="300"/>
        <v>0</v>
      </c>
      <c r="J265" s="48">
        <f t="shared" si="300"/>
        <v>0</v>
      </c>
      <c r="K265" s="48">
        <f t="shared" si="300"/>
        <v>0</v>
      </c>
      <c r="L265" s="48">
        <f t="shared" si="300"/>
        <v>0</v>
      </c>
      <c r="M265" s="48">
        <f t="shared" si="300"/>
        <v>0</v>
      </c>
      <c r="N265" s="49">
        <f t="shared" si="300"/>
        <v>0</v>
      </c>
    </row>
    <row r="266" spans="2:14" x14ac:dyDescent="0.2">
      <c r="B266" s="22" t="s">
        <v>35</v>
      </c>
      <c r="C266" s="35"/>
      <c r="D266" s="47">
        <f t="shared" ref="D266:N266" si="301">IFERROR(D14-D140,"")</f>
        <v>0</v>
      </c>
      <c r="E266" s="48">
        <f t="shared" si="301"/>
        <v>0</v>
      </c>
      <c r="F266" s="48">
        <f t="shared" si="301"/>
        <v>0</v>
      </c>
      <c r="G266" s="48">
        <f t="shared" si="301"/>
        <v>0</v>
      </c>
      <c r="H266" s="48">
        <f t="shared" si="301"/>
        <v>0</v>
      </c>
      <c r="I266" s="48">
        <f t="shared" si="301"/>
        <v>0</v>
      </c>
      <c r="J266" s="48">
        <f t="shared" si="301"/>
        <v>0</v>
      </c>
      <c r="K266" s="48">
        <f t="shared" si="301"/>
        <v>0</v>
      </c>
      <c r="L266" s="48">
        <f t="shared" si="301"/>
        <v>0</v>
      </c>
      <c r="M266" s="48">
        <f t="shared" si="301"/>
        <v>0</v>
      </c>
      <c r="N266" s="49">
        <f t="shared" si="301"/>
        <v>0</v>
      </c>
    </row>
    <row r="267" spans="2:14" x14ac:dyDescent="0.2">
      <c r="B267" s="22" t="s">
        <v>36</v>
      </c>
      <c r="C267" s="35"/>
      <c r="D267" s="47">
        <f t="shared" ref="D267:N267" si="302">IFERROR(D15-D141,"")</f>
        <v>0</v>
      </c>
      <c r="E267" s="48">
        <f t="shared" si="302"/>
        <v>0</v>
      </c>
      <c r="F267" s="48">
        <f t="shared" si="302"/>
        <v>0</v>
      </c>
      <c r="G267" s="48">
        <f t="shared" si="302"/>
        <v>0</v>
      </c>
      <c r="H267" s="48">
        <f t="shared" si="302"/>
        <v>0</v>
      </c>
      <c r="I267" s="48">
        <f t="shared" si="302"/>
        <v>0</v>
      </c>
      <c r="J267" s="48">
        <f t="shared" si="302"/>
        <v>0</v>
      </c>
      <c r="K267" s="48">
        <f t="shared" si="302"/>
        <v>0</v>
      </c>
      <c r="L267" s="48">
        <f t="shared" si="302"/>
        <v>0</v>
      </c>
      <c r="M267" s="48">
        <f t="shared" si="302"/>
        <v>0</v>
      </c>
      <c r="N267" s="49">
        <f t="shared" si="302"/>
        <v>0</v>
      </c>
    </row>
    <row r="268" spans="2:14" x14ac:dyDescent="0.2">
      <c r="B268" s="22" t="s">
        <v>37</v>
      </c>
      <c r="C268" s="35"/>
      <c r="D268" s="47">
        <f t="shared" ref="D268:N268" si="303">IFERROR(D16-D142,"")</f>
        <v>0</v>
      </c>
      <c r="E268" s="48">
        <f t="shared" si="303"/>
        <v>0</v>
      </c>
      <c r="F268" s="48">
        <f t="shared" si="303"/>
        <v>0</v>
      </c>
      <c r="G268" s="48">
        <f t="shared" si="303"/>
        <v>0</v>
      </c>
      <c r="H268" s="48">
        <f t="shared" si="303"/>
        <v>0</v>
      </c>
      <c r="I268" s="48">
        <f t="shared" si="303"/>
        <v>0</v>
      </c>
      <c r="J268" s="48">
        <f t="shared" si="303"/>
        <v>0</v>
      </c>
      <c r="K268" s="48">
        <f t="shared" si="303"/>
        <v>0</v>
      </c>
      <c r="L268" s="48">
        <f t="shared" si="303"/>
        <v>0</v>
      </c>
      <c r="M268" s="48">
        <f t="shared" si="303"/>
        <v>0</v>
      </c>
      <c r="N268" s="49">
        <f t="shared" si="303"/>
        <v>0</v>
      </c>
    </row>
    <row r="269" spans="2:14" x14ac:dyDescent="0.2">
      <c r="B269" s="22" t="s">
        <v>38</v>
      </c>
      <c r="C269" s="35"/>
      <c r="D269" s="47">
        <f t="shared" ref="D269:N269" si="304">IFERROR(D17-D143,"")</f>
        <v>0</v>
      </c>
      <c r="E269" s="48">
        <f t="shared" si="304"/>
        <v>0</v>
      </c>
      <c r="F269" s="48">
        <f t="shared" si="304"/>
        <v>0</v>
      </c>
      <c r="G269" s="48">
        <f t="shared" si="304"/>
        <v>0</v>
      </c>
      <c r="H269" s="48">
        <f t="shared" si="304"/>
        <v>0</v>
      </c>
      <c r="I269" s="48">
        <f t="shared" si="304"/>
        <v>0</v>
      </c>
      <c r="J269" s="48">
        <f t="shared" si="304"/>
        <v>0</v>
      </c>
      <c r="K269" s="48">
        <f t="shared" si="304"/>
        <v>0</v>
      </c>
      <c r="L269" s="48">
        <f t="shared" si="304"/>
        <v>0</v>
      </c>
      <c r="M269" s="48">
        <f t="shared" si="304"/>
        <v>0</v>
      </c>
      <c r="N269" s="49">
        <f t="shared" si="304"/>
        <v>0</v>
      </c>
    </row>
    <row r="270" spans="2:14" ht="15" x14ac:dyDescent="0.2">
      <c r="B270" s="62" t="s">
        <v>39</v>
      </c>
      <c r="C270" s="41"/>
      <c r="D270" s="63">
        <f t="shared" ref="D270:N270" si="305">IFERROR(D18-D144,"")</f>
        <v>0</v>
      </c>
      <c r="E270" s="63">
        <f t="shared" si="305"/>
        <v>-0.46000000089406967</v>
      </c>
      <c r="F270" s="63">
        <f t="shared" si="305"/>
        <v>-0.47149999812245369</v>
      </c>
      <c r="G270" s="63">
        <f t="shared" si="305"/>
        <v>-0.4832875020802021</v>
      </c>
      <c r="H270" s="63">
        <f t="shared" si="305"/>
        <v>-0.49536968767642975</v>
      </c>
      <c r="I270" s="63">
        <f t="shared" si="305"/>
        <v>-0.50775393098592758</v>
      </c>
      <c r="J270" s="63">
        <f t="shared" si="305"/>
        <v>-0.52044777572154999</v>
      </c>
      <c r="K270" s="63">
        <f t="shared" si="305"/>
        <v>-0.53345897048711777</v>
      </c>
      <c r="L270" s="63">
        <f t="shared" si="305"/>
        <v>-0.54679544642567635</v>
      </c>
      <c r="M270" s="63">
        <f t="shared" si="305"/>
        <v>-0.56046533212065697</v>
      </c>
      <c r="N270" s="64">
        <f t="shared" si="305"/>
        <v>-0.57447696849703789</v>
      </c>
    </row>
    <row r="271" spans="2:14" x14ac:dyDescent="0.2"/>
    <row r="272" spans="2:14" ht="15.75" x14ac:dyDescent="0.2">
      <c r="B272" s="69" t="s">
        <v>40</v>
      </c>
      <c r="C272" s="13"/>
    </row>
    <row r="273" spans="2:14" ht="15.75" x14ac:dyDescent="0.2">
      <c r="B273" s="54" t="s">
        <v>56</v>
      </c>
      <c r="C273" s="54"/>
      <c r="D273" s="34" t="str">
        <f>D$2</f>
        <v>2024-25</v>
      </c>
      <c r="E273" s="19" t="str">
        <f t="shared" ref="E273:N273" si="306">E$2</f>
        <v>2025-26</v>
      </c>
      <c r="F273" s="19" t="str">
        <f t="shared" si="306"/>
        <v>2026-27</v>
      </c>
      <c r="G273" s="19" t="str">
        <f t="shared" si="306"/>
        <v>2027-28</v>
      </c>
      <c r="H273" s="19" t="str">
        <f t="shared" si="306"/>
        <v>2028-29</v>
      </c>
      <c r="I273" s="19" t="str">
        <f t="shared" si="306"/>
        <v>2029-30</v>
      </c>
      <c r="J273" s="19" t="str">
        <f t="shared" si="306"/>
        <v>2030-31</v>
      </c>
      <c r="K273" s="19" t="str">
        <f t="shared" si="306"/>
        <v>2031-32</v>
      </c>
      <c r="L273" s="19" t="str">
        <f t="shared" si="306"/>
        <v>2032-33</v>
      </c>
      <c r="M273" s="19" t="str">
        <f t="shared" si="306"/>
        <v>2033-34</v>
      </c>
      <c r="N273" s="20" t="str">
        <f t="shared" si="306"/>
        <v>2034-35</v>
      </c>
    </row>
    <row r="274" spans="2:14" x14ac:dyDescent="0.2">
      <c r="B274" s="53" t="s">
        <v>15</v>
      </c>
      <c r="C274" s="35"/>
      <c r="D274" s="47">
        <f t="shared" ref="D274:N274" si="307">IFERROR(D22-D148,"")</f>
        <v>0</v>
      </c>
      <c r="E274" s="48">
        <f t="shared" si="307"/>
        <v>-0.46000000089406967</v>
      </c>
      <c r="F274" s="48">
        <f t="shared" si="307"/>
        <v>-0.47149999812245369</v>
      </c>
      <c r="G274" s="48">
        <f t="shared" si="307"/>
        <v>-0.4832875020802021</v>
      </c>
      <c r="H274" s="48">
        <f t="shared" si="307"/>
        <v>-0.49536968767642975</v>
      </c>
      <c r="I274" s="48">
        <f t="shared" si="307"/>
        <v>-0.50775393098592758</v>
      </c>
      <c r="J274" s="48">
        <f t="shared" si="307"/>
        <v>-0.52044777572154999</v>
      </c>
      <c r="K274" s="48">
        <f t="shared" si="307"/>
        <v>-0.53345897048711777</v>
      </c>
      <c r="L274" s="48">
        <f t="shared" si="307"/>
        <v>-0.54679544642567635</v>
      </c>
      <c r="M274" s="48">
        <f t="shared" si="307"/>
        <v>-0.56046533212065697</v>
      </c>
      <c r="N274" s="49">
        <f t="shared" si="307"/>
        <v>-0.57447696849703789</v>
      </c>
    </row>
    <row r="275" spans="2:14" x14ac:dyDescent="0.2">
      <c r="B275" s="53" t="s">
        <v>41</v>
      </c>
      <c r="C275" s="35"/>
      <c r="D275" s="47">
        <f t="shared" ref="D275:N275" si="308">IFERROR(D23-D149,"")</f>
        <v>0</v>
      </c>
      <c r="E275" s="48">
        <f t="shared" si="308"/>
        <v>0</v>
      </c>
      <c r="F275" s="48">
        <f t="shared" si="308"/>
        <v>0</v>
      </c>
      <c r="G275" s="48">
        <f t="shared" si="308"/>
        <v>0</v>
      </c>
      <c r="H275" s="48">
        <f t="shared" si="308"/>
        <v>0</v>
      </c>
      <c r="I275" s="48">
        <f t="shared" si="308"/>
        <v>0</v>
      </c>
      <c r="J275" s="48">
        <f t="shared" si="308"/>
        <v>0</v>
      </c>
      <c r="K275" s="48">
        <f t="shared" si="308"/>
        <v>0</v>
      </c>
      <c r="L275" s="48">
        <f t="shared" si="308"/>
        <v>0</v>
      </c>
      <c r="M275" s="48">
        <f t="shared" si="308"/>
        <v>0</v>
      </c>
      <c r="N275" s="49">
        <f t="shared" si="308"/>
        <v>0</v>
      </c>
    </row>
    <row r="276" spans="2:14" x14ac:dyDescent="0.2">
      <c r="B276" s="53" t="s">
        <v>42</v>
      </c>
      <c r="C276" s="35"/>
      <c r="D276" s="47">
        <f t="shared" ref="D276:N276" si="309">IFERROR(D24-D150,"")</f>
        <v>0</v>
      </c>
      <c r="E276" s="48">
        <f t="shared" si="309"/>
        <v>0</v>
      </c>
      <c r="F276" s="48">
        <f t="shared" si="309"/>
        <v>0</v>
      </c>
      <c r="G276" s="48">
        <f t="shared" si="309"/>
        <v>0</v>
      </c>
      <c r="H276" s="48">
        <f t="shared" si="309"/>
        <v>0</v>
      </c>
      <c r="I276" s="48">
        <f t="shared" si="309"/>
        <v>0</v>
      </c>
      <c r="J276" s="48">
        <f t="shared" si="309"/>
        <v>0</v>
      </c>
      <c r="K276" s="48">
        <f t="shared" si="309"/>
        <v>0</v>
      </c>
      <c r="L276" s="48">
        <f t="shared" si="309"/>
        <v>0</v>
      </c>
      <c r="M276" s="48">
        <f t="shared" si="309"/>
        <v>0</v>
      </c>
      <c r="N276" s="49">
        <f t="shared" si="309"/>
        <v>0</v>
      </c>
    </row>
    <row r="277" spans="2:14" x14ac:dyDescent="0.2">
      <c r="B277" s="53" t="s">
        <v>43</v>
      </c>
      <c r="C277" s="35"/>
      <c r="D277" s="47">
        <f t="shared" ref="D277:N277" si="310">IFERROR(D25-D151,"")</f>
        <v>0</v>
      </c>
      <c r="E277" s="48">
        <f t="shared" si="310"/>
        <v>0</v>
      </c>
      <c r="F277" s="48">
        <f t="shared" si="310"/>
        <v>0</v>
      </c>
      <c r="G277" s="48">
        <f t="shared" si="310"/>
        <v>0</v>
      </c>
      <c r="H277" s="48">
        <f t="shared" si="310"/>
        <v>0</v>
      </c>
      <c r="I277" s="48">
        <f t="shared" si="310"/>
        <v>0</v>
      </c>
      <c r="J277" s="48">
        <f t="shared" si="310"/>
        <v>0</v>
      </c>
      <c r="K277" s="48">
        <f t="shared" si="310"/>
        <v>0</v>
      </c>
      <c r="L277" s="48">
        <f t="shared" si="310"/>
        <v>0</v>
      </c>
      <c r="M277" s="48">
        <f t="shared" si="310"/>
        <v>0</v>
      </c>
      <c r="N277" s="49">
        <f t="shared" si="310"/>
        <v>0</v>
      </c>
    </row>
    <row r="278" spans="2:14" x14ac:dyDescent="0.2">
      <c r="B278" s="53" t="s">
        <v>44</v>
      </c>
      <c r="C278" s="35"/>
      <c r="D278" s="47">
        <f t="shared" ref="D278:N278" si="311">IFERROR(D26-D152,"")</f>
        <v>0</v>
      </c>
      <c r="E278" s="48">
        <f t="shared" si="311"/>
        <v>0</v>
      </c>
      <c r="F278" s="48">
        <f t="shared" si="311"/>
        <v>0</v>
      </c>
      <c r="G278" s="48">
        <f t="shared" si="311"/>
        <v>0</v>
      </c>
      <c r="H278" s="48">
        <f t="shared" si="311"/>
        <v>0</v>
      </c>
      <c r="I278" s="48">
        <f t="shared" si="311"/>
        <v>0</v>
      </c>
      <c r="J278" s="48">
        <f t="shared" si="311"/>
        <v>0</v>
      </c>
      <c r="K278" s="48">
        <f t="shared" si="311"/>
        <v>0</v>
      </c>
      <c r="L278" s="48">
        <f t="shared" si="311"/>
        <v>0</v>
      </c>
      <c r="M278" s="48">
        <f t="shared" si="311"/>
        <v>0</v>
      </c>
      <c r="N278" s="49">
        <f t="shared" si="311"/>
        <v>0</v>
      </c>
    </row>
    <row r="279" spans="2:14" x14ac:dyDescent="0.2">
      <c r="B279" s="53" t="s">
        <v>45</v>
      </c>
      <c r="C279" s="35"/>
      <c r="D279" s="47">
        <f t="shared" ref="D279:N279" si="312">IFERROR(D27-D153,"")</f>
        <v>0</v>
      </c>
      <c r="E279" s="48">
        <f t="shared" si="312"/>
        <v>0</v>
      </c>
      <c r="F279" s="48">
        <f t="shared" si="312"/>
        <v>0</v>
      </c>
      <c r="G279" s="48">
        <f t="shared" si="312"/>
        <v>0</v>
      </c>
      <c r="H279" s="48">
        <f t="shared" si="312"/>
        <v>0</v>
      </c>
      <c r="I279" s="48">
        <f t="shared" si="312"/>
        <v>0</v>
      </c>
      <c r="J279" s="48">
        <f t="shared" si="312"/>
        <v>0</v>
      </c>
      <c r="K279" s="48">
        <f t="shared" si="312"/>
        <v>0</v>
      </c>
      <c r="L279" s="48">
        <f t="shared" si="312"/>
        <v>0</v>
      </c>
      <c r="M279" s="48">
        <f t="shared" si="312"/>
        <v>0</v>
      </c>
      <c r="N279" s="49">
        <f t="shared" si="312"/>
        <v>0</v>
      </c>
    </row>
    <row r="280" spans="2:14" x14ac:dyDescent="0.2">
      <c r="B280" s="53" t="s">
        <v>46</v>
      </c>
      <c r="C280" s="35"/>
      <c r="D280" s="47">
        <f t="shared" ref="D280:N280" si="313">IFERROR(D28-D154,"")</f>
        <v>0</v>
      </c>
      <c r="E280" s="48">
        <f t="shared" si="313"/>
        <v>0</v>
      </c>
      <c r="F280" s="48">
        <f t="shared" si="313"/>
        <v>0</v>
      </c>
      <c r="G280" s="48">
        <f t="shared" si="313"/>
        <v>0</v>
      </c>
      <c r="H280" s="48">
        <f t="shared" si="313"/>
        <v>0</v>
      </c>
      <c r="I280" s="48">
        <f t="shared" si="313"/>
        <v>0</v>
      </c>
      <c r="J280" s="48">
        <f t="shared" si="313"/>
        <v>0</v>
      </c>
      <c r="K280" s="48">
        <f t="shared" si="313"/>
        <v>0</v>
      </c>
      <c r="L280" s="48">
        <f t="shared" si="313"/>
        <v>0</v>
      </c>
      <c r="M280" s="48">
        <f t="shared" si="313"/>
        <v>0</v>
      </c>
      <c r="N280" s="49">
        <f t="shared" si="313"/>
        <v>0</v>
      </c>
    </row>
    <row r="281" spans="2:14" x14ac:dyDescent="0.2">
      <c r="B281" s="53" t="s">
        <v>44</v>
      </c>
      <c r="C281" s="35"/>
      <c r="D281" s="47">
        <f t="shared" ref="D281:N281" si="314">IFERROR(D29-D155,"")</f>
        <v>0</v>
      </c>
      <c r="E281" s="48">
        <f>IFERROR(E29-E158,"")</f>
        <v>1709685</v>
      </c>
      <c r="F281" s="48">
        <f t="shared" si="314"/>
        <v>0</v>
      </c>
      <c r="G281" s="48">
        <f t="shared" si="314"/>
        <v>0</v>
      </c>
      <c r="H281" s="48">
        <f t="shared" si="314"/>
        <v>0</v>
      </c>
      <c r="I281" s="48">
        <f t="shared" si="314"/>
        <v>0</v>
      </c>
      <c r="J281" s="48">
        <f t="shared" si="314"/>
        <v>0</v>
      </c>
      <c r="K281" s="48">
        <f t="shared" si="314"/>
        <v>0</v>
      </c>
      <c r="L281" s="48">
        <f t="shared" si="314"/>
        <v>0</v>
      </c>
      <c r="M281" s="48">
        <f t="shared" si="314"/>
        <v>0</v>
      </c>
      <c r="N281" s="49">
        <f t="shared" si="314"/>
        <v>0</v>
      </c>
    </row>
    <row r="282" spans="2:14" x14ac:dyDescent="0.2">
      <c r="B282" s="53" t="s">
        <v>45</v>
      </c>
      <c r="C282" s="35"/>
      <c r="D282" s="47">
        <f t="shared" ref="D282:N282" si="315">IFERROR(D30-D156,"")</f>
        <v>0</v>
      </c>
      <c r="E282" s="48">
        <f t="shared" si="315"/>
        <v>0</v>
      </c>
      <c r="F282" s="48">
        <f t="shared" si="315"/>
        <v>0</v>
      </c>
      <c r="G282" s="48">
        <f t="shared" si="315"/>
        <v>0</v>
      </c>
      <c r="H282" s="48">
        <f t="shared" si="315"/>
        <v>0</v>
      </c>
      <c r="I282" s="48">
        <f t="shared" si="315"/>
        <v>0</v>
      </c>
      <c r="J282" s="48">
        <f t="shared" si="315"/>
        <v>0</v>
      </c>
      <c r="K282" s="48">
        <f t="shared" si="315"/>
        <v>0</v>
      </c>
      <c r="L282" s="48">
        <f t="shared" si="315"/>
        <v>0</v>
      </c>
      <c r="M282" s="48">
        <f t="shared" si="315"/>
        <v>0</v>
      </c>
      <c r="N282" s="49">
        <f t="shared" si="315"/>
        <v>0</v>
      </c>
    </row>
    <row r="283" spans="2:14" x14ac:dyDescent="0.2">
      <c r="B283" s="53" t="s">
        <v>47</v>
      </c>
      <c r="C283" s="35"/>
      <c r="D283" s="47">
        <f t="shared" ref="D283:N283" si="316">IFERROR(D31-D157,"")</f>
        <v>0</v>
      </c>
      <c r="E283" s="48">
        <f t="shared" si="316"/>
        <v>0</v>
      </c>
      <c r="F283" s="48">
        <f t="shared" si="316"/>
        <v>0</v>
      </c>
      <c r="G283" s="48">
        <f t="shared" si="316"/>
        <v>0</v>
      </c>
      <c r="H283" s="48">
        <f t="shared" si="316"/>
        <v>0</v>
      </c>
      <c r="I283" s="48">
        <f t="shared" si="316"/>
        <v>0</v>
      </c>
      <c r="J283" s="48">
        <f t="shared" si="316"/>
        <v>0</v>
      </c>
      <c r="K283" s="48">
        <f t="shared" si="316"/>
        <v>0</v>
      </c>
      <c r="L283" s="48">
        <f t="shared" si="316"/>
        <v>0</v>
      </c>
      <c r="M283" s="48">
        <f t="shared" si="316"/>
        <v>0</v>
      </c>
      <c r="N283" s="49">
        <f t="shared" si="316"/>
        <v>0</v>
      </c>
    </row>
    <row r="284" spans="2:14" x14ac:dyDescent="0.2">
      <c r="B284" s="53" t="s">
        <v>48</v>
      </c>
      <c r="C284" s="35"/>
      <c r="D284" s="47">
        <f t="shared" ref="D284:N284" si="317">IFERROR(D32-D158,"")</f>
        <v>0</v>
      </c>
      <c r="E284" s="48" t="str">
        <f>IFERROR(E32-#REF!,"")</f>
        <v/>
      </c>
      <c r="F284" s="48">
        <f t="shared" si="317"/>
        <v>0</v>
      </c>
      <c r="G284" s="48">
        <f t="shared" si="317"/>
        <v>0</v>
      </c>
      <c r="H284" s="48">
        <f t="shared" si="317"/>
        <v>0</v>
      </c>
      <c r="I284" s="48">
        <f t="shared" si="317"/>
        <v>0</v>
      </c>
      <c r="J284" s="48">
        <f t="shared" si="317"/>
        <v>0</v>
      </c>
      <c r="K284" s="48">
        <f t="shared" si="317"/>
        <v>0</v>
      </c>
      <c r="L284" s="48">
        <f t="shared" si="317"/>
        <v>0</v>
      </c>
      <c r="M284" s="48">
        <f t="shared" si="317"/>
        <v>0</v>
      </c>
      <c r="N284" s="49">
        <f t="shared" si="317"/>
        <v>0</v>
      </c>
    </row>
    <row r="285" spans="2:14" x14ac:dyDescent="0.2">
      <c r="B285" s="53" t="s">
        <v>49</v>
      </c>
      <c r="C285" s="35"/>
      <c r="D285" s="47">
        <f t="shared" ref="D285:N285" si="318">IFERROR(D33-D159,"")</f>
        <v>0</v>
      </c>
      <c r="E285" s="48">
        <f t="shared" si="318"/>
        <v>0</v>
      </c>
      <c r="F285" s="48">
        <f t="shared" si="318"/>
        <v>0</v>
      </c>
      <c r="G285" s="48">
        <f t="shared" si="318"/>
        <v>0</v>
      </c>
      <c r="H285" s="48">
        <f t="shared" si="318"/>
        <v>0</v>
      </c>
      <c r="I285" s="48">
        <f t="shared" si="318"/>
        <v>0</v>
      </c>
      <c r="J285" s="48">
        <f t="shared" si="318"/>
        <v>0</v>
      </c>
      <c r="K285" s="48">
        <f t="shared" si="318"/>
        <v>0</v>
      </c>
      <c r="L285" s="48">
        <f t="shared" si="318"/>
        <v>0</v>
      </c>
      <c r="M285" s="48">
        <f t="shared" si="318"/>
        <v>0</v>
      </c>
      <c r="N285" s="49">
        <f t="shared" si="318"/>
        <v>0</v>
      </c>
    </row>
    <row r="286" spans="2:14" x14ac:dyDescent="0.2">
      <c r="B286" s="53" t="s">
        <v>50</v>
      </c>
      <c r="C286" s="35"/>
      <c r="D286" s="47">
        <f t="shared" ref="D286:N286" si="319">IFERROR(D34-D160,"")</f>
        <v>0</v>
      </c>
      <c r="E286" s="48">
        <f t="shared" si="319"/>
        <v>0</v>
      </c>
      <c r="F286" s="48">
        <f t="shared" si="319"/>
        <v>0</v>
      </c>
      <c r="G286" s="48">
        <f t="shared" si="319"/>
        <v>0</v>
      </c>
      <c r="H286" s="48">
        <f t="shared" si="319"/>
        <v>0</v>
      </c>
      <c r="I286" s="48">
        <f t="shared" si="319"/>
        <v>0</v>
      </c>
      <c r="J286" s="48">
        <f t="shared" si="319"/>
        <v>0</v>
      </c>
      <c r="K286" s="48">
        <f t="shared" si="319"/>
        <v>0</v>
      </c>
      <c r="L286" s="48">
        <f t="shared" si="319"/>
        <v>0</v>
      </c>
      <c r="M286" s="48">
        <f t="shared" si="319"/>
        <v>0</v>
      </c>
      <c r="N286" s="49">
        <f t="shared" si="319"/>
        <v>0</v>
      </c>
    </row>
    <row r="287" spans="2:14" x14ac:dyDescent="0.2">
      <c r="B287" s="53" t="s">
        <v>51</v>
      </c>
      <c r="C287" s="35"/>
      <c r="D287" s="47">
        <f t="shared" ref="D287:N287" si="320">IFERROR(D35-D161,"")</f>
        <v>0</v>
      </c>
      <c r="E287" s="48">
        <f t="shared" si="320"/>
        <v>0</v>
      </c>
      <c r="F287" s="48">
        <f t="shared" si="320"/>
        <v>0</v>
      </c>
      <c r="G287" s="48">
        <f t="shared" si="320"/>
        <v>0</v>
      </c>
      <c r="H287" s="48">
        <f t="shared" si="320"/>
        <v>0</v>
      </c>
      <c r="I287" s="48">
        <f t="shared" si="320"/>
        <v>0</v>
      </c>
      <c r="J287" s="48">
        <f t="shared" si="320"/>
        <v>0</v>
      </c>
      <c r="K287" s="48">
        <f>IFERROR(K35-K161,"")</f>
        <v>0</v>
      </c>
      <c r="L287" s="48">
        <f t="shared" si="320"/>
        <v>0</v>
      </c>
      <c r="M287" s="48">
        <f t="shared" si="320"/>
        <v>0</v>
      </c>
      <c r="N287" s="49">
        <f t="shared" si="320"/>
        <v>0</v>
      </c>
    </row>
    <row r="288" spans="2:14" x14ac:dyDescent="0.2">
      <c r="B288" s="53" t="s">
        <v>52</v>
      </c>
      <c r="C288" s="35"/>
      <c r="D288" s="47">
        <f t="shared" ref="D288:N288" si="321">IFERROR(D36-D162,"")</f>
        <v>0</v>
      </c>
      <c r="E288" s="48">
        <f t="shared" si="321"/>
        <v>0</v>
      </c>
      <c r="F288" s="48">
        <f t="shared" si="321"/>
        <v>0</v>
      </c>
      <c r="G288" s="48">
        <f t="shared" si="321"/>
        <v>0</v>
      </c>
      <c r="H288" s="48">
        <f t="shared" si="321"/>
        <v>0</v>
      </c>
      <c r="I288" s="48">
        <f t="shared" si="321"/>
        <v>0</v>
      </c>
      <c r="J288" s="48">
        <f t="shared" si="321"/>
        <v>0</v>
      </c>
      <c r="K288" s="48">
        <f>IFERROR(K36-K162,"")</f>
        <v>0</v>
      </c>
      <c r="L288" s="48">
        <f t="shared" si="321"/>
        <v>0</v>
      </c>
      <c r="M288" s="48">
        <f t="shared" si="321"/>
        <v>0</v>
      </c>
      <c r="N288" s="49">
        <f t="shared" si="321"/>
        <v>0</v>
      </c>
    </row>
    <row r="289" spans="2:14" x14ac:dyDescent="0.2">
      <c r="B289" s="53" t="s">
        <v>53</v>
      </c>
      <c r="C289" s="35"/>
      <c r="D289" s="47">
        <f t="shared" ref="D289:N289" si="322">IFERROR(D37-D163,"")</f>
        <v>0</v>
      </c>
      <c r="E289" s="48">
        <f t="shared" si="322"/>
        <v>0</v>
      </c>
      <c r="F289" s="48">
        <f t="shared" si="322"/>
        <v>0</v>
      </c>
      <c r="G289" s="48">
        <f t="shared" si="322"/>
        <v>0</v>
      </c>
      <c r="H289" s="48">
        <f t="shared" si="322"/>
        <v>0</v>
      </c>
      <c r="I289" s="48">
        <f t="shared" si="322"/>
        <v>0</v>
      </c>
      <c r="J289" s="48">
        <f t="shared" si="322"/>
        <v>0</v>
      </c>
      <c r="K289" s="48">
        <f t="shared" si="322"/>
        <v>0</v>
      </c>
      <c r="L289" s="48">
        <f t="shared" si="322"/>
        <v>0</v>
      </c>
      <c r="M289" s="48">
        <f t="shared" si="322"/>
        <v>0</v>
      </c>
      <c r="N289" s="49">
        <f t="shared" si="322"/>
        <v>0</v>
      </c>
    </row>
    <row r="290" spans="2:14" x14ac:dyDescent="0.2">
      <c r="B290" s="53" t="s">
        <v>54</v>
      </c>
      <c r="C290" s="35"/>
      <c r="D290" s="47">
        <f t="shared" ref="D290:N290" si="323">IFERROR(D38-D164,"")</f>
        <v>0</v>
      </c>
      <c r="E290" s="48">
        <f t="shared" si="323"/>
        <v>0</v>
      </c>
      <c r="F290" s="48">
        <f t="shared" si="323"/>
        <v>0</v>
      </c>
      <c r="G290" s="48">
        <f t="shared" si="323"/>
        <v>0</v>
      </c>
      <c r="H290" s="48">
        <f t="shared" si="323"/>
        <v>0</v>
      </c>
      <c r="I290" s="48">
        <f t="shared" si="323"/>
        <v>0</v>
      </c>
      <c r="J290" s="48">
        <f t="shared" si="323"/>
        <v>0</v>
      </c>
      <c r="K290" s="48">
        <f t="shared" si="323"/>
        <v>0</v>
      </c>
      <c r="L290" s="48">
        <f t="shared" si="323"/>
        <v>0</v>
      </c>
      <c r="M290" s="48">
        <f t="shared" si="323"/>
        <v>0</v>
      </c>
      <c r="N290" s="49">
        <f t="shared" si="323"/>
        <v>0</v>
      </c>
    </row>
    <row r="291" spans="2:14" ht="15" x14ac:dyDescent="0.2">
      <c r="B291" s="55" t="s">
        <v>55</v>
      </c>
      <c r="C291" s="35"/>
      <c r="D291" s="58">
        <f t="shared" ref="D291:N291" si="324">IFERROR(D39-D165,"")</f>
        <v>0</v>
      </c>
      <c r="E291" s="58">
        <f t="shared" si="324"/>
        <v>-0.46000000089406967</v>
      </c>
      <c r="F291" s="58">
        <f t="shared" si="324"/>
        <v>-0.47149999439716339</v>
      </c>
      <c r="G291" s="58">
        <f t="shared" si="324"/>
        <v>-0.4832874983549118</v>
      </c>
      <c r="H291" s="58">
        <f t="shared" si="324"/>
        <v>-0.49536968767642975</v>
      </c>
      <c r="I291" s="58">
        <f t="shared" si="324"/>
        <v>-0.50775393098592758</v>
      </c>
      <c r="J291" s="58">
        <f t="shared" si="324"/>
        <v>-0.52044777572154999</v>
      </c>
      <c r="K291" s="58">
        <f t="shared" si="324"/>
        <v>-0.53345897793769836</v>
      </c>
      <c r="L291" s="58">
        <f t="shared" si="324"/>
        <v>-0.54679544270038605</v>
      </c>
      <c r="M291" s="58">
        <f t="shared" si="324"/>
        <v>-0.56046532839536667</v>
      </c>
      <c r="N291" s="59">
        <f t="shared" si="324"/>
        <v>-0.57447696477174759</v>
      </c>
    </row>
    <row r="292" spans="2:14" x14ac:dyDescent="0.2">
      <c r="B292" s="22"/>
      <c r="N292" s="23"/>
    </row>
    <row r="293" spans="2:14" x14ac:dyDescent="0.2">
      <c r="B293" s="53" t="s">
        <v>57</v>
      </c>
      <c r="C293" s="35"/>
      <c r="D293" s="47">
        <f t="shared" ref="D293:N293" si="325">IFERROR(D41-D167,"")</f>
        <v>0</v>
      </c>
      <c r="E293" s="48">
        <f t="shared" si="325"/>
        <v>0</v>
      </c>
      <c r="F293" s="48">
        <f t="shared" si="325"/>
        <v>0</v>
      </c>
      <c r="G293" s="48">
        <f t="shared" si="325"/>
        <v>0</v>
      </c>
      <c r="H293" s="48">
        <f t="shared" si="325"/>
        <v>0</v>
      </c>
      <c r="I293" s="48">
        <f t="shared" si="325"/>
        <v>0</v>
      </c>
      <c r="J293" s="48">
        <f t="shared" si="325"/>
        <v>0</v>
      </c>
      <c r="K293" s="48">
        <f t="shared" si="325"/>
        <v>0</v>
      </c>
      <c r="L293" s="48">
        <f t="shared" si="325"/>
        <v>0</v>
      </c>
      <c r="M293" s="48">
        <f t="shared" si="325"/>
        <v>0</v>
      </c>
      <c r="N293" s="49">
        <f t="shared" si="325"/>
        <v>0</v>
      </c>
    </row>
    <row r="294" spans="2:14" x14ac:dyDescent="0.2">
      <c r="B294" s="53" t="s">
        <v>58</v>
      </c>
      <c r="C294" s="35"/>
      <c r="D294" s="47">
        <f t="shared" ref="D294:N294" si="326">IFERROR(D42-D168,"")</f>
        <v>0</v>
      </c>
      <c r="E294" s="48">
        <f t="shared" si="326"/>
        <v>0</v>
      </c>
      <c r="F294" s="48">
        <f t="shared" si="326"/>
        <v>0</v>
      </c>
      <c r="G294" s="48">
        <f t="shared" si="326"/>
        <v>0</v>
      </c>
      <c r="H294" s="48">
        <f t="shared" si="326"/>
        <v>0</v>
      </c>
      <c r="I294" s="48">
        <f t="shared" si="326"/>
        <v>0</v>
      </c>
      <c r="J294" s="48">
        <f t="shared" si="326"/>
        <v>0</v>
      </c>
      <c r="K294" s="48">
        <f t="shared" si="326"/>
        <v>0</v>
      </c>
      <c r="L294" s="48">
        <f t="shared" si="326"/>
        <v>0</v>
      </c>
      <c r="M294" s="48">
        <f t="shared" si="326"/>
        <v>0</v>
      </c>
      <c r="N294" s="49">
        <f t="shared" si="326"/>
        <v>0</v>
      </c>
    </row>
    <row r="295" spans="2:14" x14ac:dyDescent="0.2">
      <c r="B295" s="53" t="s">
        <v>59</v>
      </c>
      <c r="C295" s="35"/>
      <c r="D295" s="47">
        <f t="shared" ref="D295:N295" si="327">IFERROR(D43-D169,"")</f>
        <v>0</v>
      </c>
      <c r="E295" s="48">
        <f t="shared" si="327"/>
        <v>0</v>
      </c>
      <c r="F295" s="48">
        <f t="shared" si="327"/>
        <v>0</v>
      </c>
      <c r="G295" s="48">
        <f t="shared" si="327"/>
        <v>0</v>
      </c>
      <c r="H295" s="48">
        <f t="shared" si="327"/>
        <v>0</v>
      </c>
      <c r="I295" s="48">
        <f t="shared" si="327"/>
        <v>0</v>
      </c>
      <c r="J295" s="48">
        <f t="shared" si="327"/>
        <v>0</v>
      </c>
      <c r="K295" s="48">
        <f t="shared" si="327"/>
        <v>0</v>
      </c>
      <c r="L295" s="48">
        <f t="shared" si="327"/>
        <v>0</v>
      </c>
      <c r="M295" s="48">
        <f t="shared" si="327"/>
        <v>0</v>
      </c>
      <c r="N295" s="49">
        <f t="shared" si="327"/>
        <v>0</v>
      </c>
    </row>
    <row r="296" spans="2:14" x14ac:dyDescent="0.2">
      <c r="B296" s="53" t="s">
        <v>60</v>
      </c>
      <c r="C296" s="35"/>
      <c r="D296" s="47">
        <f t="shared" ref="D296:N296" si="328">IFERROR(D44-D170,"")</f>
        <v>0</v>
      </c>
      <c r="E296" s="48">
        <f t="shared" si="328"/>
        <v>0</v>
      </c>
      <c r="F296" s="48">
        <f t="shared" si="328"/>
        <v>0</v>
      </c>
      <c r="G296" s="48">
        <f t="shared" si="328"/>
        <v>0</v>
      </c>
      <c r="H296" s="48">
        <f t="shared" si="328"/>
        <v>0</v>
      </c>
      <c r="I296" s="48">
        <f t="shared" si="328"/>
        <v>0</v>
      </c>
      <c r="J296" s="48">
        <f t="shared" si="328"/>
        <v>0</v>
      </c>
      <c r="K296" s="48">
        <f t="shared" si="328"/>
        <v>0</v>
      </c>
      <c r="L296" s="48">
        <f t="shared" si="328"/>
        <v>0</v>
      </c>
      <c r="M296" s="48">
        <f t="shared" si="328"/>
        <v>0</v>
      </c>
      <c r="N296" s="49">
        <f t="shared" si="328"/>
        <v>0</v>
      </c>
    </row>
    <row r="297" spans="2:14" x14ac:dyDescent="0.2">
      <c r="B297" s="53" t="s">
        <v>61</v>
      </c>
      <c r="C297" s="35"/>
      <c r="D297" s="47">
        <f t="shared" ref="D297:N297" si="329">IFERROR(D45-D171,"")</f>
        <v>0</v>
      </c>
      <c r="E297" s="48">
        <f t="shared" si="329"/>
        <v>0</v>
      </c>
      <c r="F297" s="48">
        <f t="shared" si="329"/>
        <v>0</v>
      </c>
      <c r="G297" s="48">
        <f t="shared" si="329"/>
        <v>0</v>
      </c>
      <c r="H297" s="48">
        <f t="shared" si="329"/>
        <v>0</v>
      </c>
      <c r="I297" s="48">
        <f t="shared" si="329"/>
        <v>0</v>
      </c>
      <c r="J297" s="48">
        <f t="shared" si="329"/>
        <v>0</v>
      </c>
      <c r="K297" s="48">
        <f t="shared" si="329"/>
        <v>0</v>
      </c>
      <c r="L297" s="48">
        <f t="shared" si="329"/>
        <v>0</v>
      </c>
      <c r="M297" s="48">
        <f t="shared" si="329"/>
        <v>0</v>
      </c>
      <c r="N297" s="49">
        <f t="shared" si="329"/>
        <v>0</v>
      </c>
    </row>
    <row r="298" spans="2:14" x14ac:dyDescent="0.2">
      <c r="B298" s="53" t="s">
        <v>62</v>
      </c>
      <c r="C298" s="35"/>
      <c r="D298" s="47">
        <f t="shared" ref="D298:N298" si="330">IFERROR(D46-D172,"")</f>
        <v>0</v>
      </c>
      <c r="E298" s="48">
        <f t="shared" si="330"/>
        <v>0</v>
      </c>
      <c r="F298" s="48">
        <f t="shared" si="330"/>
        <v>0</v>
      </c>
      <c r="G298" s="48">
        <f t="shared" si="330"/>
        <v>0</v>
      </c>
      <c r="H298" s="48">
        <f t="shared" si="330"/>
        <v>0</v>
      </c>
      <c r="I298" s="48">
        <f t="shared" si="330"/>
        <v>0</v>
      </c>
      <c r="J298" s="48">
        <f t="shared" si="330"/>
        <v>0</v>
      </c>
      <c r="K298" s="48">
        <f t="shared" si="330"/>
        <v>0</v>
      </c>
      <c r="L298" s="48">
        <f t="shared" si="330"/>
        <v>0</v>
      </c>
      <c r="M298" s="48">
        <f t="shared" si="330"/>
        <v>0</v>
      </c>
      <c r="N298" s="49">
        <f t="shared" si="330"/>
        <v>0</v>
      </c>
    </row>
    <row r="299" spans="2:14" x14ac:dyDescent="0.2">
      <c r="B299" s="53" t="s">
        <v>63</v>
      </c>
      <c r="C299" s="35"/>
      <c r="D299" s="47">
        <f t="shared" ref="D299:N299" si="331">IFERROR(D47-D173,"")</f>
        <v>0</v>
      </c>
      <c r="E299" s="48">
        <f t="shared" si="331"/>
        <v>0</v>
      </c>
      <c r="F299" s="48">
        <f t="shared" si="331"/>
        <v>0</v>
      </c>
      <c r="G299" s="48">
        <f t="shared" si="331"/>
        <v>0</v>
      </c>
      <c r="H299" s="48">
        <f t="shared" si="331"/>
        <v>0</v>
      </c>
      <c r="I299" s="48">
        <f t="shared" si="331"/>
        <v>0</v>
      </c>
      <c r="J299" s="48">
        <f t="shared" si="331"/>
        <v>0</v>
      </c>
      <c r="K299" s="48">
        <f t="shared" si="331"/>
        <v>0</v>
      </c>
      <c r="L299" s="48">
        <f t="shared" si="331"/>
        <v>0</v>
      </c>
      <c r="M299" s="48">
        <f t="shared" si="331"/>
        <v>0</v>
      </c>
      <c r="N299" s="49">
        <f t="shared" si="331"/>
        <v>0</v>
      </c>
    </row>
    <row r="300" spans="2:14" x14ac:dyDescent="0.2">
      <c r="B300" s="53" t="s">
        <v>64</v>
      </c>
      <c r="C300" s="35"/>
      <c r="D300" s="47">
        <f t="shared" ref="D300:N300" si="332">IFERROR(D48-D174,"")</f>
        <v>0</v>
      </c>
      <c r="E300" s="48">
        <f t="shared" si="332"/>
        <v>0</v>
      </c>
      <c r="F300" s="48">
        <f t="shared" si="332"/>
        <v>0</v>
      </c>
      <c r="G300" s="48">
        <f t="shared" si="332"/>
        <v>0</v>
      </c>
      <c r="H300" s="48">
        <f t="shared" si="332"/>
        <v>0</v>
      </c>
      <c r="I300" s="48">
        <f t="shared" si="332"/>
        <v>0</v>
      </c>
      <c r="J300" s="48">
        <f t="shared" si="332"/>
        <v>0</v>
      </c>
      <c r="K300" s="48">
        <f t="shared" si="332"/>
        <v>0</v>
      </c>
      <c r="L300" s="48">
        <f t="shared" si="332"/>
        <v>0</v>
      </c>
      <c r="M300" s="48">
        <f t="shared" si="332"/>
        <v>0</v>
      </c>
      <c r="N300" s="49">
        <f t="shared" si="332"/>
        <v>0</v>
      </c>
    </row>
    <row r="301" spans="2:14" x14ac:dyDescent="0.2">
      <c r="B301" s="53" t="s">
        <v>51</v>
      </c>
      <c r="C301" s="35"/>
      <c r="D301" s="47">
        <f t="shared" ref="D301:N301" si="333">IFERROR(D49-D175,"")</f>
        <v>0</v>
      </c>
      <c r="E301" s="48">
        <f t="shared" si="333"/>
        <v>0</v>
      </c>
      <c r="F301" s="48">
        <f t="shared" si="333"/>
        <v>0</v>
      </c>
      <c r="G301" s="48">
        <f t="shared" si="333"/>
        <v>0</v>
      </c>
      <c r="H301" s="48">
        <f t="shared" si="333"/>
        <v>0</v>
      </c>
      <c r="I301" s="48">
        <f t="shared" si="333"/>
        <v>0</v>
      </c>
      <c r="J301" s="48">
        <f t="shared" si="333"/>
        <v>0</v>
      </c>
      <c r="K301" s="48">
        <f t="shared" si="333"/>
        <v>0</v>
      </c>
      <c r="L301" s="48">
        <f t="shared" si="333"/>
        <v>0</v>
      </c>
      <c r="M301" s="48">
        <f t="shared" si="333"/>
        <v>0</v>
      </c>
      <c r="N301" s="49">
        <f t="shared" si="333"/>
        <v>0</v>
      </c>
    </row>
    <row r="302" spans="2:14" x14ac:dyDescent="0.2">
      <c r="B302" s="53" t="s">
        <v>52</v>
      </c>
      <c r="C302" s="35"/>
      <c r="D302" s="47">
        <f t="shared" ref="D302:N302" si="334">IFERROR(D50-D176,"")</f>
        <v>0</v>
      </c>
      <c r="E302" s="48">
        <f t="shared" si="334"/>
        <v>0</v>
      </c>
      <c r="F302" s="48">
        <f t="shared" si="334"/>
        <v>0</v>
      </c>
      <c r="G302" s="48">
        <f t="shared" si="334"/>
        <v>0</v>
      </c>
      <c r="H302" s="48">
        <f t="shared" si="334"/>
        <v>0</v>
      </c>
      <c r="I302" s="48">
        <f t="shared" si="334"/>
        <v>0</v>
      </c>
      <c r="J302" s="48">
        <f t="shared" si="334"/>
        <v>0</v>
      </c>
      <c r="K302" s="48">
        <f t="shared" si="334"/>
        <v>0</v>
      </c>
      <c r="L302" s="48">
        <f t="shared" si="334"/>
        <v>0</v>
      </c>
      <c r="M302" s="48">
        <f t="shared" si="334"/>
        <v>0</v>
      </c>
      <c r="N302" s="49">
        <f t="shared" si="334"/>
        <v>0</v>
      </c>
    </row>
    <row r="303" spans="2:14" x14ac:dyDescent="0.2">
      <c r="B303" s="53" t="s">
        <v>53</v>
      </c>
      <c r="C303" s="35"/>
      <c r="D303" s="47">
        <f t="shared" ref="D303:N303" si="335">IFERROR(D51-D177,"")</f>
        <v>0</v>
      </c>
      <c r="E303" s="48">
        <f t="shared" si="335"/>
        <v>0</v>
      </c>
      <c r="F303" s="48">
        <f t="shared" si="335"/>
        <v>0</v>
      </c>
      <c r="G303" s="48">
        <f t="shared" si="335"/>
        <v>0</v>
      </c>
      <c r="H303" s="48">
        <f t="shared" si="335"/>
        <v>0</v>
      </c>
      <c r="I303" s="48">
        <f t="shared" si="335"/>
        <v>0</v>
      </c>
      <c r="J303" s="48">
        <f t="shared" si="335"/>
        <v>0</v>
      </c>
      <c r="K303" s="48">
        <f t="shared" si="335"/>
        <v>0</v>
      </c>
      <c r="L303" s="48">
        <f t="shared" si="335"/>
        <v>0</v>
      </c>
      <c r="M303" s="48">
        <f t="shared" si="335"/>
        <v>0</v>
      </c>
      <c r="N303" s="49">
        <f t="shared" si="335"/>
        <v>0</v>
      </c>
    </row>
    <row r="304" spans="2:14" x14ac:dyDescent="0.2">
      <c r="B304" s="53" t="s">
        <v>65</v>
      </c>
      <c r="C304" s="35"/>
      <c r="D304" s="47">
        <f t="shared" ref="D304:N304" si="336">IFERROR(D52-D178,"")</f>
        <v>0</v>
      </c>
      <c r="E304" s="48">
        <f t="shared" si="336"/>
        <v>0</v>
      </c>
      <c r="F304" s="48">
        <f t="shared" si="336"/>
        <v>0</v>
      </c>
      <c r="G304" s="48">
        <f t="shared" si="336"/>
        <v>0</v>
      </c>
      <c r="H304" s="48">
        <f t="shared" si="336"/>
        <v>0</v>
      </c>
      <c r="I304" s="48">
        <f t="shared" si="336"/>
        <v>0</v>
      </c>
      <c r="J304" s="48">
        <f t="shared" si="336"/>
        <v>0</v>
      </c>
      <c r="K304" s="48">
        <f t="shared" si="336"/>
        <v>0</v>
      </c>
      <c r="L304" s="48">
        <f t="shared" si="336"/>
        <v>0</v>
      </c>
      <c r="M304" s="48">
        <f t="shared" si="336"/>
        <v>0</v>
      </c>
      <c r="N304" s="49">
        <f t="shared" si="336"/>
        <v>0</v>
      </c>
    </row>
    <row r="305" spans="2:14" ht="15" x14ac:dyDescent="0.2">
      <c r="B305" s="55" t="s">
        <v>66</v>
      </c>
      <c r="C305" s="35"/>
      <c r="D305" s="57">
        <f t="shared" ref="D305:N305" si="337">IFERROR(D53-D179,"")</f>
        <v>0</v>
      </c>
      <c r="E305" s="58">
        <f t="shared" si="337"/>
        <v>0</v>
      </c>
      <c r="F305" s="58">
        <f t="shared" si="337"/>
        <v>0</v>
      </c>
      <c r="G305" s="58">
        <f t="shared" si="337"/>
        <v>0</v>
      </c>
      <c r="H305" s="58">
        <f t="shared" si="337"/>
        <v>0</v>
      </c>
      <c r="I305" s="58">
        <f t="shared" si="337"/>
        <v>0</v>
      </c>
      <c r="J305" s="58">
        <f t="shared" si="337"/>
        <v>0</v>
      </c>
      <c r="K305" s="58">
        <f t="shared" si="337"/>
        <v>0</v>
      </c>
      <c r="L305" s="58">
        <f t="shared" si="337"/>
        <v>0</v>
      </c>
      <c r="M305" s="58">
        <f t="shared" si="337"/>
        <v>0</v>
      </c>
      <c r="N305" s="59">
        <f t="shared" si="337"/>
        <v>0</v>
      </c>
    </row>
    <row r="306" spans="2:14" x14ac:dyDescent="0.2">
      <c r="B306" s="22"/>
      <c r="N306" s="23"/>
    </row>
    <row r="307" spans="2:14" ht="15" x14ac:dyDescent="0.2">
      <c r="B307" s="55" t="s">
        <v>415</v>
      </c>
      <c r="C307" s="52"/>
      <c r="D307" s="57">
        <f t="shared" ref="D307:N307" si="338">IFERROR(D55-D181,"")</f>
        <v>0</v>
      </c>
      <c r="E307" s="58">
        <f t="shared" si="338"/>
        <v>-0.46000000089406967</v>
      </c>
      <c r="F307" s="58">
        <f t="shared" si="338"/>
        <v>-0.47149999439716339</v>
      </c>
      <c r="G307" s="58">
        <f t="shared" si="338"/>
        <v>-0.4832874983549118</v>
      </c>
      <c r="H307" s="58">
        <f t="shared" si="338"/>
        <v>-0.49536968767642975</v>
      </c>
      <c r="I307" s="58">
        <f t="shared" si="338"/>
        <v>-0.50775393098592758</v>
      </c>
      <c r="J307" s="58">
        <f t="shared" si="338"/>
        <v>-0.52044777572154999</v>
      </c>
      <c r="K307" s="58">
        <f t="shared" si="338"/>
        <v>-0.53345897793769836</v>
      </c>
      <c r="L307" s="58">
        <f t="shared" si="338"/>
        <v>-0.54679544270038605</v>
      </c>
      <c r="M307" s="58">
        <f t="shared" si="338"/>
        <v>-0.56046532839536667</v>
      </c>
      <c r="N307" s="59">
        <f t="shared" si="338"/>
        <v>-0.57447696477174759</v>
      </c>
    </row>
    <row r="308" spans="2:14" x14ac:dyDescent="0.2">
      <c r="B308" s="56"/>
      <c r="C308" s="41"/>
      <c r="D308" s="25"/>
      <c r="E308" s="25"/>
      <c r="F308" s="25"/>
      <c r="G308" s="25"/>
      <c r="H308" s="25"/>
      <c r="I308" s="25"/>
      <c r="J308" s="25"/>
      <c r="K308" s="25"/>
      <c r="L308" s="25"/>
      <c r="M308" s="25"/>
      <c r="N308" s="26"/>
    </row>
    <row r="309" spans="2:14" x14ac:dyDescent="0.2"/>
    <row r="310" spans="2:14" ht="15.75" x14ac:dyDescent="0.2">
      <c r="B310" s="69" t="s">
        <v>105</v>
      </c>
      <c r="C310" s="13"/>
    </row>
    <row r="311" spans="2:14" ht="15" x14ac:dyDescent="0.2">
      <c r="B311" s="33"/>
      <c r="C311" s="36"/>
      <c r="D311" s="34" t="str">
        <f>D$2</f>
        <v>2024-25</v>
      </c>
      <c r="E311" s="19" t="str">
        <f t="shared" ref="E311:N311" si="339">E$2</f>
        <v>2025-26</v>
      </c>
      <c r="F311" s="19" t="str">
        <f t="shared" si="339"/>
        <v>2026-27</v>
      </c>
      <c r="G311" s="19" t="str">
        <f t="shared" si="339"/>
        <v>2027-28</v>
      </c>
      <c r="H311" s="19" t="str">
        <f t="shared" si="339"/>
        <v>2028-29</v>
      </c>
      <c r="I311" s="19" t="str">
        <f t="shared" si="339"/>
        <v>2029-30</v>
      </c>
      <c r="J311" s="19" t="str">
        <f t="shared" si="339"/>
        <v>2030-31</v>
      </c>
      <c r="K311" s="19" t="str">
        <f t="shared" si="339"/>
        <v>2031-32</v>
      </c>
      <c r="L311" s="19" t="str">
        <f t="shared" si="339"/>
        <v>2032-33</v>
      </c>
      <c r="M311" s="19" t="str">
        <f t="shared" si="339"/>
        <v>2033-34</v>
      </c>
      <c r="N311" s="20" t="str">
        <f t="shared" si="339"/>
        <v>2034-35</v>
      </c>
    </row>
    <row r="312" spans="2:14" x14ac:dyDescent="0.2">
      <c r="B312" s="28" t="s">
        <v>162</v>
      </c>
      <c r="C312" s="31"/>
      <c r="D312" s="31"/>
      <c r="E312" s="31"/>
      <c r="F312" s="31"/>
      <c r="G312" s="31"/>
      <c r="H312" s="31"/>
      <c r="I312" s="31"/>
      <c r="J312" s="31"/>
      <c r="K312" s="31"/>
      <c r="L312" s="31"/>
      <c r="M312" s="31"/>
      <c r="N312" s="32"/>
    </row>
    <row r="313" spans="2:14" x14ac:dyDescent="0.2">
      <c r="B313" s="53" t="s">
        <v>67</v>
      </c>
      <c r="C313" s="35"/>
      <c r="D313" s="47">
        <f t="shared" ref="D313:N313" si="340">IFERROR(D61-D187,"")</f>
        <v>0</v>
      </c>
      <c r="E313" s="48">
        <f t="shared" si="340"/>
        <v>0</v>
      </c>
      <c r="F313" s="48">
        <f t="shared" si="340"/>
        <v>0</v>
      </c>
      <c r="G313" s="48">
        <f t="shared" si="340"/>
        <v>0</v>
      </c>
      <c r="H313" s="48">
        <f t="shared" si="340"/>
        <v>0</v>
      </c>
      <c r="I313" s="48">
        <f t="shared" si="340"/>
        <v>0</v>
      </c>
      <c r="J313" s="48">
        <f t="shared" si="340"/>
        <v>0</v>
      </c>
      <c r="K313" s="48">
        <f t="shared" si="340"/>
        <v>0</v>
      </c>
      <c r="L313" s="48">
        <f t="shared" si="340"/>
        <v>0</v>
      </c>
      <c r="M313" s="48">
        <f t="shared" si="340"/>
        <v>0</v>
      </c>
      <c r="N313" s="49">
        <f t="shared" si="340"/>
        <v>0</v>
      </c>
    </row>
    <row r="314" spans="2:14" x14ac:dyDescent="0.2">
      <c r="B314" s="53" t="s">
        <v>68</v>
      </c>
      <c r="C314" s="35"/>
      <c r="D314" s="47">
        <f t="shared" ref="D314:N314" si="341">IFERROR(D62-D188,"")</f>
        <v>0</v>
      </c>
      <c r="E314" s="48">
        <f t="shared" si="341"/>
        <v>0</v>
      </c>
      <c r="F314" s="48">
        <f t="shared" si="341"/>
        <v>0</v>
      </c>
      <c r="G314" s="48">
        <f t="shared" si="341"/>
        <v>0</v>
      </c>
      <c r="H314" s="48">
        <f t="shared" si="341"/>
        <v>0</v>
      </c>
      <c r="I314" s="48">
        <f t="shared" si="341"/>
        <v>0</v>
      </c>
      <c r="J314" s="48">
        <f t="shared" si="341"/>
        <v>0</v>
      </c>
      <c r="K314" s="48">
        <f t="shared" si="341"/>
        <v>0</v>
      </c>
      <c r="L314" s="48">
        <f t="shared" si="341"/>
        <v>0</v>
      </c>
      <c r="M314" s="48">
        <f t="shared" si="341"/>
        <v>0</v>
      </c>
      <c r="N314" s="49">
        <f t="shared" si="341"/>
        <v>0</v>
      </c>
    </row>
    <row r="315" spans="2:14" x14ac:dyDescent="0.2">
      <c r="B315" s="53" t="s">
        <v>69</v>
      </c>
      <c r="C315" s="35"/>
      <c r="D315" s="47">
        <f t="shared" ref="D315:N315" si="342">IFERROR(D63-D189,"")</f>
        <v>0</v>
      </c>
      <c r="E315" s="48">
        <f t="shared" si="342"/>
        <v>0</v>
      </c>
      <c r="F315" s="48">
        <f t="shared" si="342"/>
        <v>0</v>
      </c>
      <c r="G315" s="48">
        <f t="shared" si="342"/>
        <v>0</v>
      </c>
      <c r="H315" s="48">
        <f t="shared" si="342"/>
        <v>0</v>
      </c>
      <c r="I315" s="48">
        <f t="shared" si="342"/>
        <v>0</v>
      </c>
      <c r="J315" s="48">
        <f t="shared" si="342"/>
        <v>0</v>
      </c>
      <c r="K315" s="48">
        <f t="shared" si="342"/>
        <v>0</v>
      </c>
      <c r="L315" s="48">
        <f t="shared" si="342"/>
        <v>0</v>
      </c>
      <c r="M315" s="48">
        <f t="shared" si="342"/>
        <v>0</v>
      </c>
      <c r="N315" s="49">
        <f t="shared" si="342"/>
        <v>0</v>
      </c>
    </row>
    <row r="316" spans="2:14" x14ac:dyDescent="0.2">
      <c r="B316" s="53" t="s">
        <v>70</v>
      </c>
      <c r="C316" s="35"/>
      <c r="D316" s="47">
        <f t="shared" ref="D316:N316" si="343">IFERROR(D64-D190,"")</f>
        <v>0</v>
      </c>
      <c r="E316" s="48">
        <f t="shared" si="343"/>
        <v>0</v>
      </c>
      <c r="F316" s="48">
        <f t="shared" si="343"/>
        <v>0</v>
      </c>
      <c r="G316" s="48">
        <f t="shared" si="343"/>
        <v>0</v>
      </c>
      <c r="H316" s="48">
        <f t="shared" si="343"/>
        <v>0</v>
      </c>
      <c r="I316" s="48">
        <f t="shared" si="343"/>
        <v>0</v>
      </c>
      <c r="J316" s="48">
        <f t="shared" si="343"/>
        <v>0</v>
      </c>
      <c r="K316" s="48">
        <f t="shared" si="343"/>
        <v>0</v>
      </c>
      <c r="L316" s="48">
        <f t="shared" si="343"/>
        <v>0</v>
      </c>
      <c r="M316" s="48">
        <f t="shared" si="343"/>
        <v>0</v>
      </c>
      <c r="N316" s="49">
        <f t="shared" si="343"/>
        <v>0</v>
      </c>
    </row>
    <row r="317" spans="2:14" x14ac:dyDescent="0.2">
      <c r="B317" s="53" t="s">
        <v>71</v>
      </c>
      <c r="C317" s="35"/>
      <c r="D317" s="47">
        <f t="shared" ref="D317:N317" si="344">IFERROR(D65-D191,"")</f>
        <v>0</v>
      </c>
      <c r="E317" s="48">
        <f t="shared" si="344"/>
        <v>0</v>
      </c>
      <c r="F317" s="48">
        <f t="shared" si="344"/>
        <v>0</v>
      </c>
      <c r="G317" s="48">
        <f t="shared" si="344"/>
        <v>0</v>
      </c>
      <c r="H317" s="48">
        <f t="shared" si="344"/>
        <v>0</v>
      </c>
      <c r="I317" s="48">
        <f t="shared" si="344"/>
        <v>0</v>
      </c>
      <c r="J317" s="48">
        <f t="shared" si="344"/>
        <v>0</v>
      </c>
      <c r="K317" s="48">
        <f t="shared" si="344"/>
        <v>0</v>
      </c>
      <c r="L317" s="48">
        <f t="shared" si="344"/>
        <v>0</v>
      </c>
      <c r="M317" s="48">
        <f t="shared" si="344"/>
        <v>0</v>
      </c>
      <c r="N317" s="49">
        <f t="shared" si="344"/>
        <v>0</v>
      </c>
    </row>
    <row r="318" spans="2:14" x14ac:dyDescent="0.2">
      <c r="B318" s="53" t="s">
        <v>72</v>
      </c>
      <c r="C318" s="35"/>
      <c r="D318" s="47">
        <f t="shared" ref="D318:N318" si="345">IFERROR(D66-D192,"")</f>
        <v>0</v>
      </c>
      <c r="E318" s="48">
        <f t="shared" si="345"/>
        <v>0</v>
      </c>
      <c r="F318" s="48">
        <f t="shared" si="345"/>
        <v>0</v>
      </c>
      <c r="G318" s="48">
        <f t="shared" si="345"/>
        <v>0</v>
      </c>
      <c r="H318" s="48">
        <f t="shared" si="345"/>
        <v>0</v>
      </c>
      <c r="I318" s="48">
        <f t="shared" si="345"/>
        <v>0</v>
      </c>
      <c r="J318" s="48">
        <f t="shared" si="345"/>
        <v>0</v>
      </c>
      <c r="K318" s="48">
        <f t="shared" si="345"/>
        <v>0</v>
      </c>
      <c r="L318" s="48">
        <f t="shared" si="345"/>
        <v>0</v>
      </c>
      <c r="M318" s="48">
        <f t="shared" si="345"/>
        <v>0</v>
      </c>
      <c r="N318" s="49">
        <f t="shared" si="345"/>
        <v>0</v>
      </c>
    </row>
    <row r="319" spans="2:14" x14ac:dyDescent="0.2">
      <c r="B319" s="53" t="s">
        <v>73</v>
      </c>
      <c r="C319" s="35"/>
      <c r="D319" s="47">
        <f t="shared" ref="D319:N319" si="346">IFERROR(D67-D193,"")</f>
        <v>0</v>
      </c>
      <c r="E319" s="48">
        <f t="shared" si="346"/>
        <v>0</v>
      </c>
      <c r="F319" s="48">
        <f t="shared" si="346"/>
        <v>0</v>
      </c>
      <c r="G319" s="48">
        <f t="shared" si="346"/>
        <v>0</v>
      </c>
      <c r="H319" s="48">
        <f t="shared" si="346"/>
        <v>0</v>
      </c>
      <c r="I319" s="48">
        <f t="shared" si="346"/>
        <v>0</v>
      </c>
      <c r="J319" s="48">
        <f t="shared" si="346"/>
        <v>0</v>
      </c>
      <c r="K319" s="48">
        <f t="shared" si="346"/>
        <v>0</v>
      </c>
      <c r="L319" s="48">
        <f t="shared" si="346"/>
        <v>0</v>
      </c>
      <c r="M319" s="48">
        <f t="shared" si="346"/>
        <v>0</v>
      </c>
      <c r="N319" s="49">
        <f t="shared" si="346"/>
        <v>0</v>
      </c>
    </row>
    <row r="320" spans="2:14" x14ac:dyDescent="0.2">
      <c r="B320" s="53" t="s">
        <v>74</v>
      </c>
      <c r="C320" s="35"/>
      <c r="D320" s="47">
        <f t="shared" ref="D320:N320" si="347">IFERROR(D68-D194,"")</f>
        <v>0</v>
      </c>
      <c r="E320" s="48">
        <f t="shared" si="347"/>
        <v>0</v>
      </c>
      <c r="F320" s="48">
        <f t="shared" si="347"/>
        <v>0</v>
      </c>
      <c r="G320" s="48">
        <f t="shared" si="347"/>
        <v>0</v>
      </c>
      <c r="H320" s="48">
        <f t="shared" si="347"/>
        <v>0</v>
      </c>
      <c r="I320" s="48">
        <f t="shared" si="347"/>
        <v>0</v>
      </c>
      <c r="J320" s="48">
        <f t="shared" si="347"/>
        <v>0</v>
      </c>
      <c r="K320" s="48">
        <f t="shared" si="347"/>
        <v>0</v>
      </c>
      <c r="L320" s="48">
        <f t="shared" si="347"/>
        <v>0</v>
      </c>
      <c r="M320" s="48">
        <f t="shared" si="347"/>
        <v>0</v>
      </c>
      <c r="N320" s="49">
        <f t="shared" si="347"/>
        <v>0</v>
      </c>
    </row>
    <row r="321" spans="2:14" x14ac:dyDescent="0.2">
      <c r="B321" s="53" t="s">
        <v>75</v>
      </c>
      <c r="C321" s="35"/>
      <c r="D321" s="47">
        <f t="shared" ref="D321:N321" si="348">IFERROR(D69-D195,"")</f>
        <v>0</v>
      </c>
      <c r="E321" s="48">
        <f t="shared" si="348"/>
        <v>0</v>
      </c>
      <c r="F321" s="48">
        <f t="shared" si="348"/>
        <v>0</v>
      </c>
      <c r="G321" s="48">
        <f t="shared" si="348"/>
        <v>0</v>
      </c>
      <c r="H321" s="48">
        <f t="shared" si="348"/>
        <v>0</v>
      </c>
      <c r="I321" s="48">
        <f t="shared" si="348"/>
        <v>0</v>
      </c>
      <c r="J321" s="48">
        <f t="shared" si="348"/>
        <v>0</v>
      </c>
      <c r="K321" s="48">
        <f t="shared" si="348"/>
        <v>0</v>
      </c>
      <c r="L321" s="48">
        <f t="shared" si="348"/>
        <v>0</v>
      </c>
      <c r="M321" s="48">
        <f t="shared" si="348"/>
        <v>0</v>
      </c>
      <c r="N321" s="49">
        <f t="shared" si="348"/>
        <v>0</v>
      </c>
    </row>
    <row r="322" spans="2:14" x14ac:dyDescent="0.2">
      <c r="B322" s="53" t="s">
        <v>76</v>
      </c>
      <c r="C322" s="35"/>
      <c r="D322" s="47">
        <f t="shared" ref="D322:N322" si="349">IFERROR(D70-D196,"")</f>
        <v>0</v>
      </c>
      <c r="E322" s="48">
        <f t="shared" si="349"/>
        <v>0</v>
      </c>
      <c r="F322" s="48">
        <f t="shared" si="349"/>
        <v>0</v>
      </c>
      <c r="G322" s="48">
        <f t="shared" si="349"/>
        <v>0</v>
      </c>
      <c r="H322" s="48">
        <f t="shared" si="349"/>
        <v>0</v>
      </c>
      <c r="I322" s="48">
        <f t="shared" si="349"/>
        <v>0</v>
      </c>
      <c r="J322" s="48">
        <f t="shared" si="349"/>
        <v>0</v>
      </c>
      <c r="K322" s="48">
        <f t="shared" si="349"/>
        <v>0</v>
      </c>
      <c r="L322" s="48">
        <f t="shared" si="349"/>
        <v>0</v>
      </c>
      <c r="M322" s="48">
        <f t="shared" si="349"/>
        <v>0</v>
      </c>
      <c r="N322" s="49">
        <f t="shared" si="349"/>
        <v>0</v>
      </c>
    </row>
    <row r="323" spans="2:14" x14ac:dyDescent="0.2">
      <c r="B323" s="53" t="s">
        <v>77</v>
      </c>
      <c r="C323" s="35"/>
      <c r="D323" s="47">
        <f t="shared" ref="D323:N323" si="350">IFERROR(D71-D197,"")</f>
        <v>0</v>
      </c>
      <c r="E323" s="48">
        <f t="shared" si="350"/>
        <v>0</v>
      </c>
      <c r="F323" s="48">
        <f t="shared" si="350"/>
        <v>0</v>
      </c>
      <c r="G323" s="48">
        <f t="shared" si="350"/>
        <v>0</v>
      </c>
      <c r="H323" s="48">
        <f t="shared" si="350"/>
        <v>0</v>
      </c>
      <c r="I323" s="48">
        <f t="shared" si="350"/>
        <v>0</v>
      </c>
      <c r="J323" s="48">
        <f t="shared" si="350"/>
        <v>0</v>
      </c>
      <c r="K323" s="48">
        <f t="shared" si="350"/>
        <v>0</v>
      </c>
      <c r="L323" s="48">
        <f t="shared" si="350"/>
        <v>0</v>
      </c>
      <c r="M323" s="48">
        <f t="shared" si="350"/>
        <v>0</v>
      </c>
      <c r="N323" s="49">
        <f t="shared" si="350"/>
        <v>0</v>
      </c>
    </row>
    <row r="324" spans="2:14" x14ac:dyDescent="0.2">
      <c r="B324" s="53" t="s">
        <v>78</v>
      </c>
      <c r="C324" s="35"/>
      <c r="D324" s="47">
        <f t="shared" ref="D324:N324" si="351">IFERROR(D72-D198,"")</f>
        <v>0</v>
      </c>
      <c r="E324" s="48">
        <f t="shared" si="351"/>
        <v>0</v>
      </c>
      <c r="F324" s="48">
        <f t="shared" si="351"/>
        <v>0</v>
      </c>
      <c r="G324" s="48">
        <f t="shared" si="351"/>
        <v>0</v>
      </c>
      <c r="H324" s="48">
        <f t="shared" si="351"/>
        <v>0</v>
      </c>
      <c r="I324" s="48">
        <f t="shared" si="351"/>
        <v>0</v>
      </c>
      <c r="J324" s="48">
        <f t="shared" si="351"/>
        <v>0</v>
      </c>
      <c r="K324" s="48">
        <f t="shared" si="351"/>
        <v>0</v>
      </c>
      <c r="L324" s="48">
        <f t="shared" si="351"/>
        <v>0</v>
      </c>
      <c r="M324" s="48">
        <f t="shared" si="351"/>
        <v>0</v>
      </c>
      <c r="N324" s="49">
        <f t="shared" si="351"/>
        <v>0</v>
      </c>
    </row>
    <row r="325" spans="2:14" ht="15" x14ac:dyDescent="0.2">
      <c r="B325" s="55" t="s">
        <v>79</v>
      </c>
      <c r="C325" s="35"/>
      <c r="D325" s="57">
        <f t="shared" ref="D325:N325" si="352">IFERROR(D73-D199,"")</f>
        <v>0</v>
      </c>
      <c r="E325" s="58">
        <f t="shared" si="352"/>
        <v>0</v>
      </c>
      <c r="F325" s="58">
        <f t="shared" si="352"/>
        <v>0</v>
      </c>
      <c r="G325" s="58">
        <f t="shared" si="352"/>
        <v>0</v>
      </c>
      <c r="H325" s="58">
        <f t="shared" si="352"/>
        <v>0</v>
      </c>
      <c r="I325" s="58">
        <f t="shared" si="352"/>
        <v>0</v>
      </c>
      <c r="J325" s="58">
        <f t="shared" si="352"/>
        <v>0</v>
      </c>
      <c r="K325" s="58">
        <f t="shared" si="352"/>
        <v>0</v>
      </c>
      <c r="L325" s="58">
        <f t="shared" si="352"/>
        <v>0</v>
      </c>
      <c r="M325" s="58">
        <f t="shared" si="352"/>
        <v>0</v>
      </c>
      <c r="N325" s="59">
        <f t="shared" si="352"/>
        <v>0</v>
      </c>
    </row>
    <row r="326" spans="2:14" x14ac:dyDescent="0.2">
      <c r="B326" s="27"/>
      <c r="C326" s="31"/>
      <c r="N326" s="23"/>
    </row>
    <row r="327" spans="2:14" x14ac:dyDescent="0.2">
      <c r="B327" s="28" t="s">
        <v>163</v>
      </c>
      <c r="C327" s="31"/>
      <c r="N327" s="23"/>
    </row>
    <row r="328" spans="2:14" x14ac:dyDescent="0.2">
      <c r="B328" s="53" t="s">
        <v>73</v>
      </c>
      <c r="C328" s="35"/>
      <c r="D328" s="47">
        <f t="shared" ref="D328:N328" si="353">IFERROR(D76-D202,"")</f>
        <v>0</v>
      </c>
      <c r="E328" s="48">
        <f t="shared" si="353"/>
        <v>0</v>
      </c>
      <c r="F328" s="48">
        <f t="shared" si="353"/>
        <v>0</v>
      </c>
      <c r="G328" s="48">
        <f t="shared" si="353"/>
        <v>0</v>
      </c>
      <c r="H328" s="48">
        <f t="shared" si="353"/>
        <v>0</v>
      </c>
      <c r="I328" s="48">
        <f t="shared" si="353"/>
        <v>0</v>
      </c>
      <c r="J328" s="48">
        <f t="shared" si="353"/>
        <v>0</v>
      </c>
      <c r="K328" s="48">
        <f t="shared" si="353"/>
        <v>0</v>
      </c>
      <c r="L328" s="48">
        <f t="shared" si="353"/>
        <v>0</v>
      </c>
      <c r="M328" s="48">
        <f t="shared" si="353"/>
        <v>0</v>
      </c>
      <c r="N328" s="49">
        <f t="shared" si="353"/>
        <v>0</v>
      </c>
    </row>
    <row r="329" spans="2:14" x14ac:dyDescent="0.2">
      <c r="B329" s="53" t="s">
        <v>74</v>
      </c>
      <c r="C329" s="35"/>
      <c r="D329" s="47">
        <f t="shared" ref="D329:N329" si="354">IFERROR(D77-D203,"")</f>
        <v>0</v>
      </c>
      <c r="E329" s="48">
        <f t="shared" si="354"/>
        <v>0</v>
      </c>
      <c r="F329" s="48">
        <f t="shared" si="354"/>
        <v>0</v>
      </c>
      <c r="G329" s="48">
        <f t="shared" si="354"/>
        <v>0</v>
      </c>
      <c r="H329" s="48">
        <f t="shared" si="354"/>
        <v>0</v>
      </c>
      <c r="I329" s="48">
        <f t="shared" si="354"/>
        <v>0</v>
      </c>
      <c r="J329" s="48">
        <f t="shared" si="354"/>
        <v>0</v>
      </c>
      <c r="K329" s="48">
        <f t="shared" si="354"/>
        <v>0</v>
      </c>
      <c r="L329" s="48">
        <f t="shared" si="354"/>
        <v>0</v>
      </c>
      <c r="M329" s="48">
        <f t="shared" si="354"/>
        <v>0</v>
      </c>
      <c r="N329" s="49">
        <f t="shared" si="354"/>
        <v>0</v>
      </c>
    </row>
    <row r="330" spans="2:14" x14ac:dyDescent="0.2">
      <c r="B330" s="53" t="s">
        <v>80</v>
      </c>
      <c r="C330" s="35"/>
      <c r="D330" s="47">
        <f t="shared" ref="D330:N330" si="355">IFERROR(D78-D204,"")</f>
        <v>0</v>
      </c>
      <c r="E330" s="48">
        <f t="shared" si="355"/>
        <v>0</v>
      </c>
      <c r="F330" s="48">
        <f t="shared" si="355"/>
        <v>0</v>
      </c>
      <c r="G330" s="48">
        <f t="shared" si="355"/>
        <v>0</v>
      </c>
      <c r="H330" s="48">
        <f t="shared" si="355"/>
        <v>0</v>
      </c>
      <c r="I330" s="48">
        <f t="shared" si="355"/>
        <v>0</v>
      </c>
      <c r="J330" s="48">
        <f t="shared" si="355"/>
        <v>0</v>
      </c>
      <c r="K330" s="48">
        <f t="shared" si="355"/>
        <v>0</v>
      </c>
      <c r="L330" s="48">
        <f t="shared" si="355"/>
        <v>0</v>
      </c>
      <c r="M330" s="48">
        <f t="shared" si="355"/>
        <v>0</v>
      </c>
      <c r="N330" s="49">
        <f t="shared" si="355"/>
        <v>0</v>
      </c>
    </row>
    <row r="331" spans="2:14" x14ac:dyDescent="0.2">
      <c r="B331" s="53" t="s">
        <v>81</v>
      </c>
      <c r="C331" s="35"/>
      <c r="D331" s="47">
        <f t="shared" ref="D331:N331" si="356">IFERROR(D79-D205,"")</f>
        <v>0</v>
      </c>
      <c r="E331" s="48">
        <f t="shared" si="356"/>
        <v>0</v>
      </c>
      <c r="F331" s="48">
        <f t="shared" si="356"/>
        <v>0</v>
      </c>
      <c r="G331" s="48">
        <f t="shared" si="356"/>
        <v>0</v>
      </c>
      <c r="H331" s="48">
        <f t="shared" si="356"/>
        <v>0</v>
      </c>
      <c r="I331" s="48">
        <f t="shared" si="356"/>
        <v>0</v>
      </c>
      <c r="J331" s="48">
        <f t="shared" si="356"/>
        <v>0</v>
      </c>
      <c r="K331" s="48">
        <f t="shared" si="356"/>
        <v>0</v>
      </c>
      <c r="L331" s="48">
        <f t="shared" si="356"/>
        <v>0</v>
      </c>
      <c r="M331" s="48">
        <f t="shared" si="356"/>
        <v>0</v>
      </c>
      <c r="N331" s="49">
        <f t="shared" si="356"/>
        <v>0</v>
      </c>
    </row>
    <row r="332" spans="2:14" x14ac:dyDescent="0.2">
      <c r="B332" s="53" t="s">
        <v>82</v>
      </c>
      <c r="C332" s="35"/>
      <c r="D332" s="47">
        <f t="shared" ref="D332:N332" si="357">IFERROR(D80-D206,"")</f>
        <v>0</v>
      </c>
      <c r="E332" s="48">
        <f t="shared" si="357"/>
        <v>0</v>
      </c>
      <c r="F332" s="48">
        <f t="shared" si="357"/>
        <v>0</v>
      </c>
      <c r="G332" s="48">
        <f t="shared" si="357"/>
        <v>0</v>
      </c>
      <c r="H332" s="48">
        <f t="shared" si="357"/>
        <v>0</v>
      </c>
      <c r="I332" s="48">
        <f t="shared" si="357"/>
        <v>0</v>
      </c>
      <c r="J332" s="48">
        <f t="shared" si="357"/>
        <v>0</v>
      </c>
      <c r="K332" s="48">
        <f t="shared" si="357"/>
        <v>0</v>
      </c>
      <c r="L332" s="48">
        <f t="shared" si="357"/>
        <v>0</v>
      </c>
      <c r="M332" s="48">
        <f t="shared" si="357"/>
        <v>0</v>
      </c>
      <c r="N332" s="49">
        <f t="shared" si="357"/>
        <v>0</v>
      </c>
    </row>
    <row r="333" spans="2:14" x14ac:dyDescent="0.2">
      <c r="B333" s="53" t="s">
        <v>83</v>
      </c>
      <c r="C333" s="35"/>
      <c r="D333" s="47">
        <f t="shared" ref="D333:N333" si="358">IFERROR(D81-D207,"")</f>
        <v>0</v>
      </c>
      <c r="E333" s="48">
        <f t="shared" si="358"/>
        <v>0</v>
      </c>
      <c r="F333" s="48">
        <f t="shared" si="358"/>
        <v>0</v>
      </c>
      <c r="G333" s="48">
        <f t="shared" si="358"/>
        <v>0</v>
      </c>
      <c r="H333" s="48">
        <f t="shared" si="358"/>
        <v>0</v>
      </c>
      <c r="I333" s="48">
        <f t="shared" si="358"/>
        <v>0</v>
      </c>
      <c r="J333" s="48">
        <f t="shared" si="358"/>
        <v>0</v>
      </c>
      <c r="K333" s="48">
        <f t="shared" si="358"/>
        <v>0</v>
      </c>
      <c r="L333" s="48">
        <f t="shared" si="358"/>
        <v>0</v>
      </c>
      <c r="M333" s="48">
        <f t="shared" si="358"/>
        <v>0</v>
      </c>
      <c r="N333" s="49">
        <f t="shared" si="358"/>
        <v>0</v>
      </c>
    </row>
    <row r="334" spans="2:14" x14ac:dyDescent="0.2">
      <c r="B334" s="53" t="s">
        <v>84</v>
      </c>
      <c r="C334" s="35"/>
      <c r="D334" s="47">
        <f t="shared" ref="D334:N334" si="359">IFERROR(D82-D208,"")</f>
        <v>0</v>
      </c>
      <c r="E334" s="48">
        <f t="shared" si="359"/>
        <v>0</v>
      </c>
      <c r="F334" s="48">
        <f t="shared" si="359"/>
        <v>0</v>
      </c>
      <c r="G334" s="48">
        <f t="shared" si="359"/>
        <v>0</v>
      </c>
      <c r="H334" s="48">
        <f t="shared" si="359"/>
        <v>0</v>
      </c>
      <c r="I334" s="48">
        <f t="shared" si="359"/>
        <v>0</v>
      </c>
      <c r="J334" s="48">
        <f t="shared" si="359"/>
        <v>0</v>
      </c>
      <c r="K334" s="48">
        <f t="shared" si="359"/>
        <v>0</v>
      </c>
      <c r="L334" s="48">
        <f t="shared" si="359"/>
        <v>0</v>
      </c>
      <c r="M334" s="48">
        <f t="shared" si="359"/>
        <v>0</v>
      </c>
      <c r="N334" s="49">
        <f t="shared" si="359"/>
        <v>0</v>
      </c>
    </row>
    <row r="335" spans="2:14" ht="15" x14ac:dyDescent="0.2">
      <c r="B335" s="55" t="s">
        <v>85</v>
      </c>
      <c r="C335" s="35"/>
      <c r="D335" s="57">
        <f t="shared" ref="D335:N335" si="360">IFERROR(D83-D209,"")</f>
        <v>0</v>
      </c>
      <c r="E335" s="58">
        <f t="shared" si="360"/>
        <v>0</v>
      </c>
      <c r="F335" s="58">
        <f t="shared" si="360"/>
        <v>0</v>
      </c>
      <c r="G335" s="58">
        <f t="shared" si="360"/>
        <v>0</v>
      </c>
      <c r="H335" s="58">
        <f t="shared" si="360"/>
        <v>0</v>
      </c>
      <c r="I335" s="58">
        <f t="shared" si="360"/>
        <v>0</v>
      </c>
      <c r="J335" s="58">
        <f t="shared" si="360"/>
        <v>0</v>
      </c>
      <c r="K335" s="58">
        <f t="shared" si="360"/>
        <v>0</v>
      </c>
      <c r="L335" s="58">
        <f t="shared" si="360"/>
        <v>0</v>
      </c>
      <c r="M335" s="58">
        <f t="shared" si="360"/>
        <v>0</v>
      </c>
      <c r="N335" s="59">
        <f t="shared" si="360"/>
        <v>0</v>
      </c>
    </row>
    <row r="336" spans="2:14" ht="15" x14ac:dyDescent="0.2">
      <c r="B336" s="55" t="s">
        <v>86</v>
      </c>
      <c r="C336" s="35"/>
      <c r="D336" s="57">
        <f t="shared" ref="D336:N336" si="361">IFERROR(D84-D210,"")</f>
        <v>0</v>
      </c>
      <c r="E336" s="58">
        <f t="shared" si="361"/>
        <v>0</v>
      </c>
      <c r="F336" s="58">
        <f t="shared" si="361"/>
        <v>0</v>
      </c>
      <c r="G336" s="58">
        <f t="shared" si="361"/>
        <v>0</v>
      </c>
      <c r="H336" s="58">
        <f t="shared" si="361"/>
        <v>0</v>
      </c>
      <c r="I336" s="58">
        <f t="shared" si="361"/>
        <v>0</v>
      </c>
      <c r="J336" s="58">
        <f t="shared" si="361"/>
        <v>0</v>
      </c>
      <c r="K336" s="58">
        <f t="shared" si="361"/>
        <v>0</v>
      </c>
      <c r="L336" s="58">
        <f t="shared" si="361"/>
        <v>0</v>
      </c>
      <c r="M336" s="58">
        <f t="shared" si="361"/>
        <v>0</v>
      </c>
      <c r="N336" s="59">
        <f t="shared" si="361"/>
        <v>0</v>
      </c>
    </row>
    <row r="337" spans="2:14" x14ac:dyDescent="0.2">
      <c r="B337" s="27"/>
      <c r="C337" s="31"/>
      <c r="N337" s="23"/>
    </row>
    <row r="338" spans="2:14" x14ac:dyDescent="0.2">
      <c r="B338" s="28" t="s">
        <v>87</v>
      </c>
      <c r="C338" s="37"/>
      <c r="N338" s="23"/>
    </row>
    <row r="339" spans="2:14" x14ac:dyDescent="0.2">
      <c r="B339" s="53" t="s">
        <v>88</v>
      </c>
      <c r="C339" s="35"/>
      <c r="D339" s="47">
        <f t="shared" ref="D339:N339" si="362">IFERROR(D87-D213,"")</f>
        <v>0</v>
      </c>
      <c r="E339" s="48">
        <f t="shared" si="362"/>
        <v>0</v>
      </c>
      <c r="F339" s="48">
        <f t="shared" si="362"/>
        <v>0</v>
      </c>
      <c r="G339" s="48">
        <f t="shared" si="362"/>
        <v>0</v>
      </c>
      <c r="H339" s="48">
        <f t="shared" si="362"/>
        <v>0</v>
      </c>
      <c r="I339" s="48">
        <f t="shared" si="362"/>
        <v>0</v>
      </c>
      <c r="J339" s="48">
        <f t="shared" si="362"/>
        <v>0</v>
      </c>
      <c r="K339" s="48">
        <f t="shared" si="362"/>
        <v>0</v>
      </c>
      <c r="L339" s="48">
        <f t="shared" si="362"/>
        <v>0</v>
      </c>
      <c r="M339" s="48">
        <f t="shared" si="362"/>
        <v>0</v>
      </c>
      <c r="N339" s="49">
        <f t="shared" si="362"/>
        <v>0</v>
      </c>
    </row>
    <row r="340" spans="2:14" x14ac:dyDescent="0.2">
      <c r="B340" s="53" t="s">
        <v>89</v>
      </c>
      <c r="C340" s="35"/>
      <c r="D340" s="47">
        <f t="shared" ref="D340:N340" si="363">IFERROR(D88-D214,"")</f>
        <v>0</v>
      </c>
      <c r="E340" s="48">
        <f t="shared" si="363"/>
        <v>0</v>
      </c>
      <c r="F340" s="48">
        <f t="shared" si="363"/>
        <v>0</v>
      </c>
      <c r="G340" s="48">
        <f t="shared" si="363"/>
        <v>0</v>
      </c>
      <c r="H340" s="48">
        <f t="shared" si="363"/>
        <v>0</v>
      </c>
      <c r="I340" s="48">
        <f t="shared" si="363"/>
        <v>0</v>
      </c>
      <c r="J340" s="48">
        <f t="shared" si="363"/>
        <v>0</v>
      </c>
      <c r="K340" s="48">
        <f t="shared" si="363"/>
        <v>0</v>
      </c>
      <c r="L340" s="48">
        <f t="shared" si="363"/>
        <v>0</v>
      </c>
      <c r="M340" s="48">
        <f t="shared" si="363"/>
        <v>0</v>
      </c>
      <c r="N340" s="49">
        <f t="shared" si="363"/>
        <v>0</v>
      </c>
    </row>
    <row r="341" spans="2:14" x14ac:dyDescent="0.2">
      <c r="B341" s="53" t="s">
        <v>90</v>
      </c>
      <c r="C341" s="35"/>
      <c r="D341" s="47">
        <f t="shared" ref="D341:N341" si="364">IFERROR(D89-D215,"")</f>
        <v>0</v>
      </c>
      <c r="E341" s="48">
        <f t="shared" si="364"/>
        <v>0</v>
      </c>
      <c r="F341" s="48">
        <f t="shared" si="364"/>
        <v>0</v>
      </c>
      <c r="G341" s="48">
        <f t="shared" si="364"/>
        <v>0</v>
      </c>
      <c r="H341" s="48">
        <f t="shared" si="364"/>
        <v>0</v>
      </c>
      <c r="I341" s="48">
        <f t="shared" si="364"/>
        <v>0</v>
      </c>
      <c r="J341" s="48">
        <f t="shared" si="364"/>
        <v>0</v>
      </c>
      <c r="K341" s="48">
        <f t="shared" si="364"/>
        <v>0</v>
      </c>
      <c r="L341" s="48">
        <f t="shared" si="364"/>
        <v>0</v>
      </c>
      <c r="M341" s="48">
        <f t="shared" si="364"/>
        <v>0</v>
      </c>
      <c r="N341" s="49">
        <f t="shared" si="364"/>
        <v>0</v>
      </c>
    </row>
    <row r="342" spans="2:14" x14ac:dyDescent="0.2">
      <c r="B342" s="53" t="s">
        <v>91</v>
      </c>
      <c r="C342" s="35"/>
      <c r="D342" s="47">
        <f t="shared" ref="D342:N342" si="365">IFERROR(D90-D216,"")</f>
        <v>0</v>
      </c>
      <c r="E342" s="48">
        <f t="shared" si="365"/>
        <v>0</v>
      </c>
      <c r="F342" s="48">
        <f t="shared" si="365"/>
        <v>0</v>
      </c>
      <c r="G342" s="48">
        <f t="shared" si="365"/>
        <v>0</v>
      </c>
      <c r="H342" s="48">
        <f t="shared" si="365"/>
        <v>0</v>
      </c>
      <c r="I342" s="48">
        <f t="shared" si="365"/>
        <v>0</v>
      </c>
      <c r="J342" s="48">
        <f t="shared" si="365"/>
        <v>0</v>
      </c>
      <c r="K342" s="48">
        <f t="shared" si="365"/>
        <v>0</v>
      </c>
      <c r="L342" s="48">
        <f t="shared" si="365"/>
        <v>0</v>
      </c>
      <c r="M342" s="48">
        <f t="shared" si="365"/>
        <v>0</v>
      </c>
      <c r="N342" s="49">
        <f t="shared" si="365"/>
        <v>0</v>
      </c>
    </row>
    <row r="343" spans="2:14" x14ac:dyDescent="0.2">
      <c r="B343" s="53" t="s">
        <v>92</v>
      </c>
      <c r="C343" s="35"/>
      <c r="D343" s="47">
        <f t="shared" ref="D343:N343" si="366">IFERROR(D91-D217,"")</f>
        <v>0</v>
      </c>
      <c r="E343" s="48">
        <f t="shared" si="366"/>
        <v>0</v>
      </c>
      <c r="F343" s="48">
        <f t="shared" si="366"/>
        <v>0</v>
      </c>
      <c r="G343" s="48">
        <f t="shared" si="366"/>
        <v>0</v>
      </c>
      <c r="H343" s="48">
        <f t="shared" si="366"/>
        <v>0</v>
      </c>
      <c r="I343" s="48">
        <f t="shared" si="366"/>
        <v>0</v>
      </c>
      <c r="J343" s="48">
        <f t="shared" si="366"/>
        <v>0</v>
      </c>
      <c r="K343" s="48">
        <f t="shared" si="366"/>
        <v>0</v>
      </c>
      <c r="L343" s="48">
        <f t="shared" si="366"/>
        <v>0</v>
      </c>
      <c r="M343" s="48">
        <f t="shared" si="366"/>
        <v>0</v>
      </c>
      <c r="N343" s="49">
        <f t="shared" si="366"/>
        <v>0</v>
      </c>
    </row>
    <row r="344" spans="2:14" x14ac:dyDescent="0.2">
      <c r="B344" s="53" t="s">
        <v>93</v>
      </c>
      <c r="C344" s="35"/>
      <c r="D344" s="47">
        <f t="shared" ref="D344:N344" si="367">IFERROR(D92-D218,"")</f>
        <v>0</v>
      </c>
      <c r="E344" s="48">
        <f t="shared" si="367"/>
        <v>0</v>
      </c>
      <c r="F344" s="48">
        <f t="shared" si="367"/>
        <v>0</v>
      </c>
      <c r="G344" s="48">
        <f t="shared" si="367"/>
        <v>0</v>
      </c>
      <c r="H344" s="48">
        <f t="shared" si="367"/>
        <v>0</v>
      </c>
      <c r="I344" s="48">
        <f t="shared" si="367"/>
        <v>0</v>
      </c>
      <c r="J344" s="48">
        <f t="shared" si="367"/>
        <v>0</v>
      </c>
      <c r="K344" s="48">
        <f t="shared" si="367"/>
        <v>0</v>
      </c>
      <c r="L344" s="48">
        <f t="shared" si="367"/>
        <v>0</v>
      </c>
      <c r="M344" s="48">
        <f t="shared" si="367"/>
        <v>0</v>
      </c>
      <c r="N344" s="49">
        <f t="shared" si="367"/>
        <v>0</v>
      </c>
    </row>
    <row r="345" spans="2:14" ht="15" x14ac:dyDescent="0.2">
      <c r="B345" s="55" t="s">
        <v>94</v>
      </c>
      <c r="C345" s="35"/>
      <c r="D345" s="57">
        <f t="shared" ref="D345:N345" si="368">IFERROR(D93-D219,"")</f>
        <v>0</v>
      </c>
      <c r="E345" s="58">
        <f t="shared" si="368"/>
        <v>0</v>
      </c>
      <c r="F345" s="58">
        <f t="shared" si="368"/>
        <v>0</v>
      </c>
      <c r="G345" s="58">
        <f t="shared" si="368"/>
        <v>0</v>
      </c>
      <c r="H345" s="58">
        <f t="shared" si="368"/>
        <v>0</v>
      </c>
      <c r="I345" s="58">
        <f t="shared" si="368"/>
        <v>0</v>
      </c>
      <c r="J345" s="58">
        <f t="shared" si="368"/>
        <v>0</v>
      </c>
      <c r="K345" s="58">
        <f t="shared" si="368"/>
        <v>0</v>
      </c>
      <c r="L345" s="58">
        <f t="shared" si="368"/>
        <v>0</v>
      </c>
      <c r="M345" s="58">
        <f t="shared" si="368"/>
        <v>0</v>
      </c>
      <c r="N345" s="59">
        <f t="shared" si="368"/>
        <v>0</v>
      </c>
    </row>
    <row r="346" spans="2:14" x14ac:dyDescent="0.2">
      <c r="B346" s="27"/>
      <c r="C346" s="31"/>
      <c r="N346" s="23"/>
    </row>
    <row r="347" spans="2:14" x14ac:dyDescent="0.2">
      <c r="B347" s="28" t="s">
        <v>95</v>
      </c>
      <c r="C347" s="31"/>
      <c r="N347" s="23"/>
    </row>
    <row r="348" spans="2:14" x14ac:dyDescent="0.2">
      <c r="B348" s="53" t="s">
        <v>88</v>
      </c>
      <c r="C348" s="35"/>
      <c r="D348" s="47">
        <f t="shared" ref="D348:N348" si="369">IFERROR(D96-D222,"")</f>
        <v>0</v>
      </c>
      <c r="E348" s="48">
        <f t="shared" si="369"/>
        <v>0</v>
      </c>
      <c r="F348" s="48">
        <f t="shared" si="369"/>
        <v>0</v>
      </c>
      <c r="G348" s="48">
        <f t="shared" si="369"/>
        <v>0</v>
      </c>
      <c r="H348" s="48">
        <f t="shared" si="369"/>
        <v>0</v>
      </c>
      <c r="I348" s="48">
        <f t="shared" si="369"/>
        <v>0</v>
      </c>
      <c r="J348" s="48">
        <f t="shared" si="369"/>
        <v>0</v>
      </c>
      <c r="K348" s="48">
        <f t="shared" si="369"/>
        <v>0</v>
      </c>
      <c r="L348" s="48">
        <f t="shared" si="369"/>
        <v>0</v>
      </c>
      <c r="M348" s="48">
        <f t="shared" si="369"/>
        <v>0</v>
      </c>
      <c r="N348" s="49">
        <f t="shared" si="369"/>
        <v>0</v>
      </c>
    </row>
    <row r="349" spans="2:14" x14ac:dyDescent="0.2">
      <c r="B349" s="53" t="s">
        <v>91</v>
      </c>
      <c r="C349" s="35"/>
      <c r="D349" s="47">
        <f t="shared" ref="D349:N349" si="370">IFERROR(D97-D223,"")</f>
        <v>0</v>
      </c>
      <c r="E349" s="48">
        <f t="shared" si="370"/>
        <v>0</v>
      </c>
      <c r="F349" s="48">
        <f t="shared" si="370"/>
        <v>0</v>
      </c>
      <c r="G349" s="48">
        <f t="shared" si="370"/>
        <v>0</v>
      </c>
      <c r="H349" s="48">
        <f t="shared" si="370"/>
        <v>0</v>
      </c>
      <c r="I349" s="48">
        <f t="shared" si="370"/>
        <v>0</v>
      </c>
      <c r="J349" s="48">
        <f t="shared" si="370"/>
        <v>0</v>
      </c>
      <c r="K349" s="48">
        <f t="shared" si="370"/>
        <v>0</v>
      </c>
      <c r="L349" s="48">
        <f t="shared" si="370"/>
        <v>0</v>
      </c>
      <c r="M349" s="48">
        <f t="shared" si="370"/>
        <v>0</v>
      </c>
      <c r="N349" s="49">
        <f t="shared" si="370"/>
        <v>0</v>
      </c>
    </row>
    <row r="350" spans="2:14" x14ac:dyDescent="0.2">
      <c r="B350" s="53" t="s">
        <v>92</v>
      </c>
      <c r="C350" s="35"/>
      <c r="D350" s="47">
        <f t="shared" ref="D350:N350" si="371">IFERROR(D98-D224,"")</f>
        <v>0</v>
      </c>
      <c r="E350" s="48">
        <f t="shared" si="371"/>
        <v>0</v>
      </c>
      <c r="F350" s="48">
        <f t="shared" si="371"/>
        <v>0</v>
      </c>
      <c r="G350" s="48">
        <f t="shared" si="371"/>
        <v>0</v>
      </c>
      <c r="H350" s="48">
        <f t="shared" si="371"/>
        <v>0</v>
      </c>
      <c r="I350" s="48">
        <f t="shared" si="371"/>
        <v>0</v>
      </c>
      <c r="J350" s="48">
        <f t="shared" si="371"/>
        <v>0</v>
      </c>
      <c r="K350" s="48">
        <f t="shared" si="371"/>
        <v>0</v>
      </c>
      <c r="L350" s="48">
        <f t="shared" si="371"/>
        <v>0</v>
      </c>
      <c r="M350" s="48">
        <f t="shared" si="371"/>
        <v>0</v>
      </c>
      <c r="N350" s="49">
        <f t="shared" si="371"/>
        <v>0</v>
      </c>
    </row>
    <row r="351" spans="2:14" x14ac:dyDescent="0.2">
      <c r="B351" s="53" t="s">
        <v>93</v>
      </c>
      <c r="C351" s="35"/>
      <c r="D351" s="47">
        <f t="shared" ref="D351:N351" si="372">IFERROR(D99-D225,"")</f>
        <v>0</v>
      </c>
      <c r="E351" s="48">
        <f t="shared" si="372"/>
        <v>0</v>
      </c>
      <c r="F351" s="48">
        <f t="shared" si="372"/>
        <v>0</v>
      </c>
      <c r="G351" s="48">
        <f t="shared" si="372"/>
        <v>0</v>
      </c>
      <c r="H351" s="48">
        <f t="shared" si="372"/>
        <v>0</v>
      </c>
      <c r="I351" s="48">
        <f t="shared" si="372"/>
        <v>0</v>
      </c>
      <c r="J351" s="48">
        <f t="shared" si="372"/>
        <v>0</v>
      </c>
      <c r="K351" s="48">
        <f t="shared" si="372"/>
        <v>0</v>
      </c>
      <c r="L351" s="48">
        <f t="shared" si="372"/>
        <v>0</v>
      </c>
      <c r="M351" s="48">
        <f t="shared" si="372"/>
        <v>0</v>
      </c>
      <c r="N351" s="49">
        <f t="shared" si="372"/>
        <v>0</v>
      </c>
    </row>
    <row r="352" spans="2:14" ht="15" x14ac:dyDescent="0.2">
      <c r="B352" s="55" t="s">
        <v>96</v>
      </c>
      <c r="C352" s="35"/>
      <c r="D352" s="57">
        <f t="shared" ref="D352:N352" si="373">IFERROR(D100-D226,"")</f>
        <v>0</v>
      </c>
      <c r="E352" s="58">
        <f t="shared" si="373"/>
        <v>0</v>
      </c>
      <c r="F352" s="58">
        <f t="shared" si="373"/>
        <v>0</v>
      </c>
      <c r="G352" s="58">
        <f t="shared" si="373"/>
        <v>0</v>
      </c>
      <c r="H352" s="58">
        <f t="shared" si="373"/>
        <v>0</v>
      </c>
      <c r="I352" s="58">
        <f t="shared" si="373"/>
        <v>0</v>
      </c>
      <c r="J352" s="58">
        <f t="shared" si="373"/>
        <v>0</v>
      </c>
      <c r="K352" s="58">
        <f t="shared" si="373"/>
        <v>0</v>
      </c>
      <c r="L352" s="58">
        <f t="shared" si="373"/>
        <v>0</v>
      </c>
      <c r="M352" s="58">
        <f t="shared" si="373"/>
        <v>0</v>
      </c>
      <c r="N352" s="59">
        <f t="shared" si="373"/>
        <v>0</v>
      </c>
    </row>
    <row r="353" spans="2:14" ht="15" x14ac:dyDescent="0.2">
      <c r="B353" s="55" t="s">
        <v>97</v>
      </c>
      <c r="C353" s="35"/>
      <c r="D353" s="57">
        <f t="shared" ref="D353:N353" si="374">IFERROR(D101-D227,"")</f>
        <v>0</v>
      </c>
      <c r="E353" s="58">
        <f t="shared" si="374"/>
        <v>0</v>
      </c>
      <c r="F353" s="58">
        <f t="shared" si="374"/>
        <v>0</v>
      </c>
      <c r="G353" s="58">
        <f t="shared" si="374"/>
        <v>0</v>
      </c>
      <c r="H353" s="58">
        <f t="shared" si="374"/>
        <v>0</v>
      </c>
      <c r="I353" s="58">
        <f t="shared" si="374"/>
        <v>0</v>
      </c>
      <c r="J353" s="58">
        <f t="shared" si="374"/>
        <v>0</v>
      </c>
      <c r="K353" s="58">
        <f t="shared" si="374"/>
        <v>0</v>
      </c>
      <c r="L353" s="58">
        <f t="shared" si="374"/>
        <v>0</v>
      </c>
      <c r="M353" s="58">
        <f t="shared" si="374"/>
        <v>0</v>
      </c>
      <c r="N353" s="59">
        <f t="shared" si="374"/>
        <v>0</v>
      </c>
    </row>
    <row r="354" spans="2:14" x14ac:dyDescent="0.2">
      <c r="B354" s="27"/>
      <c r="C354" s="31"/>
      <c r="N354" s="23"/>
    </row>
    <row r="355" spans="2:14" ht="15" x14ac:dyDescent="0.2">
      <c r="B355" s="55" t="s">
        <v>98</v>
      </c>
      <c r="C355" s="35"/>
      <c r="D355" s="57">
        <f t="shared" ref="D355:N355" si="375">IFERROR(D103-D229,"")</f>
        <v>0</v>
      </c>
      <c r="E355" s="58">
        <f t="shared" si="375"/>
        <v>0</v>
      </c>
      <c r="F355" s="58">
        <f t="shared" si="375"/>
        <v>0</v>
      </c>
      <c r="G355" s="58">
        <f t="shared" si="375"/>
        <v>0</v>
      </c>
      <c r="H355" s="58">
        <f t="shared" si="375"/>
        <v>0</v>
      </c>
      <c r="I355" s="58">
        <f t="shared" si="375"/>
        <v>0</v>
      </c>
      <c r="J355" s="58">
        <f t="shared" si="375"/>
        <v>0</v>
      </c>
      <c r="K355" s="58">
        <f t="shared" si="375"/>
        <v>0</v>
      </c>
      <c r="L355" s="58">
        <f t="shared" si="375"/>
        <v>0</v>
      </c>
      <c r="M355" s="58">
        <f t="shared" si="375"/>
        <v>0</v>
      </c>
      <c r="N355" s="59">
        <f t="shared" si="375"/>
        <v>0</v>
      </c>
    </row>
    <row r="356" spans="2:14" x14ac:dyDescent="0.2">
      <c r="B356" s="27"/>
      <c r="C356" s="31"/>
      <c r="N356" s="23"/>
    </row>
    <row r="357" spans="2:14" x14ac:dyDescent="0.2">
      <c r="B357" s="28" t="s">
        <v>99</v>
      </c>
      <c r="C357" s="37"/>
      <c r="N357" s="23"/>
    </row>
    <row r="358" spans="2:14" x14ac:dyDescent="0.2">
      <c r="B358" s="53" t="s">
        <v>100</v>
      </c>
      <c r="C358" s="35"/>
      <c r="D358" s="47">
        <f t="shared" ref="D358:N358" si="376">IFERROR(D106-D232,"")</f>
        <v>0</v>
      </c>
      <c r="E358" s="48">
        <f t="shared" si="376"/>
        <v>0</v>
      </c>
      <c r="F358" s="48">
        <f t="shared" si="376"/>
        <v>0</v>
      </c>
      <c r="G358" s="48">
        <f t="shared" si="376"/>
        <v>0</v>
      </c>
      <c r="H358" s="48">
        <f t="shared" si="376"/>
        <v>0</v>
      </c>
      <c r="I358" s="48">
        <f t="shared" si="376"/>
        <v>0</v>
      </c>
      <c r="J358" s="48">
        <f t="shared" si="376"/>
        <v>0</v>
      </c>
      <c r="K358" s="48">
        <f t="shared" si="376"/>
        <v>0</v>
      </c>
      <c r="L358" s="48">
        <f t="shared" si="376"/>
        <v>0</v>
      </c>
      <c r="M358" s="48">
        <f t="shared" si="376"/>
        <v>0</v>
      </c>
      <c r="N358" s="49">
        <f t="shared" si="376"/>
        <v>0</v>
      </c>
    </row>
    <row r="359" spans="2:14" x14ac:dyDescent="0.2">
      <c r="B359" s="53" t="s">
        <v>101</v>
      </c>
      <c r="C359" s="35"/>
      <c r="D359" s="47">
        <f t="shared" ref="D359:N359" si="377">IFERROR(D107-D233,"")</f>
        <v>0</v>
      </c>
      <c r="E359" s="48">
        <f t="shared" si="377"/>
        <v>0</v>
      </c>
      <c r="F359" s="48">
        <f t="shared" si="377"/>
        <v>0</v>
      </c>
      <c r="G359" s="48">
        <f t="shared" si="377"/>
        <v>0</v>
      </c>
      <c r="H359" s="48">
        <f t="shared" si="377"/>
        <v>0</v>
      </c>
      <c r="I359" s="48">
        <f t="shared" si="377"/>
        <v>0</v>
      </c>
      <c r="J359" s="48">
        <f t="shared" si="377"/>
        <v>0</v>
      </c>
      <c r="K359" s="48">
        <f t="shared" si="377"/>
        <v>0</v>
      </c>
      <c r="L359" s="48">
        <f t="shared" si="377"/>
        <v>0</v>
      </c>
      <c r="M359" s="48">
        <f t="shared" si="377"/>
        <v>0</v>
      </c>
      <c r="N359" s="49">
        <f t="shared" si="377"/>
        <v>0</v>
      </c>
    </row>
    <row r="360" spans="2:14" x14ac:dyDescent="0.2">
      <c r="B360" s="53" t="s">
        <v>102</v>
      </c>
      <c r="C360" s="35"/>
      <c r="D360" s="47">
        <f t="shared" ref="D360:N360" si="378">IFERROR(D108-D234,"")</f>
        <v>0</v>
      </c>
      <c r="E360" s="48">
        <f t="shared" si="378"/>
        <v>0</v>
      </c>
      <c r="F360" s="48">
        <f t="shared" si="378"/>
        <v>0</v>
      </c>
      <c r="G360" s="48">
        <f t="shared" si="378"/>
        <v>0</v>
      </c>
      <c r="H360" s="48">
        <f t="shared" si="378"/>
        <v>0</v>
      </c>
      <c r="I360" s="48">
        <f t="shared" si="378"/>
        <v>0</v>
      </c>
      <c r="J360" s="48">
        <f t="shared" si="378"/>
        <v>0</v>
      </c>
      <c r="K360" s="48">
        <f t="shared" si="378"/>
        <v>0</v>
      </c>
      <c r="L360" s="48">
        <f t="shared" si="378"/>
        <v>0</v>
      </c>
      <c r="M360" s="48">
        <f t="shared" si="378"/>
        <v>0</v>
      </c>
      <c r="N360" s="49">
        <f t="shared" si="378"/>
        <v>0</v>
      </c>
    </row>
    <row r="361" spans="2:14" x14ac:dyDescent="0.2">
      <c r="B361" s="53" t="s">
        <v>69</v>
      </c>
      <c r="C361" s="35"/>
      <c r="D361" s="47">
        <f t="shared" ref="D361:N361" si="379">IFERROR(D109-D235,"")</f>
        <v>0</v>
      </c>
      <c r="E361" s="48">
        <f t="shared" si="379"/>
        <v>0</v>
      </c>
      <c r="F361" s="48">
        <f t="shared" si="379"/>
        <v>0</v>
      </c>
      <c r="G361" s="48">
        <f t="shared" si="379"/>
        <v>0</v>
      </c>
      <c r="H361" s="48">
        <f t="shared" si="379"/>
        <v>0</v>
      </c>
      <c r="I361" s="48">
        <f t="shared" si="379"/>
        <v>0</v>
      </c>
      <c r="J361" s="48">
        <f t="shared" si="379"/>
        <v>0</v>
      </c>
      <c r="K361" s="48">
        <f t="shared" si="379"/>
        <v>0</v>
      </c>
      <c r="L361" s="48">
        <f t="shared" si="379"/>
        <v>0</v>
      </c>
      <c r="M361" s="48">
        <f t="shared" si="379"/>
        <v>0</v>
      </c>
      <c r="N361" s="49">
        <f t="shared" si="379"/>
        <v>0</v>
      </c>
    </row>
    <row r="362" spans="2:14" x14ac:dyDescent="0.2">
      <c r="B362" s="53" t="s">
        <v>103</v>
      </c>
      <c r="C362" s="35"/>
      <c r="D362" s="47">
        <f t="shared" ref="D362:N362" si="380">IFERROR(D110-D236,"")</f>
        <v>0</v>
      </c>
      <c r="E362" s="48">
        <f t="shared" si="380"/>
        <v>0</v>
      </c>
      <c r="F362" s="48">
        <f t="shared" si="380"/>
        <v>0</v>
      </c>
      <c r="G362" s="48">
        <f t="shared" si="380"/>
        <v>0</v>
      </c>
      <c r="H362" s="48">
        <f t="shared" si="380"/>
        <v>0</v>
      </c>
      <c r="I362" s="48">
        <f t="shared" si="380"/>
        <v>0</v>
      </c>
      <c r="J362" s="48">
        <f t="shared" si="380"/>
        <v>0</v>
      </c>
      <c r="K362" s="48">
        <f t="shared" si="380"/>
        <v>0</v>
      </c>
      <c r="L362" s="48">
        <f t="shared" si="380"/>
        <v>0</v>
      </c>
      <c r="M362" s="48">
        <f t="shared" si="380"/>
        <v>0</v>
      </c>
      <c r="N362" s="49">
        <f t="shared" si="380"/>
        <v>0</v>
      </c>
    </row>
    <row r="363" spans="2:14" ht="15" x14ac:dyDescent="0.2">
      <c r="B363" s="62" t="s">
        <v>104</v>
      </c>
      <c r="C363" s="60"/>
      <c r="D363" s="61">
        <f t="shared" ref="D363:N363" si="381">IFERROR(D111-D237,"")</f>
        <v>0</v>
      </c>
      <c r="E363" s="63">
        <f t="shared" si="381"/>
        <v>0</v>
      </c>
      <c r="F363" s="63">
        <f t="shared" si="381"/>
        <v>0</v>
      </c>
      <c r="G363" s="63">
        <f t="shared" si="381"/>
        <v>0</v>
      </c>
      <c r="H363" s="63">
        <f t="shared" si="381"/>
        <v>0</v>
      </c>
      <c r="I363" s="63">
        <f t="shared" si="381"/>
        <v>0</v>
      </c>
      <c r="J363" s="63">
        <f t="shared" si="381"/>
        <v>0</v>
      </c>
      <c r="K363" s="63">
        <f t="shared" si="381"/>
        <v>0</v>
      </c>
      <c r="L363" s="63">
        <f t="shared" si="381"/>
        <v>0</v>
      </c>
      <c r="M363" s="63">
        <f t="shared" si="381"/>
        <v>0</v>
      </c>
      <c r="N363" s="64">
        <f t="shared" si="381"/>
        <v>0</v>
      </c>
    </row>
    <row r="364" spans="2:14" x14ac:dyDescent="0.2"/>
    <row r="365" spans="2:14" ht="15.75" x14ac:dyDescent="0.2">
      <c r="B365" s="69" t="s">
        <v>106</v>
      </c>
      <c r="C365" s="13"/>
    </row>
    <row r="366" spans="2:14" ht="15" x14ac:dyDescent="0.2">
      <c r="B366" s="29"/>
      <c r="C366" s="38"/>
      <c r="D366" s="34" t="str">
        <f>D$2</f>
        <v>2024-25</v>
      </c>
      <c r="E366" s="19" t="str">
        <f t="shared" ref="E366:N366" si="382">E$2</f>
        <v>2025-26</v>
      </c>
      <c r="F366" s="19" t="str">
        <f t="shared" si="382"/>
        <v>2026-27</v>
      </c>
      <c r="G366" s="19" t="str">
        <f t="shared" si="382"/>
        <v>2027-28</v>
      </c>
      <c r="H366" s="19" t="str">
        <f t="shared" si="382"/>
        <v>2028-29</v>
      </c>
      <c r="I366" s="19" t="str">
        <f t="shared" si="382"/>
        <v>2029-30</v>
      </c>
      <c r="J366" s="19" t="str">
        <f t="shared" si="382"/>
        <v>2030-31</v>
      </c>
      <c r="K366" s="19" t="str">
        <f t="shared" si="382"/>
        <v>2031-32</v>
      </c>
      <c r="L366" s="19" t="str">
        <f t="shared" si="382"/>
        <v>2032-33</v>
      </c>
      <c r="M366" s="19" t="str">
        <f t="shared" si="382"/>
        <v>2033-34</v>
      </c>
      <c r="N366" s="20" t="str">
        <f t="shared" si="382"/>
        <v>2034-35</v>
      </c>
    </row>
    <row r="367" spans="2:14" x14ac:dyDescent="0.2">
      <c r="B367" s="27"/>
      <c r="C367" s="31"/>
      <c r="N367" s="23"/>
    </row>
    <row r="368" spans="2:14" x14ac:dyDescent="0.2">
      <c r="B368" s="53" t="s">
        <v>107</v>
      </c>
      <c r="C368" s="35"/>
      <c r="D368" s="47">
        <f t="shared" ref="D368:N368" si="383">IFERROR(D116-D242,"")</f>
        <v>0</v>
      </c>
      <c r="E368" s="48">
        <f t="shared" si="383"/>
        <v>0</v>
      </c>
      <c r="F368" s="48">
        <f t="shared" si="383"/>
        <v>0</v>
      </c>
      <c r="G368" s="48">
        <f t="shared" si="383"/>
        <v>0</v>
      </c>
      <c r="H368" s="48">
        <f t="shared" si="383"/>
        <v>0</v>
      </c>
      <c r="I368" s="48">
        <f t="shared" si="383"/>
        <v>0</v>
      </c>
      <c r="J368" s="48">
        <f t="shared" si="383"/>
        <v>0</v>
      </c>
      <c r="K368" s="48">
        <f t="shared" si="383"/>
        <v>0</v>
      </c>
      <c r="L368" s="48">
        <f t="shared" si="383"/>
        <v>0</v>
      </c>
      <c r="M368" s="48">
        <f t="shared" si="383"/>
        <v>0</v>
      </c>
      <c r="N368" s="49">
        <f t="shared" si="383"/>
        <v>0</v>
      </c>
    </row>
    <row r="369" spans="2:14" x14ac:dyDescent="0.2">
      <c r="B369" s="53" t="s">
        <v>108</v>
      </c>
      <c r="C369" s="35"/>
      <c r="D369" s="47">
        <f t="shared" ref="D369:N369" si="384">IFERROR(D117-D243,"")</f>
        <v>0</v>
      </c>
      <c r="E369" s="48">
        <f t="shared" si="384"/>
        <v>0</v>
      </c>
      <c r="F369" s="48">
        <f t="shared" si="384"/>
        <v>0</v>
      </c>
      <c r="G369" s="48">
        <f t="shared" si="384"/>
        <v>0</v>
      </c>
      <c r="H369" s="48">
        <f t="shared" si="384"/>
        <v>0</v>
      </c>
      <c r="I369" s="48">
        <f t="shared" si="384"/>
        <v>0</v>
      </c>
      <c r="J369" s="48">
        <f t="shared" si="384"/>
        <v>0</v>
      </c>
      <c r="K369" s="48">
        <f t="shared" si="384"/>
        <v>0</v>
      </c>
      <c r="L369" s="48">
        <f t="shared" si="384"/>
        <v>0</v>
      </c>
      <c r="M369" s="48">
        <f t="shared" si="384"/>
        <v>0</v>
      </c>
      <c r="N369" s="49">
        <f t="shared" si="384"/>
        <v>0</v>
      </c>
    </row>
    <row r="370" spans="2:14" x14ac:dyDescent="0.2">
      <c r="B370" s="53" t="s">
        <v>109</v>
      </c>
      <c r="C370" s="35"/>
      <c r="D370" s="47">
        <f t="shared" ref="D370:N370" si="385">IFERROR(D118-D244,"")</f>
        <v>0</v>
      </c>
      <c r="E370" s="48">
        <f t="shared" si="385"/>
        <v>0</v>
      </c>
      <c r="F370" s="48">
        <f t="shared" si="385"/>
        <v>0</v>
      </c>
      <c r="G370" s="48">
        <f t="shared" si="385"/>
        <v>0</v>
      </c>
      <c r="H370" s="48">
        <f t="shared" si="385"/>
        <v>0</v>
      </c>
      <c r="I370" s="48">
        <f t="shared" si="385"/>
        <v>0</v>
      </c>
      <c r="J370" s="48">
        <f t="shared" si="385"/>
        <v>0</v>
      </c>
      <c r="K370" s="48">
        <f t="shared" si="385"/>
        <v>0</v>
      </c>
      <c r="L370" s="48">
        <f t="shared" si="385"/>
        <v>0</v>
      </c>
      <c r="M370" s="48">
        <f t="shared" si="385"/>
        <v>0</v>
      </c>
      <c r="N370" s="49">
        <f t="shared" si="385"/>
        <v>0</v>
      </c>
    </row>
    <row r="371" spans="2:14" x14ac:dyDescent="0.2">
      <c r="B371" s="53" t="s">
        <v>110</v>
      </c>
      <c r="C371" s="35"/>
      <c r="D371" s="47">
        <f t="shared" ref="D371:N371" si="386">IFERROR(D119-D245,"")</f>
        <v>0</v>
      </c>
      <c r="E371" s="48" t="str">
        <f t="shared" si="386"/>
        <v/>
      </c>
      <c r="F371" s="48" t="str">
        <f t="shared" si="386"/>
        <v/>
      </c>
      <c r="G371" s="48" t="str">
        <f t="shared" si="386"/>
        <v/>
      </c>
      <c r="H371" s="48" t="str">
        <f t="shared" si="386"/>
        <v/>
      </c>
      <c r="I371" s="48" t="str">
        <f t="shared" si="386"/>
        <v/>
      </c>
      <c r="J371" s="48" t="str">
        <f t="shared" si="386"/>
        <v/>
      </c>
      <c r="K371" s="48" t="str">
        <f t="shared" si="386"/>
        <v/>
      </c>
      <c r="L371" s="48" t="str">
        <f t="shared" si="386"/>
        <v/>
      </c>
      <c r="M371" s="48" t="str">
        <f t="shared" si="386"/>
        <v/>
      </c>
      <c r="N371" s="49" t="str">
        <f t="shared" si="386"/>
        <v/>
      </c>
    </row>
    <row r="372" spans="2:14" ht="15" x14ac:dyDescent="0.2">
      <c r="B372" s="55" t="s">
        <v>111</v>
      </c>
      <c r="C372" s="35"/>
      <c r="D372" s="58">
        <f t="shared" ref="D372:N372" si="387">IFERROR(D120-D246,"")</f>
        <v>0</v>
      </c>
      <c r="E372" s="58">
        <f t="shared" si="387"/>
        <v>0</v>
      </c>
      <c r="F372" s="58">
        <f t="shared" si="387"/>
        <v>0</v>
      </c>
      <c r="G372" s="58">
        <f t="shared" si="387"/>
        <v>0</v>
      </c>
      <c r="H372" s="58">
        <f t="shared" si="387"/>
        <v>0</v>
      </c>
      <c r="I372" s="58">
        <f t="shared" si="387"/>
        <v>0</v>
      </c>
      <c r="J372" s="58">
        <f t="shared" si="387"/>
        <v>0</v>
      </c>
      <c r="K372" s="58">
        <f t="shared" si="387"/>
        <v>0</v>
      </c>
      <c r="L372" s="58">
        <f t="shared" si="387"/>
        <v>0</v>
      </c>
      <c r="M372" s="58">
        <f t="shared" si="387"/>
        <v>0</v>
      </c>
      <c r="N372" s="59">
        <f t="shared" si="387"/>
        <v>0</v>
      </c>
    </row>
    <row r="373" spans="2:14" x14ac:dyDescent="0.2">
      <c r="B373" s="30"/>
      <c r="C373" s="39"/>
      <c r="N373" s="23"/>
    </row>
    <row r="374" spans="2:14" x14ac:dyDescent="0.2">
      <c r="B374" s="28" t="s">
        <v>112</v>
      </c>
      <c r="C374" s="37"/>
      <c r="N374" s="23"/>
    </row>
    <row r="375" spans="2:14" x14ac:dyDescent="0.2">
      <c r="B375" s="53" t="s">
        <v>113</v>
      </c>
      <c r="C375" s="35"/>
      <c r="D375" s="47">
        <f t="shared" ref="D375:N375" si="388">IFERROR(D123-D249,"")</f>
        <v>0</v>
      </c>
      <c r="E375" s="48">
        <f t="shared" si="388"/>
        <v>0</v>
      </c>
      <c r="F375" s="48">
        <f t="shared" si="388"/>
        <v>0</v>
      </c>
      <c r="G375" s="48">
        <f t="shared" si="388"/>
        <v>0</v>
      </c>
      <c r="H375" s="48">
        <f t="shared" si="388"/>
        <v>0</v>
      </c>
      <c r="I375" s="48">
        <f t="shared" si="388"/>
        <v>0</v>
      </c>
      <c r="J375" s="48">
        <f t="shared" si="388"/>
        <v>0</v>
      </c>
      <c r="K375" s="48">
        <f t="shared" si="388"/>
        <v>0</v>
      </c>
      <c r="L375" s="48">
        <f t="shared" si="388"/>
        <v>0</v>
      </c>
      <c r="M375" s="48">
        <f t="shared" si="388"/>
        <v>0</v>
      </c>
      <c r="N375" s="49">
        <f t="shared" si="388"/>
        <v>0</v>
      </c>
    </row>
    <row r="376" spans="2:14" x14ac:dyDescent="0.2">
      <c r="B376" s="53" t="s">
        <v>114</v>
      </c>
      <c r="C376" s="35"/>
      <c r="D376" s="47">
        <f t="shared" ref="D376:N376" si="389">IFERROR(D124-D250,"")</f>
        <v>0</v>
      </c>
      <c r="E376" s="48">
        <f t="shared" si="389"/>
        <v>0</v>
      </c>
      <c r="F376" s="48">
        <f t="shared" si="389"/>
        <v>0</v>
      </c>
      <c r="G376" s="48">
        <f t="shared" si="389"/>
        <v>0</v>
      </c>
      <c r="H376" s="48">
        <f t="shared" si="389"/>
        <v>0</v>
      </c>
      <c r="I376" s="48">
        <f t="shared" si="389"/>
        <v>0</v>
      </c>
      <c r="J376" s="48">
        <f t="shared" si="389"/>
        <v>0</v>
      </c>
      <c r="K376" s="48">
        <f t="shared" si="389"/>
        <v>0</v>
      </c>
      <c r="L376" s="48">
        <f t="shared" si="389"/>
        <v>0</v>
      </c>
      <c r="M376" s="48">
        <f t="shared" si="389"/>
        <v>0</v>
      </c>
      <c r="N376" s="49">
        <f t="shared" si="389"/>
        <v>0</v>
      </c>
    </row>
    <row r="377" spans="2:14" x14ac:dyDescent="0.2">
      <c r="B377" s="53" t="s">
        <v>115</v>
      </c>
      <c r="C377" s="35"/>
      <c r="D377" s="47">
        <f t="shared" ref="D377:N377" si="390">IFERROR(D125-D251,"")</f>
        <v>0</v>
      </c>
      <c r="E377" s="48">
        <f t="shared" si="390"/>
        <v>0</v>
      </c>
      <c r="F377" s="48">
        <f t="shared" si="390"/>
        <v>0</v>
      </c>
      <c r="G377" s="48">
        <f t="shared" si="390"/>
        <v>0</v>
      </c>
      <c r="H377" s="48">
        <f t="shared" si="390"/>
        <v>0</v>
      </c>
      <c r="I377" s="48">
        <f t="shared" si="390"/>
        <v>0</v>
      </c>
      <c r="J377" s="48">
        <f t="shared" si="390"/>
        <v>0</v>
      </c>
      <c r="K377" s="48">
        <f t="shared" si="390"/>
        <v>0</v>
      </c>
      <c r="L377" s="48">
        <f t="shared" si="390"/>
        <v>0</v>
      </c>
      <c r="M377" s="48">
        <f t="shared" si="390"/>
        <v>0</v>
      </c>
      <c r="N377" s="49">
        <f t="shared" si="390"/>
        <v>0</v>
      </c>
    </row>
    <row r="378" spans="2:14" x14ac:dyDescent="0.2">
      <c r="B378" s="53" t="s">
        <v>116</v>
      </c>
      <c r="C378" s="35"/>
      <c r="D378" s="47">
        <f t="shared" ref="D378:N378" si="391">IFERROR(D126-D252,"")</f>
        <v>0</v>
      </c>
      <c r="E378" s="48">
        <f t="shared" si="391"/>
        <v>0</v>
      </c>
      <c r="F378" s="48">
        <f t="shared" si="391"/>
        <v>0</v>
      </c>
      <c r="G378" s="48">
        <f t="shared" si="391"/>
        <v>0</v>
      </c>
      <c r="H378" s="48">
        <f t="shared" si="391"/>
        <v>0</v>
      </c>
      <c r="I378" s="48">
        <f t="shared" si="391"/>
        <v>0</v>
      </c>
      <c r="J378" s="48">
        <f t="shared" si="391"/>
        <v>0</v>
      </c>
      <c r="K378" s="48">
        <f t="shared" si="391"/>
        <v>0</v>
      </c>
      <c r="L378" s="48">
        <f t="shared" si="391"/>
        <v>0</v>
      </c>
      <c r="M378" s="48">
        <f t="shared" si="391"/>
        <v>0</v>
      </c>
      <c r="N378" s="49">
        <f t="shared" si="391"/>
        <v>0</v>
      </c>
    </row>
    <row r="379" spans="2:14" ht="15" x14ac:dyDescent="0.2">
      <c r="B379" s="62" t="s">
        <v>117</v>
      </c>
      <c r="C379" s="60"/>
      <c r="D379" s="61">
        <f t="shared" ref="D379:N379" si="392">IFERROR(D127-D253,"")</f>
        <v>0</v>
      </c>
      <c r="E379" s="63">
        <f t="shared" si="392"/>
        <v>0</v>
      </c>
      <c r="F379" s="63">
        <f t="shared" si="392"/>
        <v>0</v>
      </c>
      <c r="G379" s="63">
        <f t="shared" si="392"/>
        <v>0</v>
      </c>
      <c r="H379" s="63">
        <f t="shared" si="392"/>
        <v>0</v>
      </c>
      <c r="I379" s="63">
        <f t="shared" si="392"/>
        <v>0</v>
      </c>
      <c r="J379" s="63">
        <f t="shared" si="392"/>
        <v>0</v>
      </c>
      <c r="K379" s="63">
        <f t="shared" si="392"/>
        <v>0</v>
      </c>
      <c r="L379" s="63">
        <f t="shared" si="392"/>
        <v>0</v>
      </c>
      <c r="M379" s="63">
        <f t="shared" si="392"/>
        <v>0</v>
      </c>
      <c r="N379" s="64">
        <f t="shared" si="392"/>
        <v>0</v>
      </c>
    </row>
    <row r="380" spans="2:14" x14ac:dyDescent="0.2"/>
    <row r="381" spans="2:14" x14ac:dyDescent="0.2"/>
    <row r="382" spans="2:14" x14ac:dyDescent="0.2"/>
    <row r="383" spans="2:14" x14ac:dyDescent="0.2"/>
    <row r="384" spans="2:14" x14ac:dyDescent="0.2"/>
    <row r="385" spans="1:16" x14ac:dyDescent="0.2"/>
    <row r="386" spans="1:16" x14ac:dyDescent="0.2"/>
    <row r="387" spans="1:16" x14ac:dyDescent="0.2"/>
    <row r="388" spans="1:16" x14ac:dyDescent="0.2"/>
    <row r="389" spans="1:16" ht="15" x14ac:dyDescent="0.25">
      <c r="A389" s="119" t="s">
        <v>13</v>
      </c>
      <c r="B389" s="116"/>
      <c r="C389" s="116"/>
      <c r="D389" s="116"/>
      <c r="E389" s="116"/>
      <c r="F389" s="116"/>
      <c r="G389" s="116"/>
      <c r="H389" s="116"/>
      <c r="I389" s="116"/>
      <c r="J389" s="116"/>
      <c r="K389" s="116"/>
      <c r="L389" s="116"/>
      <c r="M389" s="116"/>
      <c r="N389" s="116"/>
      <c r="O389" s="116"/>
      <c r="P389" s="116"/>
    </row>
    <row r="390" spans="1:16" x14ac:dyDescent="0.2"/>
  </sheetData>
  <sheetProtection algorithmName="SHA-512" hashValue="uELojg48IsFYqdEEM2lSKKfkXyS4UTgM6I4jb/iVauRlgHXauXX5P2nhMbFwvhye9ImnXzdO2ytms/CGocpo2Q==" saltValue="RcuVZTc8R2WT7I3mE8lqAA==" spinCount="100000" sheet="1" objects="1" scenarios="1"/>
  <mergeCells count="6">
    <mergeCell ref="E258:H258"/>
    <mergeCell ref="I258:N258"/>
    <mergeCell ref="E6:H6"/>
    <mergeCell ref="I6:N6"/>
    <mergeCell ref="E132:H132"/>
    <mergeCell ref="I132:N132"/>
  </mergeCells>
  <conditionalFormatting sqref="D260:N270 D274:N307 D313:N363 D368:N379">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headerFooter>
    <oddHeader>&amp;C&amp;"Calibri"&amp;12&amp;KFF0000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DFCFA-D8DA-4CA9-8E6B-BADF705C17DE}">
  <sheetPr codeName="Sheet4">
    <tabColor theme="4" tint="-0.249977111117893"/>
  </sheetPr>
  <dimension ref="A1:Y133"/>
  <sheetViews>
    <sheetView showGridLines="0" zoomScale="85" zoomScaleNormal="85" workbookViewId="0">
      <pane ySplit="2" topLeftCell="A3" activePane="bottomLeft" state="frozen"/>
      <selection activeCell="C38" sqref="C38"/>
      <selection pane="bottomLeft" activeCell="B9" sqref="B9"/>
    </sheetView>
  </sheetViews>
  <sheetFormatPr defaultRowHeight="14.25" zeroHeight="1" x14ac:dyDescent="0.2"/>
  <cols>
    <col min="1" max="1" width="9.875" style="12" customWidth="1"/>
    <col min="2" max="2" width="63.75" customWidth="1"/>
    <col min="3" max="14" width="17.875" customWidth="1"/>
    <col min="15" max="16" width="11.25" customWidth="1"/>
    <col min="17" max="24" width="11.25" hidden="1" customWidth="1"/>
    <col min="25" max="25" width="23.625" hidden="1" customWidth="1"/>
    <col min="26" max="16383" width="0" hidden="1" customWidth="1"/>
  </cols>
  <sheetData>
    <row r="1" spans="1:25" s="15" customFormat="1" ht="50.1" customHeight="1" x14ac:dyDescent="0.2">
      <c r="A1" s="3"/>
      <c r="B1" s="3" t="str">
        <f>title</f>
        <v>Higher cap information template</v>
      </c>
      <c r="C1" s="3"/>
      <c r="D1" s="3"/>
      <c r="E1" s="3"/>
      <c r="F1" s="3"/>
      <c r="G1" s="3"/>
      <c r="H1" s="3"/>
      <c r="I1" s="3"/>
      <c r="J1" s="3"/>
      <c r="K1" s="3"/>
      <c r="L1" s="3"/>
      <c r="M1" s="3"/>
      <c r="N1" s="3"/>
      <c r="O1" s="3"/>
      <c r="P1" s="3"/>
      <c r="Q1" s="3"/>
      <c r="R1" s="3"/>
      <c r="S1" s="3"/>
      <c r="T1" s="3"/>
      <c r="U1" s="3"/>
      <c r="V1" s="3"/>
      <c r="W1" s="3"/>
      <c r="X1" s="3"/>
      <c r="Y1" s="3"/>
    </row>
    <row r="2" spans="1:25" s="15" customFormat="1" ht="30" customHeight="1" x14ac:dyDescent="0.2">
      <c r="A2" s="2">
        <f ca="1">_xlfn.SHEET()</f>
        <v>3</v>
      </c>
      <c r="B2" s="1" t="s">
        <v>164</v>
      </c>
      <c r="C2" s="1"/>
      <c r="D2" s="1"/>
      <c r="E2" s="1"/>
      <c r="F2" s="1"/>
      <c r="G2" s="1"/>
      <c r="H2" s="1"/>
      <c r="I2" s="1"/>
      <c r="J2" s="1"/>
      <c r="K2" s="1"/>
      <c r="L2" s="1"/>
      <c r="M2" s="1"/>
      <c r="N2" s="1"/>
      <c r="O2" s="1"/>
      <c r="P2" s="1"/>
      <c r="Q2" s="1"/>
      <c r="R2" s="1"/>
      <c r="S2" s="1"/>
      <c r="T2" s="1"/>
      <c r="U2" s="1"/>
      <c r="V2" s="1"/>
      <c r="W2" s="1"/>
      <c r="X2" s="1"/>
      <c r="Y2" s="1"/>
    </row>
    <row r="3" spans="1:25" x14ac:dyDescent="0.2">
      <c r="A3"/>
    </row>
    <row r="4" spans="1:25" ht="16.5" thickBot="1" x14ac:dyDescent="0.25">
      <c r="A4" s="4">
        <f ca="1">MAX(A$2:A3)+0.1</f>
        <v>3.1</v>
      </c>
      <c r="B4" s="5" t="s">
        <v>164</v>
      </c>
      <c r="C4" s="5"/>
      <c r="D4" s="5"/>
      <c r="E4" s="5"/>
      <c r="F4" s="5"/>
      <c r="G4" s="5"/>
      <c r="H4" s="5"/>
      <c r="I4" s="5"/>
      <c r="J4" s="5"/>
      <c r="K4" s="5"/>
      <c r="L4" s="5"/>
      <c r="M4" s="5"/>
      <c r="N4" s="5"/>
      <c r="O4" s="5"/>
      <c r="P4" s="5"/>
      <c r="Q4" s="5"/>
      <c r="R4" s="5"/>
      <c r="S4" s="5"/>
      <c r="T4" s="5"/>
      <c r="U4" s="5"/>
      <c r="V4" s="5"/>
      <c r="W4" s="5"/>
      <c r="X4" s="5"/>
      <c r="Y4" s="5"/>
    </row>
    <row r="5" spans="1:25" x14ac:dyDescent="0.2"/>
    <row r="6" spans="1:25" ht="15" x14ac:dyDescent="0.2">
      <c r="B6" s="13"/>
      <c r="D6" s="41" t="s">
        <v>27</v>
      </c>
      <c r="E6" s="41"/>
      <c r="F6" s="41"/>
      <c r="G6" s="41"/>
      <c r="H6" s="41" t="s">
        <v>28</v>
      </c>
      <c r="I6" s="41"/>
      <c r="J6" s="41"/>
      <c r="K6" s="41"/>
      <c r="L6" s="41"/>
      <c r="M6" s="41"/>
    </row>
    <row r="7" spans="1:25" ht="15.75" x14ac:dyDescent="0.2">
      <c r="B7" s="69" t="s">
        <v>56</v>
      </c>
      <c r="D7" s="19" t="str">
        <f>'2. LTFP'!E$2</f>
        <v>2025-26</v>
      </c>
      <c r="E7" s="19" t="str">
        <f>'2. LTFP'!F$2</f>
        <v>2026-27</v>
      </c>
      <c r="F7" s="19" t="str">
        <f>'2. LTFP'!G$2</f>
        <v>2027-28</v>
      </c>
      <c r="G7" s="19" t="str">
        <f>'2. LTFP'!H$2</f>
        <v>2028-29</v>
      </c>
      <c r="H7" s="19" t="str">
        <f>'2. LTFP'!I$2</f>
        <v>2029-30</v>
      </c>
      <c r="I7" s="19" t="str">
        <f>'2. LTFP'!J$2</f>
        <v>2030-31</v>
      </c>
      <c r="J7" s="19" t="str">
        <f>'2. LTFP'!K$2</f>
        <v>2031-32</v>
      </c>
      <c r="K7" s="19" t="str">
        <f>'2. LTFP'!L$2</f>
        <v>2032-33</v>
      </c>
      <c r="L7" s="19" t="str">
        <f>'2. LTFP'!M$2</f>
        <v>2033-34</v>
      </c>
      <c r="M7" s="20" t="str">
        <f>'2. LTFP'!N$2</f>
        <v>2034-35</v>
      </c>
    </row>
    <row r="8" spans="1:25" x14ac:dyDescent="0.2">
      <c r="B8" s="14" t="s">
        <v>418</v>
      </c>
      <c r="D8" s="66">
        <f>'2. LTFP'!E270</f>
        <v>-0.46000000089406967</v>
      </c>
      <c r="E8" s="66">
        <f>'2. LTFP'!F270</f>
        <v>-0.47149999812245369</v>
      </c>
      <c r="F8" s="66">
        <f>'2. LTFP'!G270</f>
        <v>-0.4832875020802021</v>
      </c>
      <c r="G8" s="66">
        <f>'2. LTFP'!H270</f>
        <v>-0.49536968767642975</v>
      </c>
      <c r="H8" s="66">
        <f>'2. LTFP'!I270</f>
        <v>-0.50775393098592758</v>
      </c>
      <c r="I8" s="66">
        <f>'2. LTFP'!J270</f>
        <v>-0.52044777572154999</v>
      </c>
      <c r="J8" s="66">
        <f>'2. LTFP'!K270</f>
        <v>-0.53345897048711777</v>
      </c>
      <c r="K8" s="66">
        <f>'2. LTFP'!L270</f>
        <v>-0.54679544642567635</v>
      </c>
      <c r="L8" s="66">
        <f>'2. LTFP'!M270</f>
        <v>-0.56046533212065697</v>
      </c>
      <c r="M8" s="66">
        <f>'2. LTFP'!N270</f>
        <v>-0.57447696849703789</v>
      </c>
    </row>
    <row r="9" spans="1:25" x14ac:dyDescent="0.2">
      <c r="B9" s="18" t="s">
        <v>436</v>
      </c>
      <c r="D9" s="45"/>
      <c r="E9" s="45"/>
      <c r="F9" s="45"/>
      <c r="G9" s="45"/>
      <c r="H9" s="45"/>
      <c r="I9" s="45"/>
      <c r="J9" s="45"/>
      <c r="K9" s="45"/>
      <c r="L9" s="45"/>
      <c r="M9" s="45"/>
    </row>
    <row r="10" spans="1:25" x14ac:dyDescent="0.2">
      <c r="B10" s="18"/>
      <c r="D10" s="45"/>
      <c r="E10" s="45"/>
      <c r="F10" s="45"/>
      <c r="G10" s="45"/>
      <c r="H10" s="45"/>
      <c r="I10" s="45"/>
      <c r="J10" s="45"/>
      <c r="K10" s="45"/>
      <c r="L10" s="45"/>
      <c r="M10" s="45"/>
    </row>
    <row r="11" spans="1:25" x14ac:dyDescent="0.2">
      <c r="B11" s="18"/>
      <c r="D11" s="45"/>
      <c r="E11" s="45"/>
      <c r="F11" s="45"/>
      <c r="G11" s="45"/>
      <c r="H11" s="45"/>
      <c r="I11" s="45"/>
      <c r="J11" s="45"/>
      <c r="K11" s="45"/>
      <c r="L11" s="45"/>
      <c r="M11" s="45"/>
    </row>
    <row r="12" spans="1:25" x14ac:dyDescent="0.2">
      <c r="B12" s="18"/>
      <c r="D12" s="45"/>
      <c r="E12" s="45"/>
      <c r="F12" s="45"/>
      <c r="G12" s="45"/>
      <c r="H12" s="45"/>
      <c r="I12" s="45"/>
      <c r="J12" s="45"/>
      <c r="K12" s="45"/>
      <c r="L12" s="45"/>
      <c r="M12" s="45"/>
    </row>
    <row r="13" spans="1:25" x14ac:dyDescent="0.2">
      <c r="B13" s="18"/>
      <c r="D13" s="45"/>
      <c r="E13" s="45"/>
      <c r="F13" s="45"/>
      <c r="G13" s="45"/>
      <c r="H13" s="45"/>
      <c r="I13" s="45"/>
      <c r="J13" s="45"/>
      <c r="K13" s="45"/>
      <c r="L13" s="45"/>
      <c r="M13" s="45"/>
    </row>
    <row r="14" spans="1:25" x14ac:dyDescent="0.2">
      <c r="B14" s="18"/>
      <c r="D14" s="45"/>
      <c r="E14" s="45"/>
      <c r="F14" s="45"/>
      <c r="G14" s="45"/>
      <c r="H14" s="45"/>
      <c r="I14" s="45"/>
      <c r="J14" s="45"/>
      <c r="K14" s="45"/>
      <c r="L14" s="45"/>
      <c r="M14" s="45"/>
    </row>
    <row r="15" spans="1:25" x14ac:dyDescent="0.2">
      <c r="B15" s="18"/>
      <c r="D15" s="45"/>
      <c r="E15" s="45"/>
      <c r="F15" s="45"/>
      <c r="G15" s="45"/>
      <c r="H15" s="45"/>
      <c r="I15" s="45"/>
      <c r="J15" s="45"/>
      <c r="K15" s="45"/>
      <c r="L15" s="45"/>
      <c r="M15" s="45"/>
    </row>
    <row r="16" spans="1:25" x14ac:dyDescent="0.2">
      <c r="B16" s="18"/>
      <c r="D16" s="45"/>
      <c r="E16" s="45"/>
      <c r="F16" s="45"/>
      <c r="G16" s="45"/>
      <c r="H16" s="45"/>
      <c r="I16" s="45"/>
      <c r="J16" s="45"/>
      <c r="K16" s="45"/>
      <c r="L16" s="45"/>
      <c r="M16" s="45"/>
    </row>
    <row r="17" spans="2:13" x14ac:dyDescent="0.2">
      <c r="B17" s="18"/>
      <c r="D17" s="45"/>
      <c r="E17" s="45"/>
      <c r="F17" s="45"/>
      <c r="G17" s="45"/>
      <c r="H17" s="45"/>
      <c r="I17" s="45"/>
      <c r="J17" s="45"/>
      <c r="K17" s="45"/>
      <c r="L17" s="45"/>
      <c r="M17" s="45"/>
    </row>
    <row r="18" spans="2:13" x14ac:dyDescent="0.2">
      <c r="B18" s="18"/>
      <c r="D18" s="45"/>
      <c r="E18" s="45"/>
      <c r="F18" s="45"/>
      <c r="G18" s="45"/>
      <c r="H18" s="45"/>
      <c r="I18" s="45"/>
      <c r="J18" s="45"/>
      <c r="K18" s="45"/>
      <c r="L18" s="45"/>
      <c r="M18" s="45"/>
    </row>
    <row r="19" spans="2:13" x14ac:dyDescent="0.2"/>
    <row r="20" spans="2:13" x14ac:dyDescent="0.2"/>
    <row r="21" spans="2:13" ht="15.75" x14ac:dyDescent="0.2">
      <c r="B21" s="69" t="s">
        <v>122</v>
      </c>
      <c r="D21" s="19" t="str">
        <f>'2. LTFP'!E$2</f>
        <v>2025-26</v>
      </c>
      <c r="E21" s="19" t="str">
        <f>'2. LTFP'!F$2</f>
        <v>2026-27</v>
      </c>
      <c r="F21" s="19" t="str">
        <f>'2. LTFP'!G$2</f>
        <v>2027-28</v>
      </c>
      <c r="G21" s="19" t="str">
        <f>'2. LTFP'!H$2</f>
        <v>2028-29</v>
      </c>
      <c r="H21" s="19" t="str">
        <f>'2. LTFP'!I$2</f>
        <v>2029-30</v>
      </c>
      <c r="I21" s="19" t="str">
        <f>'2. LTFP'!J$2</f>
        <v>2030-31</v>
      </c>
      <c r="J21" s="19" t="str">
        <f>'2. LTFP'!K$2</f>
        <v>2031-32</v>
      </c>
      <c r="K21" s="19" t="str">
        <f>'2. LTFP'!L$2</f>
        <v>2032-33</v>
      </c>
      <c r="L21" s="19" t="str">
        <f>'2. LTFP'!M$2</f>
        <v>2033-34</v>
      </c>
      <c r="M21" s="20" t="str">
        <f>'2. LTFP'!N$2</f>
        <v>2034-35</v>
      </c>
    </row>
    <row r="22" spans="2:13" x14ac:dyDescent="0.2">
      <c r="B22" s="8" t="s">
        <v>436</v>
      </c>
      <c r="D22" s="45"/>
      <c r="E22" s="45"/>
      <c r="F22" s="45"/>
      <c r="G22" s="45"/>
      <c r="H22" s="45"/>
      <c r="I22" s="45"/>
      <c r="J22" s="45"/>
      <c r="K22" s="45"/>
      <c r="L22" s="45"/>
      <c r="M22" s="45"/>
    </row>
    <row r="23" spans="2:13" x14ac:dyDescent="0.2">
      <c r="B23" s="8"/>
      <c r="D23" s="45"/>
      <c r="E23" s="45"/>
      <c r="F23" s="45"/>
      <c r="G23" s="45"/>
      <c r="H23" s="45"/>
      <c r="I23" s="45"/>
      <c r="J23" s="45"/>
      <c r="K23" s="45"/>
      <c r="L23" s="45"/>
      <c r="M23" s="45"/>
    </row>
    <row r="24" spans="2:13" x14ac:dyDescent="0.2">
      <c r="B24" s="18"/>
      <c r="D24" s="45"/>
      <c r="E24" s="45"/>
      <c r="F24" s="45"/>
      <c r="G24" s="45"/>
      <c r="H24" s="45"/>
      <c r="I24" s="45"/>
      <c r="J24" s="45"/>
      <c r="K24" s="45"/>
      <c r="L24" s="45"/>
      <c r="M24" s="45"/>
    </row>
    <row r="25" spans="2:13" x14ac:dyDescent="0.2">
      <c r="B25" s="18"/>
      <c r="D25" s="45"/>
      <c r="E25" s="45"/>
      <c r="F25" s="45"/>
      <c r="G25" s="45"/>
      <c r="H25" s="45"/>
      <c r="I25" s="45"/>
      <c r="J25" s="45"/>
      <c r="K25" s="45"/>
      <c r="L25" s="45"/>
      <c r="M25" s="45"/>
    </row>
    <row r="26" spans="2:13" x14ac:dyDescent="0.2">
      <c r="B26" s="18"/>
      <c r="D26" s="45"/>
      <c r="E26" s="45"/>
      <c r="F26" s="45"/>
      <c r="G26" s="45"/>
      <c r="H26" s="45"/>
      <c r="I26" s="45"/>
      <c r="J26" s="45"/>
      <c r="K26" s="45"/>
      <c r="L26" s="45"/>
      <c r="M26" s="45"/>
    </row>
    <row r="27" spans="2:13" x14ac:dyDescent="0.2">
      <c r="B27" s="18"/>
      <c r="D27" s="45"/>
      <c r="E27" s="45"/>
      <c r="F27" s="45"/>
      <c r="G27" s="45"/>
      <c r="H27" s="45"/>
      <c r="I27" s="45"/>
      <c r="J27" s="45"/>
      <c r="K27" s="45"/>
      <c r="L27" s="45"/>
      <c r="M27" s="45"/>
    </row>
    <row r="28" spans="2:13" x14ac:dyDescent="0.2">
      <c r="B28" s="18"/>
      <c r="D28" s="45"/>
      <c r="E28" s="45"/>
      <c r="F28" s="45"/>
      <c r="G28" s="45"/>
      <c r="H28" s="45"/>
      <c r="I28" s="45"/>
      <c r="J28" s="45"/>
      <c r="K28" s="45"/>
      <c r="L28" s="45"/>
      <c r="M28" s="45"/>
    </row>
    <row r="29" spans="2:13" x14ac:dyDescent="0.2">
      <c r="B29" s="18"/>
      <c r="D29" s="45"/>
      <c r="E29" s="45"/>
      <c r="F29" s="45"/>
      <c r="G29" s="45"/>
      <c r="H29" s="45"/>
      <c r="I29" s="45"/>
      <c r="J29" s="45"/>
      <c r="K29" s="45"/>
      <c r="L29" s="45"/>
      <c r="M29" s="45"/>
    </row>
    <row r="30" spans="2:13" x14ac:dyDescent="0.2">
      <c r="B30" s="18"/>
      <c r="D30" s="45"/>
      <c r="E30" s="45"/>
      <c r="F30" s="45"/>
      <c r="G30" s="45"/>
      <c r="H30" s="45"/>
      <c r="I30" s="45"/>
      <c r="J30" s="45"/>
      <c r="K30" s="45"/>
      <c r="L30" s="45"/>
      <c r="M30" s="45"/>
    </row>
    <row r="31" spans="2:13" x14ac:dyDescent="0.2">
      <c r="B31" s="18"/>
      <c r="D31" s="45"/>
      <c r="E31" s="45"/>
      <c r="F31" s="45"/>
      <c r="G31" s="45"/>
      <c r="H31" s="45"/>
      <c r="I31" s="45"/>
      <c r="J31" s="45"/>
      <c r="K31" s="45"/>
      <c r="L31" s="45"/>
      <c r="M31" s="45"/>
    </row>
    <row r="32" spans="2:13" x14ac:dyDescent="0.2">
      <c r="B32" s="18"/>
      <c r="D32" s="45"/>
      <c r="E32" s="45"/>
      <c r="F32" s="45"/>
      <c r="G32" s="45"/>
      <c r="H32" s="45"/>
      <c r="I32" s="45"/>
      <c r="J32" s="45"/>
      <c r="K32" s="45"/>
      <c r="L32" s="45"/>
      <c r="M32" s="45"/>
    </row>
    <row r="33" spans="2:13" x14ac:dyDescent="0.2">
      <c r="B33" s="18"/>
      <c r="D33" s="45"/>
      <c r="E33" s="45"/>
      <c r="F33" s="45"/>
      <c r="G33" s="45"/>
      <c r="H33" s="45"/>
      <c r="I33" s="45"/>
      <c r="J33" s="45"/>
      <c r="K33" s="45"/>
      <c r="L33" s="45"/>
      <c r="M33" s="45"/>
    </row>
    <row r="34" spans="2:13" x14ac:dyDescent="0.2">
      <c r="B34" s="18"/>
      <c r="D34" s="45"/>
      <c r="E34" s="45"/>
      <c r="F34" s="45"/>
      <c r="G34" s="45"/>
      <c r="H34" s="45"/>
      <c r="I34" s="45"/>
      <c r="J34" s="45"/>
      <c r="K34" s="45"/>
      <c r="L34" s="45"/>
      <c r="M34" s="45"/>
    </row>
    <row r="35" spans="2:13" x14ac:dyDescent="0.2">
      <c r="B35" s="18"/>
      <c r="D35" s="45"/>
      <c r="E35" s="45"/>
      <c r="F35" s="45"/>
      <c r="G35" s="45"/>
      <c r="H35" s="45"/>
      <c r="I35" s="45"/>
      <c r="J35" s="45"/>
      <c r="K35" s="45"/>
      <c r="L35" s="45"/>
      <c r="M35" s="45"/>
    </row>
    <row r="36" spans="2:13" x14ac:dyDescent="0.2">
      <c r="B36" s="18"/>
      <c r="D36" s="45"/>
      <c r="E36" s="45"/>
      <c r="F36" s="45"/>
      <c r="G36" s="45"/>
      <c r="H36" s="45"/>
      <c r="I36" s="45"/>
      <c r="J36" s="45"/>
      <c r="K36" s="45"/>
      <c r="L36" s="45"/>
      <c r="M36" s="45"/>
    </row>
    <row r="37" spans="2:13" x14ac:dyDescent="0.2">
      <c r="B37" s="18"/>
      <c r="D37" s="45"/>
      <c r="E37" s="45"/>
      <c r="F37" s="45"/>
      <c r="G37" s="45"/>
      <c r="H37" s="45"/>
      <c r="I37" s="45"/>
      <c r="J37" s="45"/>
      <c r="K37" s="45"/>
      <c r="L37" s="45"/>
      <c r="M37" s="45"/>
    </row>
    <row r="38" spans="2:13" x14ac:dyDescent="0.2">
      <c r="B38" s="18"/>
      <c r="D38" s="45"/>
      <c r="E38" s="45"/>
      <c r="F38" s="45"/>
      <c r="G38" s="45"/>
      <c r="H38" s="45"/>
      <c r="I38" s="45"/>
      <c r="J38" s="45"/>
      <c r="K38" s="45"/>
      <c r="L38" s="45"/>
      <c r="M38" s="45"/>
    </row>
    <row r="39" spans="2:13" x14ac:dyDescent="0.2">
      <c r="B39" s="18"/>
      <c r="D39" s="45"/>
      <c r="E39" s="45"/>
      <c r="F39" s="45"/>
      <c r="G39" s="45"/>
      <c r="H39" s="45"/>
      <c r="I39" s="45"/>
      <c r="J39" s="45"/>
      <c r="K39" s="45"/>
      <c r="L39" s="45"/>
      <c r="M39" s="45"/>
    </row>
    <row r="40" spans="2:13" x14ac:dyDescent="0.2">
      <c r="B40" s="18"/>
      <c r="D40" s="45"/>
      <c r="E40" s="45"/>
      <c r="F40" s="45"/>
      <c r="G40" s="45"/>
      <c r="H40" s="45"/>
      <c r="I40" s="45"/>
      <c r="J40" s="45"/>
      <c r="K40" s="45"/>
      <c r="L40" s="45"/>
      <c r="M40" s="45"/>
    </row>
    <row r="41" spans="2:13" x14ac:dyDescent="0.2">
      <c r="B41" s="18"/>
      <c r="D41" s="45"/>
      <c r="E41" s="45"/>
      <c r="F41" s="45"/>
      <c r="G41" s="45"/>
      <c r="H41" s="45"/>
      <c r="I41" s="45"/>
      <c r="J41" s="45"/>
      <c r="K41" s="45"/>
      <c r="L41" s="45"/>
      <c r="M41" s="45"/>
    </row>
    <row r="42" spans="2:13" x14ac:dyDescent="0.2">
      <c r="B42" s="18"/>
      <c r="D42" s="45"/>
      <c r="E42" s="45"/>
      <c r="F42" s="45"/>
      <c r="G42" s="45"/>
      <c r="H42" s="45"/>
      <c r="I42" s="45"/>
      <c r="J42" s="45"/>
      <c r="K42" s="45"/>
      <c r="L42" s="45"/>
      <c r="M42" s="45"/>
    </row>
    <row r="43" spans="2:13" x14ac:dyDescent="0.2">
      <c r="B43" s="18"/>
      <c r="D43" s="45"/>
      <c r="E43" s="45"/>
      <c r="F43" s="45"/>
      <c r="G43" s="45"/>
      <c r="H43" s="45"/>
      <c r="I43" s="45"/>
      <c r="J43" s="45"/>
      <c r="K43" s="45"/>
      <c r="L43" s="45"/>
      <c r="M43" s="45"/>
    </row>
    <row r="44" spans="2:13" x14ac:dyDescent="0.2">
      <c r="B44" s="18"/>
      <c r="D44" s="45"/>
      <c r="E44" s="45"/>
      <c r="F44" s="45"/>
      <c r="G44" s="45"/>
      <c r="H44" s="45"/>
      <c r="I44" s="45"/>
      <c r="J44" s="45"/>
      <c r="K44" s="45"/>
      <c r="L44" s="45"/>
      <c r="M44" s="45"/>
    </row>
    <row r="45" spans="2:13" x14ac:dyDescent="0.2">
      <c r="B45" s="18"/>
      <c r="D45" s="45"/>
      <c r="E45" s="45"/>
      <c r="F45" s="45"/>
      <c r="G45" s="45"/>
      <c r="H45" s="45"/>
      <c r="I45" s="45"/>
      <c r="J45" s="45"/>
      <c r="K45" s="45"/>
      <c r="L45" s="45"/>
      <c r="M45" s="45"/>
    </row>
    <row r="46" spans="2:13" x14ac:dyDescent="0.2">
      <c r="B46" s="18"/>
      <c r="D46" s="45"/>
      <c r="E46" s="45"/>
      <c r="F46" s="45"/>
      <c r="G46" s="45"/>
      <c r="H46" s="45"/>
      <c r="I46" s="45"/>
      <c r="J46" s="45"/>
      <c r="K46" s="45"/>
      <c r="L46" s="45"/>
      <c r="M46" s="45"/>
    </row>
    <row r="47" spans="2:13" x14ac:dyDescent="0.2">
      <c r="B47" s="18"/>
      <c r="D47" s="45"/>
      <c r="E47" s="45"/>
      <c r="F47" s="45"/>
      <c r="G47" s="45"/>
      <c r="H47" s="45"/>
      <c r="I47" s="45"/>
      <c r="J47" s="45"/>
      <c r="K47" s="45"/>
      <c r="L47" s="45"/>
      <c r="M47" s="45"/>
    </row>
    <row r="48" spans="2:13" x14ac:dyDescent="0.2">
      <c r="B48" s="18"/>
      <c r="D48" s="45"/>
      <c r="E48" s="45"/>
      <c r="F48" s="45"/>
      <c r="G48" s="45"/>
      <c r="H48" s="45"/>
      <c r="I48" s="45"/>
      <c r="J48" s="45"/>
      <c r="K48" s="45"/>
      <c r="L48" s="45"/>
      <c r="M48" s="45"/>
    </row>
    <row r="49" spans="2:13" x14ac:dyDescent="0.2">
      <c r="B49" s="18"/>
      <c r="D49" s="45"/>
      <c r="E49" s="45"/>
      <c r="F49" s="45"/>
      <c r="G49" s="45"/>
      <c r="H49" s="45"/>
      <c r="I49" s="45"/>
      <c r="J49" s="45"/>
      <c r="K49" s="45"/>
      <c r="L49" s="45"/>
      <c r="M49" s="45"/>
    </row>
    <row r="50" spans="2:13" x14ac:dyDescent="0.2">
      <c r="B50" s="18"/>
      <c r="D50" s="45"/>
      <c r="E50" s="45"/>
      <c r="F50" s="45"/>
      <c r="G50" s="45"/>
      <c r="H50" s="45"/>
      <c r="I50" s="45"/>
      <c r="J50" s="45"/>
      <c r="K50" s="45"/>
      <c r="L50" s="45"/>
      <c r="M50" s="45"/>
    </row>
    <row r="51" spans="2:13" x14ac:dyDescent="0.2">
      <c r="B51" s="18"/>
      <c r="D51" s="45"/>
      <c r="E51" s="45"/>
      <c r="F51" s="45"/>
      <c r="G51" s="45"/>
      <c r="H51" s="45"/>
      <c r="I51" s="45"/>
      <c r="J51" s="45"/>
      <c r="K51" s="45"/>
      <c r="L51" s="45"/>
      <c r="M51" s="45"/>
    </row>
    <row r="52" spans="2:13" x14ac:dyDescent="0.2">
      <c r="B52" s="18"/>
      <c r="D52" s="45"/>
      <c r="E52" s="45"/>
      <c r="F52" s="45"/>
      <c r="G52" s="45"/>
      <c r="H52" s="45"/>
      <c r="I52" s="45"/>
      <c r="J52" s="45"/>
      <c r="K52" s="45"/>
      <c r="L52" s="45"/>
      <c r="M52" s="45"/>
    </row>
    <row r="53" spans="2:13" x14ac:dyDescent="0.2">
      <c r="B53" s="18"/>
      <c r="D53" s="45"/>
      <c r="E53" s="45"/>
      <c r="F53" s="45"/>
      <c r="G53" s="45"/>
      <c r="H53" s="45"/>
      <c r="I53" s="45"/>
      <c r="J53" s="45"/>
      <c r="K53" s="45"/>
      <c r="L53" s="45"/>
      <c r="M53" s="45"/>
    </row>
    <row r="54" spans="2:13" x14ac:dyDescent="0.2"/>
    <row r="55" spans="2:13" ht="15.75" x14ac:dyDescent="0.2">
      <c r="B55" s="127" t="s">
        <v>301</v>
      </c>
      <c r="D55" s="66">
        <f>SUM(D8:D$18)-SUM($D$22:$D$53)</f>
        <v>-0.46000000089406967</v>
      </c>
      <c r="E55" s="66">
        <f>SUM(E8:E$18)-SUM($D$22:$D$53)</f>
        <v>-0.47149999812245369</v>
      </c>
      <c r="F55" s="66">
        <f>SUM(F8:F$18)-SUM($D$22:$D$53)</f>
        <v>-0.4832875020802021</v>
      </c>
      <c r="G55" s="66">
        <f>SUM(G8:G$18)-SUM($D$22:$D$53)</f>
        <v>-0.49536968767642975</v>
      </c>
      <c r="H55" s="66">
        <f>SUM(H8:H$18)-SUM($D$22:$D$53)</f>
        <v>-0.50775393098592758</v>
      </c>
      <c r="I55" s="66">
        <f>SUM(I8:I$18)-SUM($D$22:$D$53)</f>
        <v>-0.52044777572154999</v>
      </c>
      <c r="J55" s="66">
        <f>SUM(J8:J$18)-SUM($D$22:$D$53)</f>
        <v>-0.53345897048711777</v>
      </c>
      <c r="K55" s="66">
        <f>SUM(K8:K$18)-SUM($D$22:$D$53)</f>
        <v>-0.54679544642567635</v>
      </c>
      <c r="L55" s="66">
        <f>SUM(L8:L$18)-SUM($D$22:$D$53)</f>
        <v>-0.56046533212065697</v>
      </c>
      <c r="M55" s="66">
        <f>SUM(M8:M$18)-SUM($D$22:$D$53)</f>
        <v>-0.57447696849703789</v>
      </c>
    </row>
    <row r="56" spans="2:13" x14ac:dyDescent="0.2"/>
    <row r="57" spans="2:13" ht="15.75" x14ac:dyDescent="0.2">
      <c r="B57" s="69" t="s">
        <v>304</v>
      </c>
      <c r="C57" s="128" t="s">
        <v>303</v>
      </c>
      <c r="D57" s="19" t="str">
        <f>'2. LTFP'!E$2</f>
        <v>2025-26</v>
      </c>
      <c r="E57" s="19" t="str">
        <f>'2. LTFP'!F$2</f>
        <v>2026-27</v>
      </c>
      <c r="F57" s="19" t="str">
        <f>'2. LTFP'!G$2</f>
        <v>2027-28</v>
      </c>
      <c r="G57" s="19" t="str">
        <f>'2. LTFP'!H$2</f>
        <v>2028-29</v>
      </c>
      <c r="H57" s="19" t="str">
        <f>'2. LTFP'!I$2</f>
        <v>2029-30</v>
      </c>
      <c r="I57" s="19" t="str">
        <f>'2. LTFP'!J$2</f>
        <v>2030-31</v>
      </c>
      <c r="J57" s="19" t="str">
        <f>'2. LTFP'!K$2</f>
        <v>2031-32</v>
      </c>
      <c r="K57" s="19" t="str">
        <f>'2. LTFP'!L$2</f>
        <v>2032-33</v>
      </c>
      <c r="L57" s="19" t="str">
        <f>'2. LTFP'!M$2</f>
        <v>2033-34</v>
      </c>
      <c r="M57" s="20" t="str">
        <f>'2. LTFP'!N$2</f>
        <v>2034-35</v>
      </c>
    </row>
    <row r="58" spans="2:13" x14ac:dyDescent="0.2">
      <c r="B58" s="8"/>
      <c r="C58" s="166" t="s">
        <v>278</v>
      </c>
      <c r="D58" s="45"/>
      <c r="E58" s="45"/>
      <c r="F58" s="45"/>
      <c r="G58" s="45"/>
      <c r="H58" s="45"/>
      <c r="I58" s="45"/>
      <c r="J58" s="45"/>
      <c r="K58" s="45"/>
      <c r="L58" s="45"/>
      <c r="M58" s="45"/>
    </row>
    <row r="59" spans="2:13" x14ac:dyDescent="0.2">
      <c r="B59" s="8"/>
      <c r="C59" s="166" t="s">
        <v>278</v>
      </c>
      <c r="D59" s="45"/>
      <c r="E59" s="45"/>
      <c r="F59" s="45"/>
      <c r="G59" s="45"/>
      <c r="H59" s="45"/>
      <c r="I59" s="45"/>
      <c r="J59" s="45"/>
      <c r="K59" s="45"/>
      <c r="L59" s="45"/>
      <c r="M59" s="45"/>
    </row>
    <row r="60" spans="2:13" x14ac:dyDescent="0.2">
      <c r="B60" s="8"/>
      <c r="C60" s="166" t="s">
        <v>278</v>
      </c>
      <c r="D60" s="45"/>
      <c r="E60" s="45"/>
      <c r="F60" s="45"/>
      <c r="G60" s="45"/>
      <c r="H60" s="45"/>
      <c r="I60" s="45"/>
      <c r="J60" s="45"/>
      <c r="K60" s="45"/>
      <c r="L60" s="45"/>
      <c r="M60" s="45"/>
    </row>
    <row r="61" spans="2:13" x14ac:dyDescent="0.2">
      <c r="B61" s="18"/>
      <c r="C61" s="166" t="s">
        <v>278</v>
      </c>
      <c r="D61" s="45"/>
      <c r="E61" s="45"/>
      <c r="F61" s="45"/>
      <c r="G61" s="45"/>
      <c r="H61" s="45"/>
      <c r="I61" s="45"/>
      <c r="J61" s="45"/>
      <c r="K61" s="45"/>
      <c r="L61" s="45"/>
      <c r="M61" s="45"/>
    </row>
    <row r="62" spans="2:13" x14ac:dyDescent="0.2">
      <c r="B62" s="18"/>
      <c r="C62" s="166" t="s">
        <v>278</v>
      </c>
      <c r="D62" s="45"/>
      <c r="E62" s="45"/>
      <c r="F62" s="45"/>
      <c r="G62" s="45"/>
      <c r="H62" s="45"/>
      <c r="I62" s="45"/>
      <c r="J62" s="45"/>
      <c r="K62" s="45"/>
      <c r="L62" s="45"/>
      <c r="M62" s="45"/>
    </row>
    <row r="63" spans="2:13" x14ac:dyDescent="0.2">
      <c r="B63" s="18"/>
      <c r="C63" s="166" t="s">
        <v>278</v>
      </c>
      <c r="D63" s="45"/>
      <c r="E63" s="45"/>
      <c r="F63" s="45"/>
      <c r="G63" s="45"/>
      <c r="H63" s="45"/>
      <c r="I63" s="45"/>
      <c r="J63" s="45"/>
      <c r="K63" s="45"/>
      <c r="L63" s="45"/>
      <c r="M63" s="45"/>
    </row>
    <row r="64" spans="2:13" x14ac:dyDescent="0.2">
      <c r="B64" s="18"/>
      <c r="C64" s="166" t="s">
        <v>278</v>
      </c>
      <c r="D64" s="45"/>
      <c r="E64" s="45"/>
      <c r="F64" s="45"/>
      <c r="G64" s="45"/>
      <c r="H64" s="45"/>
      <c r="I64" s="45"/>
      <c r="J64" s="45"/>
      <c r="K64" s="45"/>
      <c r="L64" s="45"/>
      <c r="M64" s="45"/>
    </row>
    <row r="65" spans="2:13" x14ac:dyDescent="0.2">
      <c r="B65" s="18"/>
      <c r="C65" s="166" t="s">
        <v>278</v>
      </c>
      <c r="D65" s="45"/>
      <c r="E65" s="45"/>
      <c r="F65" s="45"/>
      <c r="G65" s="45"/>
      <c r="H65" s="45"/>
      <c r="I65" s="45"/>
      <c r="J65" s="45"/>
      <c r="K65" s="45"/>
      <c r="L65" s="45"/>
      <c r="M65" s="45"/>
    </row>
    <row r="66" spans="2:13" x14ac:dyDescent="0.2">
      <c r="B66" s="18"/>
      <c r="C66" s="166" t="s">
        <v>278</v>
      </c>
      <c r="D66" s="45"/>
      <c r="E66" s="45"/>
      <c r="F66" s="45"/>
      <c r="G66" s="45"/>
      <c r="H66" s="45"/>
      <c r="I66" s="45"/>
      <c r="J66" s="45"/>
      <c r="K66" s="45"/>
      <c r="L66" s="45"/>
      <c r="M66" s="45"/>
    </row>
    <row r="67" spans="2:13" x14ac:dyDescent="0.2">
      <c r="B67" s="18"/>
      <c r="C67" s="166" t="s">
        <v>278</v>
      </c>
      <c r="D67" s="45"/>
      <c r="E67" s="45"/>
      <c r="F67" s="45"/>
      <c r="G67" s="45"/>
      <c r="H67" s="45"/>
      <c r="I67" s="45"/>
      <c r="J67" s="45"/>
      <c r="K67" s="45"/>
      <c r="L67" s="45"/>
      <c r="M67" s="45"/>
    </row>
    <row r="68" spans="2:13" x14ac:dyDescent="0.2">
      <c r="B68" s="18"/>
      <c r="C68" s="166" t="s">
        <v>278</v>
      </c>
      <c r="D68" s="45"/>
      <c r="E68" s="45"/>
      <c r="F68" s="45"/>
      <c r="G68" s="45"/>
      <c r="H68" s="45"/>
      <c r="I68" s="45"/>
      <c r="J68" s="45"/>
      <c r="K68" s="45"/>
      <c r="L68" s="45"/>
      <c r="M68" s="45"/>
    </row>
    <row r="69" spans="2:13" x14ac:dyDescent="0.2">
      <c r="B69" s="18"/>
      <c r="C69" s="166" t="s">
        <v>278</v>
      </c>
      <c r="D69" s="45"/>
      <c r="E69" s="45"/>
      <c r="F69" s="45"/>
      <c r="G69" s="45"/>
      <c r="H69" s="45"/>
      <c r="I69" s="45"/>
      <c r="J69" s="45"/>
      <c r="K69" s="45"/>
      <c r="L69" s="45"/>
      <c r="M69" s="45"/>
    </row>
    <row r="70" spans="2:13" x14ac:dyDescent="0.2">
      <c r="B70" s="18"/>
      <c r="C70" s="166" t="s">
        <v>278</v>
      </c>
      <c r="D70" s="45"/>
      <c r="E70" s="45"/>
      <c r="F70" s="45"/>
      <c r="G70" s="45"/>
      <c r="H70" s="45"/>
      <c r="I70" s="45"/>
      <c r="J70" s="45"/>
      <c r="K70" s="45"/>
      <c r="L70" s="45"/>
      <c r="M70" s="45"/>
    </row>
    <row r="71" spans="2:13" x14ac:dyDescent="0.2">
      <c r="B71" s="18"/>
      <c r="C71" s="166" t="s">
        <v>278</v>
      </c>
      <c r="D71" s="45"/>
      <c r="E71" s="45"/>
      <c r="F71" s="45"/>
      <c r="G71" s="45"/>
      <c r="H71" s="45"/>
      <c r="I71" s="45"/>
      <c r="J71" s="45"/>
      <c r="K71" s="45"/>
      <c r="L71" s="45"/>
      <c r="M71" s="45"/>
    </row>
    <row r="72" spans="2:13" x14ac:dyDescent="0.2">
      <c r="B72" s="18"/>
      <c r="C72" s="166" t="s">
        <v>278</v>
      </c>
      <c r="D72" s="45"/>
      <c r="E72" s="45"/>
      <c r="F72" s="45"/>
      <c r="G72" s="45"/>
      <c r="H72" s="45"/>
      <c r="I72" s="45"/>
      <c r="J72" s="45"/>
      <c r="K72" s="45"/>
      <c r="L72" s="45"/>
      <c r="M72" s="45"/>
    </row>
    <row r="73" spans="2:13" x14ac:dyDescent="0.2">
      <c r="B73" s="18"/>
      <c r="C73" s="166" t="s">
        <v>278</v>
      </c>
      <c r="D73" s="45"/>
      <c r="E73" s="45"/>
      <c r="F73" s="45"/>
      <c r="G73" s="45"/>
      <c r="H73" s="45"/>
      <c r="I73" s="45"/>
      <c r="J73" s="45"/>
      <c r="K73" s="45"/>
      <c r="L73" s="45"/>
      <c r="M73" s="45"/>
    </row>
    <row r="74" spans="2:13" x14ac:dyDescent="0.2">
      <c r="B74" s="18"/>
      <c r="C74" s="166" t="s">
        <v>278</v>
      </c>
      <c r="D74" s="45"/>
      <c r="E74" s="45"/>
      <c r="F74" s="45"/>
      <c r="G74" s="45"/>
      <c r="H74" s="45"/>
      <c r="I74" s="45"/>
      <c r="J74" s="45"/>
      <c r="K74" s="45"/>
      <c r="L74" s="45"/>
      <c r="M74" s="45"/>
    </row>
    <row r="75" spans="2:13" x14ac:dyDescent="0.2">
      <c r="B75" s="18"/>
      <c r="C75" s="166" t="s">
        <v>278</v>
      </c>
      <c r="D75" s="45"/>
      <c r="E75" s="45"/>
      <c r="F75" s="45"/>
      <c r="G75" s="45"/>
      <c r="H75" s="45"/>
      <c r="I75" s="45"/>
      <c r="J75" s="45"/>
      <c r="K75" s="45"/>
      <c r="L75" s="45"/>
      <c r="M75" s="45"/>
    </row>
    <row r="76" spans="2:13" x14ac:dyDescent="0.2">
      <c r="B76" s="18"/>
      <c r="C76" s="166" t="s">
        <v>278</v>
      </c>
      <c r="D76" s="45"/>
      <c r="E76" s="45"/>
      <c r="F76" s="45"/>
      <c r="G76" s="45"/>
      <c r="H76" s="45"/>
      <c r="I76" s="45"/>
      <c r="J76" s="45"/>
      <c r="K76" s="45"/>
      <c r="L76" s="45"/>
      <c r="M76" s="45"/>
    </row>
    <row r="77" spans="2:13" x14ac:dyDescent="0.2">
      <c r="B77" s="18"/>
      <c r="C77" s="166" t="s">
        <v>278</v>
      </c>
      <c r="D77" s="45"/>
      <c r="E77" s="45"/>
      <c r="F77" s="45"/>
      <c r="G77" s="45"/>
      <c r="H77" s="45"/>
      <c r="I77" s="45"/>
      <c r="J77" s="45"/>
      <c r="K77" s="45"/>
      <c r="L77" s="45"/>
      <c r="M77" s="45"/>
    </row>
    <row r="78" spans="2:13" x14ac:dyDescent="0.2">
      <c r="B78" s="18"/>
      <c r="C78" s="166" t="s">
        <v>278</v>
      </c>
      <c r="D78" s="45"/>
      <c r="E78" s="45"/>
      <c r="F78" s="45"/>
      <c r="G78" s="45"/>
      <c r="H78" s="45"/>
      <c r="I78" s="45"/>
      <c r="J78" s="45"/>
      <c r="K78" s="45"/>
      <c r="L78" s="45"/>
      <c r="M78" s="45"/>
    </row>
    <row r="79" spans="2:13" x14ac:dyDescent="0.2"/>
    <row r="80" spans="2:13" ht="15.75" x14ac:dyDescent="0.2">
      <c r="B80" s="69" t="s">
        <v>302</v>
      </c>
      <c r="D80" s="19" t="str">
        <f>'2. LTFP'!E$2</f>
        <v>2025-26</v>
      </c>
      <c r="E80" s="19" t="str">
        <f>'2. LTFP'!F$2</f>
        <v>2026-27</v>
      </c>
      <c r="F80" s="19" t="str">
        <f>'2. LTFP'!G$2</f>
        <v>2027-28</v>
      </c>
      <c r="G80" s="19" t="str">
        <f>'2. LTFP'!H$2</f>
        <v>2028-29</v>
      </c>
      <c r="H80" s="19" t="str">
        <f>'2. LTFP'!I$2</f>
        <v>2029-30</v>
      </c>
      <c r="I80" s="19" t="str">
        <f>'2. LTFP'!J$2</f>
        <v>2030-31</v>
      </c>
      <c r="J80" s="19" t="str">
        <f>'2. LTFP'!K$2</f>
        <v>2031-32</v>
      </c>
      <c r="K80" s="19" t="str">
        <f>'2. LTFP'!L$2</f>
        <v>2032-33</v>
      </c>
      <c r="L80" s="19" t="str">
        <f>'2. LTFP'!M$2</f>
        <v>2033-34</v>
      </c>
      <c r="M80" s="20" t="str">
        <f>'2. LTFP'!N$2</f>
        <v>2034-35</v>
      </c>
    </row>
    <row r="81" spans="1:25" x14ac:dyDescent="0.2">
      <c r="B81" s="18"/>
      <c r="D81" s="45"/>
      <c r="E81" s="45"/>
      <c r="F81" s="45"/>
      <c r="G81" s="45"/>
      <c r="H81" s="45"/>
      <c r="I81" s="45"/>
      <c r="J81" s="45"/>
      <c r="K81" s="45"/>
      <c r="L81" s="45"/>
      <c r="M81" s="45"/>
    </row>
    <row r="82" spans="1:25" x14ac:dyDescent="0.2">
      <c r="B82" s="18"/>
      <c r="D82" s="45"/>
      <c r="E82" s="45"/>
      <c r="F82" s="45"/>
      <c r="G82" s="45"/>
      <c r="H82" s="45"/>
      <c r="I82" s="45"/>
      <c r="J82" s="45"/>
      <c r="K82" s="45"/>
      <c r="L82" s="45"/>
      <c r="M82" s="45"/>
    </row>
    <row r="83" spans="1:25" x14ac:dyDescent="0.2">
      <c r="B83" s="18"/>
      <c r="D83" s="45"/>
      <c r="E83" s="45"/>
      <c r="F83" s="45"/>
      <c r="G83" s="45"/>
      <c r="H83" s="45"/>
      <c r="I83" s="45"/>
      <c r="J83" s="45"/>
      <c r="K83" s="45"/>
      <c r="L83" s="45"/>
      <c r="M83" s="45"/>
    </row>
    <row r="84" spans="1:25" x14ac:dyDescent="0.2">
      <c r="B84" s="18"/>
      <c r="D84" s="45"/>
      <c r="E84" s="45"/>
      <c r="F84" s="45"/>
      <c r="G84" s="45"/>
      <c r="H84" s="45"/>
      <c r="I84" s="45"/>
      <c r="J84" s="45"/>
      <c r="K84" s="45"/>
      <c r="L84" s="45"/>
      <c r="M84" s="45"/>
    </row>
    <row r="85" spans="1:25" x14ac:dyDescent="0.2">
      <c r="B85" s="18"/>
      <c r="D85" s="45"/>
      <c r="E85" s="45"/>
      <c r="F85" s="45"/>
      <c r="G85" s="45"/>
      <c r="H85" s="45"/>
      <c r="I85" s="45"/>
      <c r="J85" s="45"/>
      <c r="K85" s="45"/>
      <c r="L85" s="45"/>
      <c r="M85" s="45"/>
    </row>
    <row r="86" spans="1:25" x14ac:dyDescent="0.2">
      <c r="B86" s="18"/>
      <c r="D86" s="45"/>
      <c r="E86" s="45"/>
      <c r="F86" s="45"/>
      <c r="G86" s="45"/>
      <c r="H86" s="45"/>
      <c r="I86" s="45"/>
      <c r="J86" s="45"/>
      <c r="K86" s="45"/>
      <c r="L86" s="45"/>
      <c r="M86" s="45"/>
    </row>
    <row r="87" spans="1:25" x14ac:dyDescent="0.2">
      <c r="B87" s="18"/>
      <c r="D87" s="45"/>
      <c r="E87" s="45"/>
      <c r="F87" s="45"/>
      <c r="G87" s="45"/>
      <c r="H87" s="45"/>
      <c r="I87" s="45"/>
      <c r="J87" s="45"/>
      <c r="K87" s="45"/>
      <c r="L87" s="45"/>
      <c r="M87" s="45"/>
    </row>
    <row r="88" spans="1:25" x14ac:dyDescent="0.2">
      <c r="B88" s="18"/>
      <c r="D88" s="45"/>
      <c r="E88" s="45"/>
      <c r="F88" s="45"/>
      <c r="G88" s="45"/>
      <c r="H88" s="45"/>
      <c r="I88" s="45"/>
      <c r="J88" s="45"/>
      <c r="K88" s="45"/>
      <c r="L88" s="45"/>
      <c r="M88" s="45"/>
    </row>
    <row r="89" spans="1:25" x14ac:dyDescent="0.2"/>
    <row r="90" spans="1:25" x14ac:dyDescent="0.2"/>
    <row r="91" spans="1:25" ht="16.5" thickBot="1" x14ac:dyDescent="0.25">
      <c r="A91" s="4">
        <f ca="1">MAX(A$2:A77)+0.1</f>
        <v>3.2</v>
      </c>
      <c r="B91" s="5" t="s">
        <v>12</v>
      </c>
      <c r="C91" s="5"/>
      <c r="D91" s="5"/>
      <c r="E91" s="5"/>
      <c r="F91" s="5"/>
      <c r="G91" s="5"/>
      <c r="H91" s="5"/>
      <c r="I91" s="5"/>
      <c r="J91" s="5"/>
      <c r="K91" s="5"/>
      <c r="L91" s="5"/>
      <c r="M91" s="5"/>
      <c r="N91" s="5"/>
      <c r="O91" s="5"/>
      <c r="P91" s="5"/>
      <c r="Q91" s="5"/>
      <c r="R91" s="5"/>
      <c r="S91" s="5"/>
      <c r="T91" s="5"/>
      <c r="U91" s="5"/>
      <c r="V91" s="5"/>
      <c r="W91" s="5"/>
      <c r="X91" s="5"/>
      <c r="Y91" s="5"/>
    </row>
    <row r="92" spans="1:25" x14ac:dyDescent="0.2"/>
    <row r="93" spans="1:25" ht="15.75" x14ac:dyDescent="0.2">
      <c r="B93" s="69" t="s">
        <v>280</v>
      </c>
    </row>
    <row r="94" spans="1:25" x14ac:dyDescent="0.2">
      <c r="B94" t="s">
        <v>281</v>
      </c>
      <c r="D94" s="21" t="b">
        <f>ROUND(D104,-3)=ROUND('2. LTFP'!E291,-3)</f>
        <v>1</v>
      </c>
      <c r="E94" s="21" t="b">
        <f>ROUND(E104,-3)=ROUND('2. LTFP'!F291,-3)</f>
        <v>1</v>
      </c>
      <c r="F94" s="21" t="b">
        <f>ROUND(F104,-3)=ROUND('2. LTFP'!G291,-3)</f>
        <v>1</v>
      </c>
      <c r="G94" s="21" t="b">
        <f>ROUND(G104,-3)=ROUND('2. LTFP'!H291,-3)</f>
        <v>1</v>
      </c>
      <c r="H94" s="21" t="b">
        <f>ROUND(H104,-3)=ROUND('2. LTFP'!I291,-3)</f>
        <v>1</v>
      </c>
      <c r="I94" s="21" t="b">
        <f>ROUND(I104,-3)=ROUND('2. LTFP'!J291,-3)</f>
        <v>1</v>
      </c>
      <c r="J94" s="21" t="b">
        <f>ROUND(J104,-3)=ROUND('2. LTFP'!K291,-3)</f>
        <v>1</v>
      </c>
      <c r="K94" s="21" t="b">
        <f>ROUND(K104,-3)=ROUND('2. LTFP'!L291,-3)</f>
        <v>1</v>
      </c>
      <c r="L94" s="21" t="b">
        <f>ROUND(L104,-3)=ROUND('2. LTFP'!M291,-3)</f>
        <v>1</v>
      </c>
      <c r="M94" s="21" t="b">
        <f>ROUND(M104,-3)=ROUND('2. LTFP'!N291,-3)</f>
        <v>1</v>
      </c>
    </row>
    <row r="95" spans="1:25" x14ac:dyDescent="0.2">
      <c r="B95" t="s">
        <v>166</v>
      </c>
      <c r="D95" s="66">
        <f>ROUND(D104,-3)-ROUND('2. LTFP'!E291,-3)</f>
        <v>0</v>
      </c>
      <c r="E95" s="66">
        <f>ROUND(E104,-3)-ROUND('2. LTFP'!F291,-3)</f>
        <v>0</v>
      </c>
      <c r="F95" s="66">
        <f>ROUND(F104,-3)-ROUND('2. LTFP'!G291,-3)</f>
        <v>0</v>
      </c>
      <c r="G95" s="66">
        <f>ROUND(G104,-3)-ROUND('2. LTFP'!H291,-3)</f>
        <v>0</v>
      </c>
      <c r="H95" s="66">
        <f>ROUND(H104,-3)-ROUND('2. LTFP'!I291,-3)</f>
        <v>0</v>
      </c>
      <c r="I95" s="66">
        <f>ROUND(I104,-3)-ROUND('2. LTFP'!J291,-3)</f>
        <v>0</v>
      </c>
      <c r="J95" s="66">
        <f>ROUND(J104,-3)-ROUND('2. LTFP'!K291,-3)</f>
        <v>0</v>
      </c>
      <c r="K95" s="66">
        <f>ROUND(K104,-3)-ROUND('2. LTFP'!L291,-3)</f>
        <v>0</v>
      </c>
      <c r="L95" s="66">
        <f>ROUND(L104,-3)-ROUND('2. LTFP'!M291,-3)</f>
        <v>0</v>
      </c>
      <c r="M95" s="66">
        <f>ROUND(M104,-3)-ROUND('2. LTFP'!N291,-3)</f>
        <v>0</v>
      </c>
    </row>
    <row r="96" spans="1:25" x14ac:dyDescent="0.2">
      <c r="B96" t="s">
        <v>165</v>
      </c>
      <c r="D96" s="21" t="b">
        <f>ROUND(D105,-3)=ROUND('2. LTFP'!E305,-3)</f>
        <v>1</v>
      </c>
      <c r="E96" s="21" t="b">
        <f>ROUND(E105,-3)=ROUND('2. LTFP'!F305,-3)</f>
        <v>1</v>
      </c>
      <c r="F96" s="21" t="b">
        <f>ROUND(F105,-3)=ROUND('2. LTFP'!G305,-3)</f>
        <v>1</v>
      </c>
      <c r="G96" s="21" t="b">
        <f>ROUND(G105,-3)=ROUND('2. LTFP'!H305,-3)</f>
        <v>1</v>
      </c>
      <c r="H96" s="21" t="b">
        <f>ROUND(H105,-3)=ROUND('2. LTFP'!I305,-3)</f>
        <v>1</v>
      </c>
      <c r="I96" s="21" t="b">
        <f>ROUND(I105,-3)=ROUND('2. LTFP'!J305,-3)</f>
        <v>1</v>
      </c>
      <c r="J96" s="21" t="b">
        <f>ROUND(J105,-3)=ROUND('2. LTFP'!K305,-3)</f>
        <v>1</v>
      </c>
      <c r="K96" s="21" t="b">
        <f>ROUND(K105,-3)=ROUND('2. LTFP'!L305,-3)</f>
        <v>1</v>
      </c>
      <c r="L96" s="21" t="b">
        <f>ROUND(L105,-3)=ROUND('2. LTFP'!M305,-3)</f>
        <v>1</v>
      </c>
      <c r="M96" s="21" t="b">
        <f>ROUND(M105,-3)=ROUND('2. LTFP'!N305,-3)</f>
        <v>1</v>
      </c>
    </row>
    <row r="97" spans="1:25" x14ac:dyDescent="0.2">
      <c r="B97" t="s">
        <v>166</v>
      </c>
      <c r="D97" s="66">
        <f>ROUND(D105,-3)-ROUND('2. LTFP'!E305,-3)</f>
        <v>0</v>
      </c>
      <c r="E97" s="66">
        <f>ROUND(E105,-3)-ROUND('2. LTFP'!F305,-3)</f>
        <v>0</v>
      </c>
      <c r="F97" s="66">
        <f>ROUND(F105,-3)-ROUND('2. LTFP'!G305,-3)</f>
        <v>0</v>
      </c>
      <c r="G97" s="66">
        <f>ROUND(G105,-3)-ROUND('2. LTFP'!H305,-3)</f>
        <v>0</v>
      </c>
      <c r="H97" s="66">
        <f>ROUND(H105,-3)-ROUND('2. LTFP'!I305,-3)</f>
        <v>0</v>
      </c>
      <c r="I97" s="66">
        <f>ROUND(I105,-3)-ROUND('2. LTFP'!J305,-3)</f>
        <v>0</v>
      </c>
      <c r="J97" s="66">
        <f>ROUND(J105,-3)-ROUND('2. LTFP'!K305,-3)</f>
        <v>0</v>
      </c>
      <c r="K97" s="66">
        <f>ROUND(K105,-3)-ROUND('2. LTFP'!L305,-3)</f>
        <v>0</v>
      </c>
      <c r="L97" s="66">
        <f>ROUND(L105,-3)-ROUND('2. LTFP'!M305,-3)</f>
        <v>0</v>
      </c>
      <c r="M97" s="66">
        <f>ROUND(M105,-3)-ROUND('2. LTFP'!N305,-3)</f>
        <v>0</v>
      </c>
    </row>
    <row r="98" spans="1:25" x14ac:dyDescent="0.2">
      <c r="B98" t="s">
        <v>306</v>
      </c>
      <c r="D98" s="21" t="b">
        <f>ROUND(D106,-3)=ROUND('2. LTFP'!E372,-3)</f>
        <v>1</v>
      </c>
      <c r="E98" s="21" t="b">
        <f>ROUND(E106,-3)=ROUND('2. LTFP'!F372,-3)</f>
        <v>1</v>
      </c>
      <c r="F98" s="21" t="b">
        <f>ROUND(F106,-3)=ROUND('2. LTFP'!G372,-3)</f>
        <v>1</v>
      </c>
      <c r="G98" s="21" t="b">
        <f>ROUND(G106,-3)=ROUND('2. LTFP'!H372,-3)</f>
        <v>1</v>
      </c>
      <c r="H98" s="21" t="b">
        <f>ROUND(H106,-3)=ROUND('2. LTFP'!I372,-3)</f>
        <v>1</v>
      </c>
      <c r="I98" s="21" t="b">
        <f>ROUND(I106,-3)=ROUND('2. LTFP'!J372,-3)</f>
        <v>1</v>
      </c>
      <c r="J98" s="21" t="b">
        <f>ROUND(J106,-3)=ROUND('2. LTFP'!K372,-3)</f>
        <v>1</v>
      </c>
      <c r="K98" s="21" t="b">
        <f>ROUND(K106,-3)=ROUND('2. LTFP'!L372,-3)</f>
        <v>1</v>
      </c>
      <c r="L98" s="21" t="b">
        <f>ROUND(L106,-3)=ROUND('2. LTFP'!M372,-3)</f>
        <v>1</v>
      </c>
      <c r="M98" s="21" t="b">
        <f>ROUND(M106,-3)=ROUND('2. LTFP'!N372,-3)</f>
        <v>1</v>
      </c>
    </row>
    <row r="99" spans="1:25" x14ac:dyDescent="0.2">
      <c r="B99" t="s">
        <v>166</v>
      </c>
      <c r="D99" s="66">
        <f>ROUND(D106,-3)-ROUND('2. LTFP'!E372,-3)</f>
        <v>0</v>
      </c>
      <c r="E99" s="66">
        <f>ROUND(E106,-3)-ROUND('2. LTFP'!F372,-3)</f>
        <v>0</v>
      </c>
      <c r="F99" s="66">
        <f>ROUND(F106,-3)-ROUND('2. LTFP'!G372,-3)</f>
        <v>0</v>
      </c>
      <c r="G99" s="66">
        <f>ROUND(G106,-3)-ROUND('2. LTFP'!H372,-3)</f>
        <v>0</v>
      </c>
      <c r="H99" s="66">
        <f>ROUND(H106,-3)-ROUND('2. LTFP'!I372,-3)</f>
        <v>0</v>
      </c>
      <c r="I99" s="66">
        <f>ROUND(I106,-3)-ROUND('2. LTFP'!J372,-3)</f>
        <v>0</v>
      </c>
      <c r="J99" s="66">
        <f>ROUND(J106,-3)-ROUND('2. LTFP'!K372,-3)</f>
        <v>0</v>
      </c>
      <c r="K99" s="66">
        <f>ROUND(K106,-3)-ROUND('2. LTFP'!L372,-3)</f>
        <v>0</v>
      </c>
      <c r="L99" s="66">
        <f>ROUND(L106,-3)-ROUND('2. LTFP'!M372,-3)</f>
        <v>0</v>
      </c>
      <c r="M99" s="66">
        <f>ROUND(M106,-3)-ROUND('2. LTFP'!N372,-3)</f>
        <v>0</v>
      </c>
    </row>
    <row r="100" spans="1:25" x14ac:dyDescent="0.2"/>
    <row r="101" spans="1:25" ht="16.5" thickBot="1" x14ac:dyDescent="0.25">
      <c r="A101" s="4">
        <f ca="1">MAX(A$2:A92)+0.1</f>
        <v>3.3000000000000003</v>
      </c>
      <c r="B101" s="5" t="s">
        <v>124</v>
      </c>
      <c r="C101" s="5"/>
      <c r="D101" s="5"/>
      <c r="E101" s="5"/>
      <c r="F101" s="5"/>
      <c r="G101" s="5"/>
      <c r="H101" s="5"/>
      <c r="I101" s="5"/>
      <c r="J101" s="5"/>
      <c r="K101" s="5"/>
      <c r="L101" s="5"/>
      <c r="M101" s="5"/>
      <c r="N101" s="5"/>
      <c r="O101" s="5"/>
      <c r="P101" s="5"/>
      <c r="Q101" s="5"/>
      <c r="R101" s="5"/>
      <c r="S101" s="5"/>
      <c r="T101" s="5"/>
      <c r="U101" s="5"/>
      <c r="V101" s="5"/>
      <c r="W101" s="5"/>
      <c r="X101" s="5"/>
      <c r="Y101" s="5"/>
    </row>
    <row r="102" spans="1:25" x14ac:dyDescent="0.2"/>
    <row r="103" spans="1:25" ht="15" x14ac:dyDescent="0.2">
      <c r="D103" s="19" t="str">
        <f>'2. LTFP'!E$2</f>
        <v>2025-26</v>
      </c>
      <c r="E103" s="19" t="str">
        <f>'2. LTFP'!F$2</f>
        <v>2026-27</v>
      </c>
      <c r="F103" s="19" t="str">
        <f>'2. LTFP'!G$2</f>
        <v>2027-28</v>
      </c>
      <c r="G103" s="19" t="str">
        <f>'2. LTFP'!H$2</f>
        <v>2028-29</v>
      </c>
      <c r="H103" s="19" t="str">
        <f>'2. LTFP'!I$2</f>
        <v>2029-30</v>
      </c>
      <c r="I103" s="19" t="str">
        <f>'2. LTFP'!J$2</f>
        <v>2030-31</v>
      </c>
      <c r="J103" s="19" t="str">
        <f>'2. LTFP'!K$2</f>
        <v>2031-32</v>
      </c>
      <c r="K103" s="19" t="str">
        <f>'2. LTFP'!L$2</f>
        <v>2032-33</v>
      </c>
      <c r="L103" s="19" t="str">
        <f>'2. LTFP'!M$2</f>
        <v>2033-34</v>
      </c>
      <c r="M103" s="20" t="str">
        <f>'2. LTFP'!N$2</f>
        <v>2034-35</v>
      </c>
    </row>
    <row r="104" spans="1:25" x14ac:dyDescent="0.2">
      <c r="B104" t="s">
        <v>120</v>
      </c>
      <c r="D104" s="66">
        <f t="shared" ref="D104:M104" si="0">+SUM(D8:D18)</f>
        <v>-0.46000000089406967</v>
      </c>
      <c r="E104" s="66">
        <f t="shared" si="0"/>
        <v>-0.47149999812245369</v>
      </c>
      <c r="F104" s="66">
        <f t="shared" si="0"/>
        <v>-0.4832875020802021</v>
      </c>
      <c r="G104" s="66">
        <f t="shared" si="0"/>
        <v>-0.49536968767642975</v>
      </c>
      <c r="H104" s="66">
        <f t="shared" si="0"/>
        <v>-0.50775393098592758</v>
      </c>
      <c r="I104" s="66">
        <f t="shared" si="0"/>
        <v>-0.52044777572154999</v>
      </c>
      <c r="J104" s="66">
        <f t="shared" si="0"/>
        <v>-0.53345897048711777</v>
      </c>
      <c r="K104" s="66">
        <f t="shared" si="0"/>
        <v>-0.54679544642567635</v>
      </c>
      <c r="L104" s="66">
        <f t="shared" si="0"/>
        <v>-0.56046533212065697</v>
      </c>
      <c r="M104" s="66">
        <f t="shared" si="0"/>
        <v>-0.57447696849703789</v>
      </c>
    </row>
    <row r="105" spans="1:25" x14ac:dyDescent="0.2">
      <c r="B105" t="s">
        <v>121</v>
      </c>
      <c r="D105" s="66">
        <f t="shared" ref="D105:M105" si="1">+SUM(D22:D53)</f>
        <v>0</v>
      </c>
      <c r="E105" s="66">
        <f t="shared" si="1"/>
        <v>0</v>
      </c>
      <c r="F105" s="66">
        <f t="shared" si="1"/>
        <v>0</v>
      </c>
      <c r="G105" s="66">
        <f t="shared" si="1"/>
        <v>0</v>
      </c>
      <c r="H105" s="66">
        <f t="shared" si="1"/>
        <v>0</v>
      </c>
      <c r="I105" s="66">
        <f t="shared" si="1"/>
        <v>0</v>
      </c>
      <c r="J105" s="66">
        <f t="shared" si="1"/>
        <v>0</v>
      </c>
      <c r="K105" s="66">
        <f t="shared" si="1"/>
        <v>0</v>
      </c>
      <c r="L105" s="66">
        <f t="shared" si="1"/>
        <v>0</v>
      </c>
      <c r="M105" s="66">
        <f t="shared" si="1"/>
        <v>0</v>
      </c>
    </row>
    <row r="106" spans="1:25" x14ac:dyDescent="0.2">
      <c r="B106" t="s">
        <v>125</v>
      </c>
      <c r="D106" s="66">
        <f t="shared" ref="D106:M106" si="2">+SUM(D58:D78)</f>
        <v>0</v>
      </c>
      <c r="E106" s="66">
        <f t="shared" si="2"/>
        <v>0</v>
      </c>
      <c r="F106" s="66">
        <f t="shared" si="2"/>
        <v>0</v>
      </c>
      <c r="G106" s="66">
        <f t="shared" si="2"/>
        <v>0</v>
      </c>
      <c r="H106" s="66">
        <f t="shared" si="2"/>
        <v>0</v>
      </c>
      <c r="I106" s="66">
        <f t="shared" si="2"/>
        <v>0</v>
      </c>
      <c r="J106" s="66">
        <f t="shared" si="2"/>
        <v>0</v>
      </c>
      <c r="K106" s="66">
        <f t="shared" si="2"/>
        <v>0</v>
      </c>
      <c r="L106" s="66">
        <f t="shared" si="2"/>
        <v>0</v>
      </c>
      <c r="M106" s="66">
        <f t="shared" si="2"/>
        <v>0</v>
      </c>
    </row>
    <row r="107" spans="1:25" x14ac:dyDescent="0.2">
      <c r="B107" t="s">
        <v>123</v>
      </c>
      <c r="D107" s="66">
        <f t="shared" ref="D107:M107" si="3">+SUM(D81:D88)</f>
        <v>0</v>
      </c>
      <c r="E107" s="66">
        <f t="shared" si="3"/>
        <v>0</v>
      </c>
      <c r="F107" s="66">
        <f t="shared" si="3"/>
        <v>0</v>
      </c>
      <c r="G107" s="66">
        <f t="shared" si="3"/>
        <v>0</v>
      </c>
      <c r="H107" s="66">
        <f t="shared" si="3"/>
        <v>0</v>
      </c>
      <c r="I107" s="66">
        <f t="shared" si="3"/>
        <v>0</v>
      </c>
      <c r="J107" s="66">
        <f t="shared" si="3"/>
        <v>0</v>
      </c>
      <c r="K107" s="66">
        <f t="shared" si="3"/>
        <v>0</v>
      </c>
      <c r="L107" s="66">
        <f t="shared" si="3"/>
        <v>0</v>
      </c>
      <c r="M107" s="66">
        <f t="shared" si="3"/>
        <v>0</v>
      </c>
    </row>
    <row r="108" spans="1:25" x14ac:dyDescent="0.2">
      <c r="B108" t="s">
        <v>119</v>
      </c>
      <c r="D108" s="66">
        <f>+D104-SUM(D105:D107)</f>
        <v>-0.46000000089406967</v>
      </c>
      <c r="E108" s="66">
        <f t="shared" ref="E108:M108" si="4">+E104-SUM(E105:E107)</f>
        <v>-0.47149999812245369</v>
      </c>
      <c r="F108" s="66">
        <f t="shared" si="4"/>
        <v>-0.4832875020802021</v>
      </c>
      <c r="G108" s="66">
        <f t="shared" si="4"/>
        <v>-0.49536968767642975</v>
      </c>
      <c r="H108" s="66">
        <f t="shared" si="4"/>
        <v>-0.50775393098592758</v>
      </c>
      <c r="I108" s="66">
        <f t="shared" si="4"/>
        <v>-0.52044777572154999</v>
      </c>
      <c r="J108" s="66">
        <f t="shared" si="4"/>
        <v>-0.53345897048711777</v>
      </c>
      <c r="K108" s="66">
        <f t="shared" si="4"/>
        <v>-0.54679544642567635</v>
      </c>
      <c r="L108" s="66">
        <f t="shared" si="4"/>
        <v>-0.56046533212065697</v>
      </c>
      <c r="M108" s="66">
        <f t="shared" si="4"/>
        <v>-0.57447696849703789</v>
      </c>
    </row>
    <row r="109" spans="1:25" x14ac:dyDescent="0.2"/>
    <row r="110" spans="1:25" x14ac:dyDescent="0.2">
      <c r="B110" t="s">
        <v>167</v>
      </c>
      <c r="D110" s="177" t="s">
        <v>279</v>
      </c>
      <c r="E110" s="178"/>
      <c r="F110" s="178"/>
      <c r="G110" s="178"/>
      <c r="H110" s="178"/>
      <c r="I110" s="178"/>
      <c r="J110" s="178"/>
      <c r="K110" s="178"/>
      <c r="L110" s="178"/>
      <c r="M110" s="179"/>
    </row>
    <row r="111" spans="1:25" x14ac:dyDescent="0.2">
      <c r="D111" s="180"/>
      <c r="E111" s="181"/>
      <c r="F111" s="181"/>
      <c r="G111" s="181"/>
      <c r="H111" s="181"/>
      <c r="I111" s="181"/>
      <c r="J111" s="181"/>
      <c r="K111" s="181"/>
      <c r="L111" s="181"/>
      <c r="M111" s="182"/>
    </row>
    <row r="112" spans="1:25" x14ac:dyDescent="0.2">
      <c r="D112" s="180"/>
      <c r="E112" s="181"/>
      <c r="F112" s="181"/>
      <c r="G112" s="181"/>
      <c r="H112" s="181"/>
      <c r="I112" s="181"/>
      <c r="J112" s="181"/>
      <c r="K112" s="181"/>
      <c r="L112" s="181"/>
      <c r="M112" s="182"/>
    </row>
    <row r="113" spans="1:18" x14ac:dyDescent="0.2">
      <c r="D113" s="183"/>
      <c r="E113" s="184"/>
      <c r="F113" s="184"/>
      <c r="G113" s="184"/>
      <c r="H113" s="184"/>
      <c r="I113" s="184"/>
      <c r="J113" s="184"/>
      <c r="K113" s="184"/>
      <c r="L113" s="184"/>
      <c r="M113" s="185"/>
    </row>
    <row r="114" spans="1:18" x14ac:dyDescent="0.2"/>
    <row r="115" spans="1:18" x14ac:dyDescent="0.2">
      <c r="D115" s="125"/>
    </row>
    <row r="116" spans="1:18" x14ac:dyDescent="0.2"/>
    <row r="117" spans="1:18" x14ac:dyDescent="0.2">
      <c r="D117" s="89"/>
      <c r="E117" s="89"/>
      <c r="F117" s="89"/>
      <c r="G117" s="89"/>
      <c r="H117" s="89"/>
      <c r="I117" s="89"/>
      <c r="J117" s="89"/>
      <c r="K117" s="89"/>
      <c r="L117" s="89"/>
      <c r="M117" s="89"/>
    </row>
    <row r="118" spans="1:18" ht="15" x14ac:dyDescent="0.25">
      <c r="A118" s="119" t="s">
        <v>13</v>
      </c>
      <c r="B118" s="116"/>
      <c r="C118" s="116"/>
      <c r="D118" s="116"/>
      <c r="E118" s="116"/>
      <c r="F118" s="116"/>
      <c r="G118" s="116"/>
      <c r="H118" s="116"/>
      <c r="I118" s="116"/>
      <c r="J118" s="116"/>
      <c r="K118" s="116"/>
      <c r="L118" s="116"/>
      <c r="M118" s="116"/>
      <c r="N118" s="116"/>
      <c r="O118" s="116"/>
      <c r="P118" s="116"/>
      <c r="Q118" s="116"/>
      <c r="R118" s="116"/>
    </row>
    <row r="119" spans="1:18" x14ac:dyDescent="0.2"/>
    <row r="120" spans="1:18" x14ac:dyDescent="0.2"/>
    <row r="121" spans="1:18" x14ac:dyDescent="0.2"/>
    <row r="122" spans="1:18" x14ac:dyDescent="0.2"/>
    <row r="123" spans="1:18" x14ac:dyDescent="0.2"/>
    <row r="124" spans="1:18" x14ac:dyDescent="0.2"/>
    <row r="125" spans="1:18" x14ac:dyDescent="0.2"/>
    <row r="126" spans="1:18" x14ac:dyDescent="0.2"/>
    <row r="127" spans="1:18" x14ac:dyDescent="0.2"/>
    <row r="128" spans="1:18" x14ac:dyDescent="0.2"/>
    <row r="129" x14ac:dyDescent="0.2"/>
    <row r="130" x14ac:dyDescent="0.2"/>
    <row r="131" x14ac:dyDescent="0.2"/>
    <row r="132" x14ac:dyDescent="0.2"/>
    <row r="133" x14ac:dyDescent="0.2"/>
  </sheetData>
  <sheetProtection algorithmName="SHA-512" hashValue="9TQCwk3fDJkFRF/aSskfqx6UBicmeqUnebjeLYe5VCFnGbr4CfZIZP813n8OTHPPvUL0gB50suL6Lm+WOT/GAw==" saltValue="/M9elvDm5cHTGn0gPP3KvA==" spinCount="100000" sheet="1" objects="1" scenarios="1"/>
  <mergeCells count="1">
    <mergeCell ref="D110:M113"/>
  </mergeCells>
  <dataValidations disablePrompts="1" count="1">
    <dataValidation type="list" allowBlank="1" showInputMessage="1" showErrorMessage="1" sqref="C58:C78" xr:uid="{3C404CFC-975D-4F2B-838A-D6C03F403972}">
      <formula1>Capex_cat</formula1>
    </dataValidation>
  </dataValidations>
  <pageMargins left="0.7" right="0.7" top="0.75" bottom="0.75" header="0.3" footer="0.3"/>
  <pageSetup paperSize="9" orientation="portrait" r:id="rId1"/>
  <headerFooter>
    <oddHeader>&amp;C&amp;"Calibri"&amp;12&amp;KFF0000 OFFICIAL&amp;1#_x000D_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32CCE-13FC-4145-A218-6AF4BA90AD20}">
  <sheetPr codeName="Sheet5">
    <tabColor theme="7"/>
  </sheetPr>
  <dimension ref="A1:S39"/>
  <sheetViews>
    <sheetView showGridLines="0" zoomScale="85" zoomScaleNormal="85" workbookViewId="0">
      <pane ySplit="2" topLeftCell="A3" activePane="bottomLeft" state="frozen"/>
      <selection activeCell="C38" sqref="C38"/>
      <selection pane="bottomLeft" activeCell="E33" sqref="E33"/>
    </sheetView>
  </sheetViews>
  <sheetFormatPr defaultRowHeight="14.25" zeroHeight="1" x14ac:dyDescent="0.2"/>
  <cols>
    <col min="1" max="1" width="9.875" style="12" customWidth="1"/>
    <col min="2" max="2" width="57.375" customWidth="1"/>
    <col min="3" max="9" width="13.625" customWidth="1"/>
    <col min="10" max="10" width="10.375" customWidth="1"/>
    <col min="11" max="11" width="15.875" customWidth="1"/>
    <col min="12" max="14" width="10.375" customWidth="1"/>
    <col min="17" max="16383" width="0" hidden="1" customWidth="1"/>
  </cols>
  <sheetData>
    <row r="1" spans="1:19" ht="50.1" customHeight="1" x14ac:dyDescent="0.2">
      <c r="A1" s="3"/>
      <c r="B1" s="3" t="str">
        <f>title</f>
        <v>Higher cap information template</v>
      </c>
      <c r="C1" s="3"/>
      <c r="D1" s="3"/>
      <c r="E1" s="3"/>
      <c r="F1" s="3"/>
      <c r="G1" s="3"/>
      <c r="H1" s="3"/>
      <c r="I1" s="3"/>
      <c r="J1" s="3"/>
      <c r="K1" s="3"/>
      <c r="L1" s="3"/>
      <c r="M1" s="3"/>
      <c r="N1" s="3"/>
      <c r="O1" s="3"/>
      <c r="P1" s="3"/>
      <c r="Q1" s="3"/>
      <c r="R1" s="3"/>
      <c r="S1" s="3"/>
    </row>
    <row r="2" spans="1:19" ht="30" customHeight="1" x14ac:dyDescent="0.2">
      <c r="A2" s="2">
        <f ca="1">_xlfn.SHEET()</f>
        <v>4</v>
      </c>
      <c r="B2" s="1" t="s">
        <v>416</v>
      </c>
      <c r="C2" s="1"/>
      <c r="D2" s="1"/>
      <c r="E2" s="1"/>
      <c r="F2" s="1"/>
      <c r="G2" s="1"/>
      <c r="H2" s="1"/>
      <c r="I2" s="1"/>
      <c r="J2" s="1"/>
      <c r="K2" s="1"/>
      <c r="L2" s="1"/>
      <c r="M2" s="1"/>
      <c r="N2" s="1"/>
      <c r="O2" s="1"/>
      <c r="P2" s="1"/>
      <c r="Q2" s="1"/>
      <c r="R2" s="1"/>
      <c r="S2" s="1"/>
    </row>
    <row r="3" spans="1:19" x14ac:dyDescent="0.2">
      <c r="A3"/>
    </row>
    <row r="4" spans="1:19" ht="16.5" thickBot="1" x14ac:dyDescent="0.25">
      <c r="A4" s="4">
        <f ca="1">MAX(A$2:A3)+0.1</f>
        <v>4.0999999999999996</v>
      </c>
      <c r="B4" s="5" t="s">
        <v>152</v>
      </c>
      <c r="C4" s="5"/>
      <c r="D4" s="5"/>
      <c r="E4" s="5"/>
      <c r="F4" s="5"/>
      <c r="G4" s="5"/>
      <c r="H4" s="5"/>
      <c r="I4" s="5"/>
      <c r="J4" s="5"/>
      <c r="K4" s="5"/>
      <c r="L4" s="5"/>
      <c r="M4" s="5"/>
      <c r="N4" s="5"/>
      <c r="O4" s="5"/>
      <c r="P4" s="5"/>
      <c r="Q4" s="5"/>
      <c r="R4" s="5"/>
      <c r="S4" s="5"/>
    </row>
    <row r="5" spans="1:19" x14ac:dyDescent="0.2">
      <c r="A5"/>
    </row>
    <row r="6" spans="1:19" x14ac:dyDescent="0.2">
      <c r="B6" t="s">
        <v>137</v>
      </c>
      <c r="C6" s="21">
        <f>App_years</f>
        <v>1</v>
      </c>
    </row>
    <row r="7" spans="1:19" x14ac:dyDescent="0.2"/>
    <row r="8" spans="1:19" x14ac:dyDescent="0.2">
      <c r="E8" t="s">
        <v>26</v>
      </c>
      <c r="F8" t="s">
        <v>27</v>
      </c>
      <c r="G8" t="s">
        <v>27</v>
      </c>
      <c r="H8" t="s">
        <v>27</v>
      </c>
      <c r="I8" t="s">
        <v>27</v>
      </c>
    </row>
    <row r="9" spans="1:19" ht="15" x14ac:dyDescent="0.2">
      <c r="C9" s="19" t="str">
        <f>(YEAR(period)-3)&amp;"-"&amp;RIGHT(YEAR(period)-2,2)</f>
        <v>2022-23</v>
      </c>
      <c r="D9" s="19" t="str">
        <f>(YEAR(period)-2)&amp;"-"&amp;RIGHT(YEAR(period)-1,2)</f>
        <v>2023-24</v>
      </c>
      <c r="E9" s="19" t="str">
        <f>'2. LTFP'!D$2</f>
        <v>2024-25</v>
      </c>
      <c r="F9" s="19" t="str">
        <f>'2. LTFP'!E$2</f>
        <v>2025-26</v>
      </c>
      <c r="G9" s="19" t="str">
        <f>'2. LTFP'!F$2</f>
        <v>2026-27</v>
      </c>
      <c r="H9" s="19" t="str">
        <f>'2. LTFP'!G$2</f>
        <v>2027-28</v>
      </c>
      <c r="I9" s="19" t="str">
        <f>'2. LTFP'!H$2</f>
        <v>2028-29</v>
      </c>
    </row>
    <row r="10" spans="1:19" x14ac:dyDescent="0.2">
      <c r="B10" t="s">
        <v>29</v>
      </c>
      <c r="C10" s="45">
        <v>12518600</v>
      </c>
      <c r="D10" s="45">
        <v>12992617</v>
      </c>
      <c r="E10" s="112">
        <f>'2. LTFP'!D8</f>
        <v>13337460</v>
      </c>
      <c r="F10" s="112">
        <f>'2. LTFP'!E8</f>
        <v>14315105</v>
      </c>
      <c r="G10" s="112">
        <f>'2. LTFP'!F8</f>
        <v>14672982.624999998</v>
      </c>
      <c r="H10" s="112">
        <f>'2. LTFP'!G8</f>
        <v>15039807.190624997</v>
      </c>
      <c r="I10" s="112">
        <f>'2. LTFP'!H8</f>
        <v>15415802.37039062</v>
      </c>
    </row>
    <row r="11" spans="1:19" x14ac:dyDescent="0.2">
      <c r="B11" t="s">
        <v>30</v>
      </c>
      <c r="C11" s="45">
        <v>2850965</v>
      </c>
      <c r="D11" s="45">
        <v>2957630</v>
      </c>
      <c r="E11" s="112">
        <f>'2. LTFP'!D9</f>
        <v>3060346</v>
      </c>
      <c r="F11" s="112">
        <f>'2. LTFP'!E9</f>
        <v>3376259</v>
      </c>
      <c r="G11" s="112">
        <f>'2. LTFP'!F9</f>
        <v>3460665.4749999996</v>
      </c>
      <c r="H11" s="112">
        <f>'2. LTFP'!G9</f>
        <v>3547182.1118749995</v>
      </c>
      <c r="I11" s="112">
        <f>'2. LTFP'!H9</f>
        <v>3635861.6646718741</v>
      </c>
    </row>
    <row r="12" spans="1:19" x14ac:dyDescent="0.2">
      <c r="B12" t="s">
        <v>31</v>
      </c>
      <c r="C12" s="45">
        <v>15369565</v>
      </c>
      <c r="D12" s="45">
        <v>15950247</v>
      </c>
      <c r="E12" s="112">
        <f>'2. LTFP'!D10</f>
        <v>16397806</v>
      </c>
      <c r="F12" s="112">
        <f>'2. LTFP'!E10</f>
        <v>17691364</v>
      </c>
      <c r="G12" s="112">
        <f>'2. LTFP'!F10</f>
        <v>18133648.099999998</v>
      </c>
      <c r="H12" s="112">
        <f>'2. LTFP'!G10</f>
        <v>18586989.302499995</v>
      </c>
      <c r="I12" s="112">
        <f>'2. LTFP'!H10</f>
        <v>19051664.035062496</v>
      </c>
    </row>
    <row r="13" spans="1:19" x14ac:dyDescent="0.2"/>
    <row r="14" spans="1:19" ht="14.25" customHeight="1" x14ac:dyDescent="0.2">
      <c r="B14" t="s">
        <v>138</v>
      </c>
      <c r="C14" s="45">
        <v>43370</v>
      </c>
      <c r="D14" s="45">
        <v>51409</v>
      </c>
      <c r="E14" s="45">
        <v>52951</v>
      </c>
      <c r="F14" s="45">
        <v>54275</v>
      </c>
      <c r="G14" s="45">
        <v>55632</v>
      </c>
      <c r="H14" s="45">
        <v>57023</v>
      </c>
      <c r="I14" s="45">
        <v>58448</v>
      </c>
      <c r="K14" s="186" t="s">
        <v>377</v>
      </c>
      <c r="L14" s="186"/>
      <c r="M14" s="186"/>
    </row>
    <row r="15" spans="1:19" x14ac:dyDescent="0.2">
      <c r="K15" s="186"/>
      <c r="L15" s="186"/>
      <c r="M15" s="186"/>
    </row>
    <row r="16" spans="1:19" x14ac:dyDescent="0.2">
      <c r="B16" t="s">
        <v>140</v>
      </c>
      <c r="C16" s="45">
        <v>9191</v>
      </c>
      <c r="D16" s="113">
        <f>C17</f>
        <v>9254</v>
      </c>
      <c r="E16" s="113">
        <f t="shared" ref="E16:I16" si="0">D17</f>
        <v>9317</v>
      </c>
      <c r="F16" s="113">
        <f t="shared" si="0"/>
        <v>9380</v>
      </c>
      <c r="G16" s="113">
        <f t="shared" si="0"/>
        <v>9443</v>
      </c>
      <c r="H16" s="113">
        <f t="shared" si="0"/>
        <v>9507</v>
      </c>
      <c r="I16" s="113">
        <f t="shared" si="0"/>
        <v>9571</v>
      </c>
      <c r="K16" s="186"/>
      <c r="L16" s="186"/>
      <c r="M16" s="186"/>
    </row>
    <row r="17" spans="1:19" x14ac:dyDescent="0.2">
      <c r="B17" t="s">
        <v>139</v>
      </c>
      <c r="C17" s="45">
        <v>9254</v>
      </c>
      <c r="D17" s="45">
        <v>9317</v>
      </c>
      <c r="E17" s="45">
        <v>9380</v>
      </c>
      <c r="F17" s="45">
        <v>9443</v>
      </c>
      <c r="G17" s="45">
        <v>9507</v>
      </c>
      <c r="H17" s="45">
        <v>9571</v>
      </c>
      <c r="I17" s="45">
        <v>9636</v>
      </c>
      <c r="K17" s="186"/>
      <c r="L17" s="186"/>
      <c r="M17" s="186"/>
    </row>
    <row r="18" spans="1:19" x14ac:dyDescent="0.2"/>
    <row r="19" spans="1:19" x14ac:dyDescent="0.2">
      <c r="B19" t="s">
        <v>424</v>
      </c>
      <c r="D19" s="162">
        <f>IFERROR(D14/D12,"")</f>
        <v>3.2230848838892589E-3</v>
      </c>
      <c r="E19" s="162">
        <f t="shared" ref="E19:I19" si="1">IFERROR(E14/E12,"")</f>
        <v>3.22915150965928E-3</v>
      </c>
      <c r="F19" s="162">
        <f t="shared" si="1"/>
        <v>3.067881029410734E-3</v>
      </c>
      <c r="G19" s="162">
        <f t="shared" si="1"/>
        <v>3.0678879226734308E-3</v>
      </c>
      <c r="H19" s="162">
        <f t="shared" si="1"/>
        <v>3.0678986828883725E-3</v>
      </c>
      <c r="I19" s="162">
        <f t="shared" si="1"/>
        <v>3.0678685017976842E-3</v>
      </c>
    </row>
    <row r="20" spans="1:19" x14ac:dyDescent="0.2">
      <c r="B20" t="s">
        <v>141</v>
      </c>
      <c r="D20" s="162">
        <f>IFERROR(D17/C17-1,"")</f>
        <v>6.8078668683813071E-3</v>
      </c>
      <c r="E20" s="162">
        <f t="shared" ref="E20:I20" si="2">IFERROR(E17/D17-1,"")</f>
        <v>6.7618332081142984E-3</v>
      </c>
      <c r="F20" s="162">
        <f t="shared" si="2"/>
        <v>6.7164179104477473E-3</v>
      </c>
      <c r="G20" s="162">
        <f t="shared" si="2"/>
        <v>6.7775071481521731E-3</v>
      </c>
      <c r="H20" s="162">
        <f t="shared" si="2"/>
        <v>6.7318817713264423E-3</v>
      </c>
      <c r="I20" s="162">
        <f t="shared" si="2"/>
        <v>6.7913488663671195E-3</v>
      </c>
    </row>
    <row r="21" spans="1:19" x14ac:dyDescent="0.2"/>
    <row r="22" spans="1:19" ht="16.5" thickBot="1" x14ac:dyDescent="0.25">
      <c r="A22" s="4">
        <f ca="1">MAX(A$2:A21)+0.1</f>
        <v>4.1999999999999993</v>
      </c>
      <c r="B22" s="5" t="s">
        <v>151</v>
      </c>
      <c r="C22" s="5"/>
      <c r="D22" s="5"/>
      <c r="E22" s="5"/>
      <c r="F22" s="5"/>
      <c r="G22" s="5"/>
      <c r="H22" s="5"/>
      <c r="I22" s="5"/>
      <c r="J22" s="5"/>
      <c r="K22" s="5"/>
      <c r="L22" s="5"/>
      <c r="M22" s="5"/>
      <c r="N22" s="5"/>
      <c r="O22" s="5"/>
      <c r="P22" s="5"/>
      <c r="Q22" s="5"/>
      <c r="R22" s="5"/>
      <c r="S22" s="5"/>
    </row>
    <row r="23" spans="1:19" x14ac:dyDescent="0.2"/>
    <row r="24" spans="1:19" ht="15" x14ac:dyDescent="0.2">
      <c r="D24" s="19" t="str">
        <f>+D$9</f>
        <v>2023-24</v>
      </c>
      <c r="E24" s="19" t="str">
        <f t="shared" ref="E24:I24" si="3">+E$9</f>
        <v>2024-25</v>
      </c>
      <c r="F24" s="19" t="str">
        <f t="shared" si="3"/>
        <v>2025-26</v>
      </c>
      <c r="G24" s="19" t="str">
        <f t="shared" si="3"/>
        <v>2026-27</v>
      </c>
      <c r="H24" s="19" t="str">
        <f t="shared" si="3"/>
        <v>2027-28</v>
      </c>
      <c r="I24" s="19" t="str">
        <f t="shared" si="3"/>
        <v>2028-29</v>
      </c>
    </row>
    <row r="25" spans="1:19" x14ac:dyDescent="0.2">
      <c r="B25" t="s">
        <v>142</v>
      </c>
      <c r="D25" s="112">
        <f>IFERROR((C12+C14)/C17,"")</f>
        <v>1665.5430084287875</v>
      </c>
      <c r="E25" s="112">
        <f t="shared" ref="E25:F25" si="4">IFERROR((D12+D14)/D17,"")</f>
        <v>1717.4687131050766</v>
      </c>
      <c r="F25" s="112">
        <f t="shared" si="4"/>
        <v>1753.8120469083156</v>
      </c>
      <c r="G25" s="112" t="str">
        <f>IF(C6&gt;1,(F12+F14)/F17,"")</f>
        <v/>
      </c>
      <c r="H25" s="112" t="str">
        <f>IF(C6&gt;2,(G12+G14)/G17,"")</f>
        <v/>
      </c>
      <c r="I25" s="112" t="str">
        <f>IF(C6&gt;3,(H12+H14)/H17,"")</f>
        <v/>
      </c>
    </row>
    <row r="26" spans="1:19" x14ac:dyDescent="0.2">
      <c r="B26" t="s">
        <v>143</v>
      </c>
      <c r="D26" s="112">
        <f>IFERROR(D12/D16,"")</f>
        <v>1723.6056840285282</v>
      </c>
      <c r="E26" s="112">
        <f t="shared" ref="E26:F26" si="5">IFERROR(E12/E16,"")</f>
        <v>1759.987764301814</v>
      </c>
      <c r="F26" s="112">
        <f t="shared" si="5"/>
        <v>1886.0729211087421</v>
      </c>
      <c r="G26" s="112" t="str">
        <f>IF(C6&gt;1,G12/G16,"")</f>
        <v/>
      </c>
      <c r="H26" s="112" t="str">
        <f>IF(C6&gt;2,H12/H16,"")</f>
        <v/>
      </c>
      <c r="I26" s="112" t="str">
        <f>IF(C6&gt;3,I12/I16,"")</f>
        <v/>
      </c>
    </row>
    <row r="27" spans="1:19" x14ac:dyDescent="0.2">
      <c r="B27" t="s">
        <v>144</v>
      </c>
      <c r="F27" s="114">
        <f t="shared" ref="F27:I27" si="6">IFERROR(F26/F25-1,"")</f>
        <v>7.541336851550362E-2</v>
      </c>
      <c r="G27" s="114" t="str">
        <f t="shared" si="6"/>
        <v/>
      </c>
      <c r="H27" s="114" t="str">
        <f t="shared" si="6"/>
        <v/>
      </c>
      <c r="I27" s="114" t="str">
        <f t="shared" si="6"/>
        <v/>
      </c>
    </row>
    <row r="28" spans="1:19" x14ac:dyDescent="0.2">
      <c r="K28" t="s">
        <v>149</v>
      </c>
    </row>
    <row r="29" spans="1:19" x14ac:dyDescent="0.2">
      <c r="B29" t="s">
        <v>147</v>
      </c>
      <c r="F29" s="112">
        <f>IFERROR(F12-E12,"")</f>
        <v>1293558</v>
      </c>
      <c r="G29" s="112" t="str">
        <f>IF(C6&gt;1,G12-F12,"")</f>
        <v/>
      </c>
      <c r="H29" s="112" t="str">
        <f>IF(C6&gt;2,H12-G12,"")</f>
        <v/>
      </c>
      <c r="I29" s="112" t="str">
        <f>IF(C6&gt;3,I12-H12,"")</f>
        <v/>
      </c>
      <c r="K29" s="65">
        <f>SUM(F29:I29)</f>
        <v>1293558</v>
      </c>
    </row>
    <row r="30" spans="1:19" x14ac:dyDescent="0.2">
      <c r="B30" t="s">
        <v>145</v>
      </c>
      <c r="F30" s="112">
        <f>IFERROR('2. LTFP'!E136-'2. LTFP'!D136,"")</f>
        <v>491934.1799999997</v>
      </c>
      <c r="G30" s="112" t="str">
        <f>IF(C6&gt;1,'2. LTFP'!F136-'2. LTFP'!E136,"")</f>
        <v/>
      </c>
      <c r="H30" s="112" t="str">
        <f>IF(C6&gt;2,'2. LTFP'!G136-'2. LTFP'!F136,"")</f>
        <v/>
      </c>
      <c r="I30" s="112" t="str">
        <f>IF(C6&gt;3,'2. LTFP'!H136-'2. LTFP'!G136,"")</f>
        <v/>
      </c>
      <c r="K30" t="s">
        <v>150</v>
      </c>
    </row>
    <row r="31" spans="1:19" x14ac:dyDescent="0.2">
      <c r="B31" t="s">
        <v>146</v>
      </c>
      <c r="F31" s="112">
        <f>F29-F30</f>
        <v>801623.8200000003</v>
      </c>
      <c r="G31" s="112" t="str">
        <f>IFERROR(G29-G30,"")</f>
        <v/>
      </c>
      <c r="H31" s="112" t="str">
        <f>IFERROR(H29-H30,"")</f>
        <v/>
      </c>
      <c r="I31" s="112" t="str">
        <f>IFERROR(I29-I30,"")</f>
        <v/>
      </c>
      <c r="K31" s="65">
        <f>SUM(F31:I31)</f>
        <v>801623.8200000003</v>
      </c>
    </row>
    <row r="32" spans="1:19" x14ac:dyDescent="0.2">
      <c r="B32" t="s">
        <v>148</v>
      </c>
      <c r="F32" s="115">
        <f>IFERROR(F31/F16,"")</f>
        <v>85.460961620469121</v>
      </c>
      <c r="G32" s="115" t="str">
        <f t="shared" ref="G32:I32" si="7">IFERROR(G31/G16,"")</f>
        <v/>
      </c>
      <c r="H32" s="115" t="str">
        <f t="shared" si="7"/>
        <v/>
      </c>
      <c r="I32" s="115" t="str">
        <f t="shared" si="7"/>
        <v/>
      </c>
    </row>
    <row r="33" spans="1:16" x14ac:dyDescent="0.2"/>
    <row r="34" spans="1:16" x14ac:dyDescent="0.2"/>
    <row r="35" spans="1:16" x14ac:dyDescent="0.2">
      <c r="F35" s="120"/>
    </row>
    <row r="36" spans="1:16" x14ac:dyDescent="0.2"/>
    <row r="37" spans="1:16" x14ac:dyDescent="0.2"/>
    <row r="38" spans="1:16" ht="15" x14ac:dyDescent="0.25">
      <c r="A38" s="119" t="s">
        <v>13</v>
      </c>
      <c r="B38" s="118"/>
      <c r="C38" s="117"/>
      <c r="D38" s="117"/>
      <c r="E38" s="117"/>
      <c r="F38" s="117"/>
      <c r="G38" s="117"/>
      <c r="H38" s="117"/>
      <c r="I38" s="117"/>
      <c r="J38" s="117"/>
      <c r="K38" s="117"/>
      <c r="L38" s="117"/>
      <c r="M38" s="117"/>
      <c r="N38" s="117"/>
      <c r="O38" s="117"/>
      <c r="P38" s="117"/>
    </row>
    <row r="39" spans="1:16" x14ac:dyDescent="0.2"/>
  </sheetData>
  <sheetProtection algorithmName="SHA-512" hashValue="2lph3SV17C+gCzxtluZ4/Ltzrc9ByzAEkYCLsolvz+9dvGQXB/TdeRlMjfi1gugxNb/hxeR4GrV7cmkjRz3zvg==" saltValue="XbT9P3xR83M0kZxCLKVnzQ==" spinCount="100000" sheet="1" objects="1" scenarios="1"/>
  <mergeCells count="1">
    <mergeCell ref="K14:M17"/>
  </mergeCells>
  <pageMargins left="0.7" right="0.7" top="0.75" bottom="0.75" header="0.3" footer="0.3"/>
  <headerFooter>
    <oddHeader>&amp;C&amp;"Calibri"&amp;12&amp;KFF0000 OFFICIAL&amp;1#_x000D_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82294-C525-44EE-8C19-85C5771BB268}">
  <sheetPr codeName="Sheet6">
    <tabColor theme="7"/>
  </sheetPr>
  <dimension ref="A1:S50"/>
  <sheetViews>
    <sheetView showGridLines="0" zoomScale="85" zoomScaleNormal="85" workbookViewId="0">
      <pane ySplit="2" topLeftCell="A3" activePane="bottomLeft" state="frozen"/>
      <selection activeCell="D23" sqref="D23"/>
      <selection pane="bottomLeft" activeCell="K30" sqref="K30"/>
    </sheetView>
  </sheetViews>
  <sheetFormatPr defaultRowHeight="14.25" zeroHeight="1" x14ac:dyDescent="0.2"/>
  <cols>
    <col min="1" max="1" width="9.875" style="12" customWidth="1"/>
    <col min="2" max="2" width="23.625" customWidth="1"/>
    <col min="3" max="3" width="21.25" customWidth="1"/>
    <col min="4" max="14" width="10.375" customWidth="1"/>
    <col min="17" max="16383" width="0" hidden="1" customWidth="1"/>
  </cols>
  <sheetData>
    <row r="1" spans="1:19" ht="50.1" customHeight="1" x14ac:dyDescent="0.2">
      <c r="A1" s="3"/>
      <c r="B1" s="3" t="str">
        <f>title</f>
        <v>Higher cap information template</v>
      </c>
      <c r="C1" s="3"/>
      <c r="D1" s="3"/>
      <c r="E1" s="3"/>
      <c r="F1" s="3"/>
      <c r="G1" s="3"/>
      <c r="H1" s="3"/>
      <c r="I1" s="3"/>
      <c r="J1" s="3"/>
      <c r="K1" s="3"/>
      <c r="L1" s="3"/>
      <c r="M1" s="3"/>
      <c r="N1" s="3"/>
      <c r="O1" s="3"/>
      <c r="P1" s="3"/>
      <c r="Q1" s="3"/>
      <c r="R1" s="3"/>
      <c r="S1" s="3"/>
    </row>
    <row r="2" spans="1:19" ht="30" customHeight="1" x14ac:dyDescent="0.2">
      <c r="A2" s="2">
        <f ca="1">_xlfn.SHEET()</f>
        <v>5</v>
      </c>
      <c r="B2" s="1" t="s">
        <v>292</v>
      </c>
      <c r="C2" s="1"/>
      <c r="D2" s="1"/>
      <c r="E2" s="1"/>
      <c r="F2" s="1"/>
      <c r="G2" s="1"/>
      <c r="H2" s="1"/>
      <c r="I2" s="1"/>
      <c r="J2" s="1"/>
      <c r="K2" s="1"/>
      <c r="L2" s="1"/>
      <c r="M2" s="1"/>
      <c r="N2" s="1"/>
      <c r="O2" s="1"/>
      <c r="P2" s="1"/>
      <c r="Q2" s="1"/>
      <c r="R2" s="1"/>
      <c r="S2" s="1"/>
    </row>
    <row r="3" spans="1:19" x14ac:dyDescent="0.2">
      <c r="A3"/>
    </row>
    <row r="4" spans="1:19" ht="16.5" thickBot="1" x14ac:dyDescent="0.25">
      <c r="A4" s="4">
        <f ca="1">MAX(A$2:A3)+0.1</f>
        <v>5.0999999999999996</v>
      </c>
      <c r="B4" s="5" t="s">
        <v>126</v>
      </c>
      <c r="C4" s="5"/>
      <c r="D4" s="5"/>
      <c r="E4" s="5"/>
      <c r="F4" s="5"/>
      <c r="G4" s="5"/>
      <c r="H4" s="5"/>
      <c r="I4" s="5"/>
      <c r="J4" s="5"/>
      <c r="K4" s="5"/>
      <c r="L4" s="5"/>
      <c r="M4" s="5"/>
      <c r="N4" s="5"/>
      <c r="O4" s="5"/>
      <c r="P4" s="5"/>
      <c r="Q4" s="5"/>
      <c r="R4" s="5"/>
      <c r="S4" s="5"/>
    </row>
    <row r="5" spans="1:19" x14ac:dyDescent="0.2">
      <c r="A5"/>
    </row>
    <row r="6" spans="1:19" ht="30" x14ac:dyDescent="0.2">
      <c r="D6" s="19" t="str">
        <f>'2. LTFP'!D$2</f>
        <v>2024-25</v>
      </c>
      <c r="E6" s="19" t="str">
        <f>'2. LTFP'!E$2</f>
        <v>2025-26</v>
      </c>
      <c r="F6" s="19" t="str">
        <f>'2. LTFP'!F$2</f>
        <v>2026-27</v>
      </c>
      <c r="G6" s="19" t="str">
        <f>'2. LTFP'!G$2</f>
        <v>2027-28</v>
      </c>
      <c r="H6" s="19" t="str">
        <f>'2. LTFP'!H$2</f>
        <v>2028-29</v>
      </c>
      <c r="I6" s="19" t="str">
        <f>'2. LTFP'!I$2</f>
        <v>2029-30</v>
      </c>
      <c r="J6" s="19" t="str">
        <f>'2. LTFP'!J$2</f>
        <v>2030-31</v>
      </c>
      <c r="K6" s="19" t="str">
        <f>'2. LTFP'!K$2</f>
        <v>2031-32</v>
      </c>
      <c r="L6" s="19" t="str">
        <f>'2. LTFP'!L$2</f>
        <v>2032-33</v>
      </c>
      <c r="M6" s="19" t="str">
        <f>'2. LTFP'!M$2</f>
        <v>2033-34</v>
      </c>
      <c r="N6" s="19" t="str">
        <f>'2. LTFP'!N$2</f>
        <v>2034-35</v>
      </c>
      <c r="O6" s="137" t="s">
        <v>299</v>
      </c>
      <c r="P6" s="133" t="s">
        <v>300</v>
      </c>
    </row>
    <row r="7" spans="1:19" ht="15" customHeight="1" x14ac:dyDescent="0.2">
      <c r="B7" s="187" t="s">
        <v>127</v>
      </c>
      <c r="C7" t="s">
        <v>128</v>
      </c>
      <c r="D7" s="121">
        <f>IFERROR(('2. LTFP'!D55-'2. LTFP'!D30-'2. LTFP'!D33-'2. LTFP'!D34)/('2. LTFP'!D39-'2. LTFP'!D30-'2. LTFP'!D33-'2. LTFP'!D34),"")</f>
        <v>-0.17274947157237389</v>
      </c>
      <c r="E7" s="121">
        <f>IFERROR(('2. LTFP'!E55-'2. LTFP'!E30-'2. LTFP'!E33-'2. LTFP'!E34)/('2. LTFP'!E39-'2. LTFP'!E30-'2. LTFP'!E33-'2. LTFP'!E34),"")</f>
        <v>-0.19425577253893855</v>
      </c>
      <c r="F7" s="121">
        <f>IFERROR(('2. LTFP'!F55-'2. LTFP'!F30-'2. LTFP'!F33-'2. LTFP'!F34)/('2. LTFP'!F39-'2. LTFP'!F30-'2. LTFP'!F33-'2. LTFP'!F34),"")</f>
        <v>-0.18995942665199064</v>
      </c>
      <c r="G7" s="121">
        <f>IFERROR(('2. LTFP'!G55-'2. LTFP'!G30-'2. LTFP'!G33-'2. LTFP'!G34)/('2. LTFP'!G39-'2. LTFP'!G30-'2. LTFP'!G33-'2. LTFP'!G34),"")</f>
        <v>-0.18310231969472587</v>
      </c>
      <c r="H7" s="121">
        <f>IFERROR(('2. LTFP'!H55-'2. LTFP'!H30-'2. LTFP'!H33-'2. LTFP'!H34)/('2. LTFP'!H39-'2. LTFP'!H30-'2. LTFP'!H33-'2. LTFP'!H34),"")</f>
        <v>-0.17794709021954064</v>
      </c>
      <c r="I7" s="121">
        <f>IFERROR(('2. LTFP'!I55-'2. LTFP'!I30-'2. LTFP'!I33-'2. LTFP'!I34)/('2. LTFP'!I39-'2. LTFP'!I30-'2. LTFP'!I33-'2. LTFP'!I34),"")</f>
        <v>-0.16937457305137998</v>
      </c>
      <c r="J7" s="121">
        <f>IFERROR(('2. LTFP'!J55-'2. LTFP'!J30-'2. LTFP'!J33-'2. LTFP'!J34)/('2. LTFP'!J39-'2. LTFP'!J30-'2. LTFP'!J33-'2. LTFP'!J34),"")</f>
        <v>-0.16288689509445786</v>
      </c>
      <c r="K7" s="121">
        <f>IFERROR(('2. LTFP'!K55-'2. LTFP'!K30-'2. LTFP'!K33-'2. LTFP'!K34)/('2. LTFP'!K39-'2. LTFP'!K30-'2. LTFP'!K33-'2. LTFP'!K34),"")</f>
        <v>-0.15526910950322545</v>
      </c>
      <c r="L7" s="121">
        <f>IFERROR(('2. LTFP'!L55-'2. LTFP'!L30-'2. LTFP'!L33-'2. LTFP'!L34)/('2. LTFP'!L39-'2. LTFP'!L30-'2. LTFP'!L33-'2. LTFP'!L34),"")</f>
        <v>-0.14775681888397585</v>
      </c>
      <c r="M7" s="121">
        <f>IFERROR(('2. LTFP'!M55-'2. LTFP'!M30-'2. LTFP'!M33-'2. LTFP'!M34)/('2. LTFP'!M39-'2. LTFP'!M30-'2. LTFP'!M33-'2. LTFP'!M34),"")</f>
        <v>-0.14022008723628826</v>
      </c>
      <c r="N7" s="134">
        <f>IFERROR(('2. LTFP'!N55-'2. LTFP'!N30-'2. LTFP'!N33-'2. LTFP'!N34)/('2. LTFP'!N39-'2. LTFP'!N30-'2. LTFP'!N33-'2. LTFP'!N34),"")</f>
        <v>-0.13998526861400828</v>
      </c>
      <c r="O7" s="138">
        <f>IFERROR(AVERAGE(E7:H7),"")</f>
        <v>-0.18631615227629894</v>
      </c>
      <c r="P7" s="130">
        <f>IFERROR(AVERAGE(E7:N7),"")</f>
        <v>-0.16607573614885313</v>
      </c>
    </row>
    <row r="8" spans="1:19" x14ac:dyDescent="0.2">
      <c r="B8" s="187"/>
      <c r="C8" t="s">
        <v>157</v>
      </c>
      <c r="D8" s="121">
        <f>IFERROR(('2. LTFP'!D181-'2. LTFP'!D156-'2. LTFP'!D159-'2. LTFP'!D160)/('2. LTFP'!D165-'2. LTFP'!D156-'2. LTFP'!D159-'2. LTFP'!D160),"")</f>
        <v>-0.17274947157237389</v>
      </c>
      <c r="E8" s="121">
        <f>IFERROR(('2. LTFP'!E181-'2. LTFP'!E156-'2. LTFP'!E159-'2. LTFP'!E160)/('2. LTFP'!E165-'2. LTFP'!E156-'2. LTFP'!E159-'2. LTFP'!E160),"")</f>
        <v>-0.1942557582040696</v>
      </c>
      <c r="F8" s="121">
        <f>IFERROR(('2. LTFP'!F181-'2. LTFP'!F156-'2. LTFP'!F159-'2. LTFP'!F160)/('2. LTFP'!F165-'2. LTFP'!F156-'2. LTFP'!F159-'2. LTFP'!F160),"")</f>
        <v>-0.18995941192391308</v>
      </c>
      <c r="G8" s="121">
        <f>IFERROR(('2. LTFP'!G181-'2. LTFP'!G156-'2. LTFP'!G159-'2. LTFP'!G160)/('2. LTFP'!G165-'2. LTFP'!G156-'2. LTFP'!G159-'2. LTFP'!G160),"")</f>
        <v>-0.18310230501569588</v>
      </c>
      <c r="H8" s="121">
        <f>IFERROR(('2. LTFP'!H181-'2. LTFP'!H156-'2. LTFP'!H159-'2. LTFP'!H160)/('2. LTFP'!H165-'2. LTFP'!H156-'2. LTFP'!H159-'2. LTFP'!H160),"")</f>
        <v>-0.1779470755837757</v>
      </c>
      <c r="I8" s="121">
        <f>IFERROR(('2. LTFP'!I181-'2. LTFP'!I156-'2. LTFP'!I159-'2. LTFP'!I160)/('2. LTFP'!I165-'2. LTFP'!I156-'2. LTFP'!I159-'2. LTFP'!I160),"")</f>
        <v>-0.16937455849543165</v>
      </c>
      <c r="J8" s="121">
        <f>IFERROR(('2. LTFP'!J181-'2. LTFP'!J156-'2. LTFP'!J159-'2. LTFP'!J160)/('2. LTFP'!J165-'2. LTFP'!J156-'2. LTFP'!J159-'2. LTFP'!J160),"")</f>
        <v>-0.16288688056817124</v>
      </c>
      <c r="K8" s="121">
        <f>IFERROR(('2. LTFP'!K181-'2. LTFP'!K156-'2. LTFP'!K159-'2. LTFP'!K160)/('2. LTFP'!K165-'2. LTFP'!K156-'2. LTFP'!K159-'2. LTFP'!K160),"")</f>
        <v>-0.15526909503650577</v>
      </c>
      <c r="L8" s="121">
        <f>IFERROR(('2. LTFP'!L181-'2. LTFP'!L156-'2. LTFP'!L159-'2. LTFP'!L160)/('2. LTFP'!L165-'2. LTFP'!L156-'2. LTFP'!L159-'2. LTFP'!L160),"")</f>
        <v>-0.1477568044762492</v>
      </c>
      <c r="M8" s="121">
        <f>IFERROR(('2. LTFP'!M181-'2. LTFP'!M156-'2. LTFP'!M159-'2. LTFP'!M160)/('2. LTFP'!M165-'2. LTFP'!M156-'2. LTFP'!M159-'2. LTFP'!M160),"")</f>
        <v>-0.14022007288922936</v>
      </c>
      <c r="N8" s="135">
        <f>IFERROR(('2. LTFP'!N181-'2. LTFP'!N156-'2. LTFP'!N159-'2. LTFP'!N160)/('2. LTFP'!N165-'2. LTFP'!N156-'2. LTFP'!N159-'2. LTFP'!N160),"")</f>
        <v>-0.13998525426835648</v>
      </c>
      <c r="O8" s="138">
        <f>IFERROR(AVERAGE(E8:H8),"")</f>
        <v>-0.18631613768186356</v>
      </c>
      <c r="P8" s="130">
        <f>IFERROR(AVERAGE(E8:N8),"")</f>
        <v>-0.16607572164613979</v>
      </c>
    </row>
    <row r="9" spans="1:19" x14ac:dyDescent="0.2">
      <c r="C9" t="s">
        <v>129</v>
      </c>
      <c r="D9" s="121">
        <f t="shared" ref="D9:P9" si="0">IFERROR(D7-D8,"")</f>
        <v>0</v>
      </c>
      <c r="E9" s="121">
        <f t="shared" si="0"/>
        <v>-1.4334868958520985E-8</v>
      </c>
      <c r="F9" s="121">
        <f t="shared" si="0"/>
        <v>-1.4728077563086472E-8</v>
      </c>
      <c r="G9" s="121">
        <f t="shared" si="0"/>
        <v>-1.4679029991526704E-8</v>
      </c>
      <c r="H9" s="121">
        <f t="shared" si="0"/>
        <v>-1.4635764933323969E-8</v>
      </c>
      <c r="I9" s="121">
        <f t="shared" si="0"/>
        <v>-1.4555948335548408E-8</v>
      </c>
      <c r="J9" s="121">
        <f t="shared" si="0"/>
        <v>-1.45262866180218E-8</v>
      </c>
      <c r="K9" s="121">
        <f t="shared" si="0"/>
        <v>-1.4466719683303708E-8</v>
      </c>
      <c r="L9" s="121">
        <f t="shared" si="0"/>
        <v>-1.4407726650622621E-8</v>
      </c>
      <c r="M9" s="121">
        <f t="shared" si="0"/>
        <v>-1.4347058902020038E-8</v>
      </c>
      <c r="N9" s="135">
        <f t="shared" si="0"/>
        <v>-1.4345651805358628E-8</v>
      </c>
      <c r="O9" s="139">
        <f t="shared" si="0"/>
        <v>-1.4594435382431215E-8</v>
      </c>
      <c r="P9" s="130">
        <f t="shared" si="0"/>
        <v>-1.4502713335806661E-8</v>
      </c>
    </row>
    <row r="10" spans="1:19" x14ac:dyDescent="0.2">
      <c r="O10" s="22"/>
      <c r="P10" s="23"/>
    </row>
    <row r="11" spans="1:19" ht="15" x14ac:dyDescent="0.2">
      <c r="B11" s="13" t="s">
        <v>130</v>
      </c>
      <c r="C11" t="s">
        <v>128</v>
      </c>
      <c r="D11" s="121">
        <f>IFERROR('2. LTFP'!D55/'2. LTFP'!D39,"")</f>
        <v>7.5664184389381051E-2</v>
      </c>
      <c r="E11" s="121">
        <f>IFERROR('2. LTFP'!E55/'2. LTFP'!E39,"")</f>
        <v>-0.13307611637276459</v>
      </c>
      <c r="F11" s="121">
        <f>IFERROR('2. LTFP'!F55/'2. LTFP'!F39,"")</f>
        <v>-0.1377341925630966</v>
      </c>
      <c r="G11" s="121">
        <f>IFERROR('2. LTFP'!G55/'2. LTFP'!G39,"")</f>
        <v>-0.13901776958046685</v>
      </c>
      <c r="H11" s="121">
        <f>IFERROR('2. LTFP'!H55/'2. LTFP'!H39,"")</f>
        <v>-0.1397103128392706</v>
      </c>
      <c r="I11" s="121">
        <f>IFERROR('2. LTFP'!I55/'2. LTFP'!I39,"")</f>
        <v>-0.12689683507192492</v>
      </c>
      <c r="J11" s="121">
        <f>IFERROR('2. LTFP'!J55/'2. LTFP'!J39,"")</f>
        <v>-0.12847875442706735</v>
      </c>
      <c r="K11" s="121">
        <f>IFERROR('2. LTFP'!K55/'2. LTFP'!K39,"")</f>
        <v>-0.12119661474460597</v>
      </c>
      <c r="L11" s="121">
        <f>IFERROR('2. LTFP'!L55/'2. LTFP'!L39,"")</f>
        <v>-0.10913983598343503</v>
      </c>
      <c r="M11" s="121">
        <f>IFERROR('2. LTFP'!M55/'2. LTFP'!M39,"")</f>
        <v>-0.11397044716885883</v>
      </c>
      <c r="N11" s="135">
        <f>IFERROR('2. LTFP'!N55/'2. LTFP'!N39,"")</f>
        <v>-0.11675535264610426</v>
      </c>
      <c r="O11" s="164">
        <f>IFERROR(AVERAGE(E11:H11),"")</f>
        <v>-0.13738459783889967</v>
      </c>
      <c r="P11" s="130">
        <f>IFERROR(AVERAGE(E11:N11),"")</f>
        <v>-0.1265976231397595</v>
      </c>
    </row>
    <row r="12" spans="1:19" x14ac:dyDescent="0.2">
      <c r="C12" t="s">
        <v>157</v>
      </c>
      <c r="D12" s="121">
        <f>IFERROR('2. LTFP'!D181/'2. LTFP'!D165,"")</f>
        <v>7.5664184389381051E-2</v>
      </c>
      <c r="E12" s="121">
        <f>IFERROR('2. LTFP'!E181/'2. LTFP'!E165,"")</f>
        <v>-0.13307610346897716</v>
      </c>
      <c r="F12" s="121">
        <f>IFERROR('2. LTFP'!F181/'2. LTFP'!F165,"")</f>
        <v>-0.13773417909942914</v>
      </c>
      <c r="G12" s="121">
        <f>IFERROR('2. LTFP'!G181/'2. LTFP'!G165,"")</f>
        <v>-0.13901775597499069</v>
      </c>
      <c r="H12" s="121">
        <f>IFERROR('2. LTFP'!H181/'2. LTFP'!H165,"")</f>
        <v>-0.13971029913825328</v>
      </c>
      <c r="I12" s="121">
        <f>IFERROR('2. LTFP'!I181/'2. LTFP'!I165,"")</f>
        <v>-0.12689682155426454</v>
      </c>
      <c r="J12" s="121">
        <f>IFERROR('2. LTFP'!J181/'2. LTFP'!J165,"")</f>
        <v>-0.12847874074768681</v>
      </c>
      <c r="K12" s="121">
        <f>IFERROR('2. LTFP'!K181/'2. LTFP'!K165,"")</f>
        <v>-0.12119660111864</v>
      </c>
      <c r="L12" s="121">
        <f>IFERROR('2. LTFP'!L181/'2. LTFP'!L165,"")</f>
        <v>-0.10913982252891205</v>
      </c>
      <c r="M12" s="121">
        <f>IFERROR('2. LTFP'!M181/'2. LTFP'!M165,"")</f>
        <v>-0.11397043347477932</v>
      </c>
      <c r="N12" s="135">
        <f>IFERROR('2. LTFP'!N181/'2. LTFP'!N165,"")</f>
        <v>-0.11675533887914927</v>
      </c>
      <c r="O12" s="138">
        <f>IFERROR(AVERAGE(E12:H12),"")</f>
        <v>-0.13738458442041257</v>
      </c>
      <c r="P12" s="130">
        <f>IFERROR(AVERAGE(E12:N12),"")</f>
        <v>-0.12659760959850824</v>
      </c>
    </row>
    <row r="13" spans="1:19" x14ac:dyDescent="0.2">
      <c r="C13" t="s">
        <v>129</v>
      </c>
      <c r="D13" s="129">
        <f t="shared" ref="D13:P13" si="1">IFERROR(D11-D12,"")</f>
        <v>0</v>
      </c>
      <c r="E13" s="129">
        <f t="shared" si="1"/>
        <v>-1.2903787427465119E-8</v>
      </c>
      <c r="F13" s="129">
        <f t="shared" si="1"/>
        <v>-1.3463667458690765E-8</v>
      </c>
      <c r="G13" s="129">
        <f t="shared" si="1"/>
        <v>-1.3605476162359409E-8</v>
      </c>
      <c r="H13" s="129">
        <f t="shared" si="1"/>
        <v>-1.3701017320677522E-8</v>
      </c>
      <c r="I13" s="129">
        <f t="shared" si="1"/>
        <v>-1.3517660379935847E-8</v>
      </c>
      <c r="J13" s="129">
        <f t="shared" si="1"/>
        <v>-1.3679380544973085E-8</v>
      </c>
      <c r="K13" s="129">
        <f t="shared" si="1"/>
        <v>-1.3625965966657105E-8</v>
      </c>
      <c r="L13" s="129">
        <f t="shared" si="1"/>
        <v>-1.3454522981848349E-8</v>
      </c>
      <c r="M13" s="129">
        <f t="shared" si="1"/>
        <v>-1.3694079509241064E-8</v>
      </c>
      <c r="N13" s="136">
        <f t="shared" si="1"/>
        <v>-1.3766954992666669E-8</v>
      </c>
      <c r="O13" s="140">
        <f t="shared" si="1"/>
        <v>-1.3418487099237097E-8</v>
      </c>
      <c r="P13" s="131">
        <f t="shared" si="1"/>
        <v>-1.3541251259185927E-8</v>
      </c>
    </row>
    <row r="14" spans="1:19" x14ac:dyDescent="0.2"/>
    <row r="15" spans="1:19" ht="16.5" thickBot="1" x14ac:dyDescent="0.25">
      <c r="A15" s="4">
        <f ca="1">MAX(A$2:A14)+0.1</f>
        <v>5.1999999999999993</v>
      </c>
      <c r="B15" s="5" t="s">
        <v>131</v>
      </c>
      <c r="C15" s="5"/>
      <c r="D15" s="5"/>
      <c r="E15" s="5"/>
      <c r="F15" s="5"/>
      <c r="G15" s="5"/>
      <c r="H15" s="5"/>
      <c r="I15" s="5"/>
      <c r="J15" s="5"/>
      <c r="K15" s="5"/>
      <c r="L15" s="5"/>
      <c r="M15" s="5"/>
      <c r="N15" s="5"/>
      <c r="O15" s="5"/>
      <c r="P15" s="5"/>
      <c r="Q15" s="5"/>
      <c r="R15" s="5"/>
      <c r="S15" s="5"/>
    </row>
    <row r="16" spans="1:19" x14ac:dyDescent="0.2"/>
    <row r="17" spans="1:19" ht="30" x14ac:dyDescent="0.2">
      <c r="D17" s="19" t="str">
        <f>'2. LTFP'!D$2</f>
        <v>2024-25</v>
      </c>
      <c r="E17" s="19" t="str">
        <f>'2. LTFP'!E$2</f>
        <v>2025-26</v>
      </c>
      <c r="F17" s="19" t="str">
        <f>'2. LTFP'!F$2</f>
        <v>2026-27</v>
      </c>
      <c r="G17" s="19" t="str">
        <f>'2. LTFP'!G$2</f>
        <v>2027-28</v>
      </c>
      <c r="H17" s="19" t="str">
        <f>'2. LTFP'!H$2</f>
        <v>2028-29</v>
      </c>
      <c r="I17" s="19" t="str">
        <f>'2. LTFP'!I$2</f>
        <v>2029-30</v>
      </c>
      <c r="J17" s="19" t="str">
        <f>'2. LTFP'!J$2</f>
        <v>2030-31</v>
      </c>
      <c r="K17" s="19" t="str">
        <f>'2. LTFP'!K$2</f>
        <v>2031-32</v>
      </c>
      <c r="L17" s="19" t="str">
        <f>'2. LTFP'!L$2</f>
        <v>2032-33</v>
      </c>
      <c r="M17" s="132" t="str">
        <f>'2. LTFP'!M$2</f>
        <v>2033-34</v>
      </c>
      <c r="N17" s="40" t="str">
        <f>'2. LTFP'!N$2</f>
        <v>2034-35</v>
      </c>
      <c r="O17" s="137" t="s">
        <v>299</v>
      </c>
      <c r="P17" s="133" t="s">
        <v>300</v>
      </c>
    </row>
    <row r="18" spans="1:19" ht="15" x14ac:dyDescent="0.2">
      <c r="B18" s="13" t="s">
        <v>158</v>
      </c>
      <c r="C18" t="s">
        <v>128</v>
      </c>
      <c r="D18" s="121">
        <f>IFERROR('2. LTFP'!D73/'2. LTFP'!D93,"")</f>
        <v>0.98947604417374213</v>
      </c>
      <c r="E18" s="121">
        <f>IFERROR('2. LTFP'!E73/'2. LTFP'!E93,"")</f>
        <v>1.3469322852247247</v>
      </c>
      <c r="F18" s="121">
        <f>IFERROR('2. LTFP'!F73/'2. LTFP'!F93,"")</f>
        <v>1.3555959285479044</v>
      </c>
      <c r="G18" s="121">
        <f>IFERROR('2. LTFP'!G73/'2. LTFP'!G93,"")</f>
        <v>1.3637360342562972</v>
      </c>
      <c r="H18" s="121">
        <f>IFERROR('2. LTFP'!H73/'2. LTFP'!H93,"")</f>
        <v>1.3776151206784168</v>
      </c>
      <c r="I18" s="121">
        <f>IFERROR('2. LTFP'!I73/'2. LTFP'!I93,"")</f>
        <v>1.389874178906809</v>
      </c>
      <c r="J18" s="121">
        <f>IFERROR('2. LTFP'!J73/'2. LTFP'!J93,"")</f>
        <v>1.4022381271704776</v>
      </c>
      <c r="K18" s="121">
        <f>IFERROR('2. LTFP'!K73/'2. LTFP'!K93,"")</f>
        <v>1.4334053879498359</v>
      </c>
      <c r="L18" s="121">
        <f>IFERROR('2. LTFP'!L73/'2. LTFP'!L93,"")</f>
        <v>1.4496413967255961</v>
      </c>
      <c r="M18" s="121">
        <f>IFERROR('2. LTFP'!M73/'2. LTFP'!M93,"")</f>
        <v>1.4820057614236402</v>
      </c>
      <c r="N18" s="134">
        <f>IFERROR('2. LTFP'!N73/'2. LTFP'!N93,"")</f>
        <v>1.4975151834959817</v>
      </c>
      <c r="O18" s="138">
        <f>IFERROR(AVERAGE(E18:H18),"")</f>
        <v>1.3609698421768357</v>
      </c>
      <c r="P18" s="130">
        <f>IFERROR(AVERAGE(E18:N18),"")</f>
        <v>1.4098559404379682</v>
      </c>
    </row>
    <row r="19" spans="1:19" x14ac:dyDescent="0.2">
      <c r="C19" t="s">
        <v>157</v>
      </c>
      <c r="D19" s="121">
        <f>IFERROR('2. LTFP'!D199/'2. LTFP'!D219,"")</f>
        <v>0.98947604417374213</v>
      </c>
      <c r="E19" s="121">
        <f>IFERROR('2. LTFP'!E199/'2. LTFP'!E219,"")</f>
        <v>1.3469322852247247</v>
      </c>
      <c r="F19" s="121">
        <f>IFERROR('2. LTFP'!F199/'2. LTFP'!F219,"")</f>
        <v>1.3555959285479044</v>
      </c>
      <c r="G19" s="121">
        <f>IFERROR('2. LTFP'!G199/'2. LTFP'!G219,"")</f>
        <v>1.3637360342562972</v>
      </c>
      <c r="H19" s="121">
        <f>IFERROR('2. LTFP'!H199/'2. LTFP'!H219,"")</f>
        <v>1.3776151206784168</v>
      </c>
      <c r="I19" s="121">
        <f>IFERROR('2. LTFP'!I199/'2. LTFP'!I219,"")</f>
        <v>1.389874178906809</v>
      </c>
      <c r="J19" s="121">
        <f>IFERROR('2. LTFP'!J199/'2. LTFP'!J219,"")</f>
        <v>1.4022381271704776</v>
      </c>
      <c r="K19" s="121">
        <f>IFERROR('2. LTFP'!K199/'2. LTFP'!K219,"")</f>
        <v>1.4334053879498359</v>
      </c>
      <c r="L19" s="121">
        <f>IFERROR('2. LTFP'!L199/'2. LTFP'!L219,"")</f>
        <v>1.4496413967255961</v>
      </c>
      <c r="M19" s="121">
        <f>IFERROR('2. LTFP'!M199/'2. LTFP'!M219,"")</f>
        <v>1.4820057614236402</v>
      </c>
      <c r="N19" s="135">
        <f>IFERROR('2. LTFP'!N199/'2. LTFP'!N219,"")</f>
        <v>1.4975151834959817</v>
      </c>
      <c r="O19" s="138">
        <f>IFERROR(AVERAGE(E19:H19),"")</f>
        <v>1.3609698421768357</v>
      </c>
      <c r="P19" s="130">
        <f>IFERROR(AVERAGE(E19:N19),"")</f>
        <v>1.4098559404379682</v>
      </c>
    </row>
    <row r="20" spans="1:19" x14ac:dyDescent="0.2">
      <c r="C20" t="s">
        <v>129</v>
      </c>
      <c r="D20" s="121">
        <f t="shared" ref="D20:P20" si="2">IFERROR(D18-D19,"")</f>
        <v>0</v>
      </c>
      <c r="E20" s="121">
        <f t="shared" si="2"/>
        <v>0</v>
      </c>
      <c r="F20" s="121">
        <f t="shared" si="2"/>
        <v>0</v>
      </c>
      <c r="G20" s="121">
        <f t="shared" si="2"/>
        <v>0</v>
      </c>
      <c r="H20" s="121">
        <f t="shared" si="2"/>
        <v>0</v>
      </c>
      <c r="I20" s="121">
        <f t="shared" si="2"/>
        <v>0</v>
      </c>
      <c r="J20" s="121">
        <f t="shared" si="2"/>
        <v>0</v>
      </c>
      <c r="K20" s="121">
        <f t="shared" si="2"/>
        <v>0</v>
      </c>
      <c r="L20" s="121">
        <f t="shared" si="2"/>
        <v>0</v>
      </c>
      <c r="M20" s="121">
        <f t="shared" si="2"/>
        <v>0</v>
      </c>
      <c r="N20" s="135">
        <f t="shared" si="2"/>
        <v>0</v>
      </c>
      <c r="O20" s="139">
        <f t="shared" si="2"/>
        <v>0</v>
      </c>
      <c r="P20" s="130">
        <f t="shared" si="2"/>
        <v>0</v>
      </c>
    </row>
    <row r="21" spans="1:19" x14ac:dyDescent="0.2">
      <c r="O21" s="22"/>
      <c r="P21" s="23"/>
    </row>
    <row r="22" spans="1:19" ht="15" x14ac:dyDescent="0.2">
      <c r="B22" s="13" t="s">
        <v>133</v>
      </c>
      <c r="C22" t="s">
        <v>128</v>
      </c>
      <c r="D22" s="121">
        <f>IFERROR('2. LTFP'!D66/'2. LTFP'!D93,"")</f>
        <v>0</v>
      </c>
      <c r="E22" s="121">
        <f>IFERROR('2. LTFP'!E66/'2. LTFP'!E93,"")</f>
        <v>0</v>
      </c>
      <c r="F22" s="121">
        <f>IFERROR('2. LTFP'!F66/'2. LTFP'!F93,"")</f>
        <v>0</v>
      </c>
      <c r="G22" s="121">
        <f>IFERROR('2. LTFP'!G66/'2. LTFP'!G93,"")</f>
        <v>0</v>
      </c>
      <c r="H22" s="121">
        <f>IFERROR('2. LTFP'!H66/'2. LTFP'!H93,"")</f>
        <v>0</v>
      </c>
      <c r="I22" s="121">
        <f>IFERROR('2. LTFP'!I66/'2. LTFP'!I93,"")</f>
        <v>0</v>
      </c>
      <c r="J22" s="121">
        <f>IFERROR('2. LTFP'!J66/'2. LTFP'!J93,"")</f>
        <v>0</v>
      </c>
      <c r="K22" s="121">
        <f>IFERROR('2. LTFP'!K66/'2. LTFP'!K93,"")</f>
        <v>0</v>
      </c>
      <c r="L22" s="121">
        <f>IFERROR('2. LTFP'!L66/'2. LTFP'!L93,"")</f>
        <v>0</v>
      </c>
      <c r="M22" s="121">
        <f>IFERROR('2. LTFP'!M66/'2. LTFP'!M93,"")</f>
        <v>0</v>
      </c>
      <c r="N22" s="135">
        <f>IFERROR('2. LTFP'!N66/'2. LTFP'!N93,"")</f>
        <v>0</v>
      </c>
      <c r="O22" s="164">
        <f>IFERROR(AVERAGE(E22:H22),"")</f>
        <v>0</v>
      </c>
      <c r="P22" s="130">
        <f>IFERROR(AVERAGE(E22:N22),"")</f>
        <v>0</v>
      </c>
    </row>
    <row r="23" spans="1:19" x14ac:dyDescent="0.2">
      <c r="C23" t="s">
        <v>157</v>
      </c>
      <c r="D23" s="121">
        <f>IFERROR('2. LTFP'!D192/'2. LTFP'!D219,"")</f>
        <v>0</v>
      </c>
      <c r="E23" s="121">
        <f>IFERROR('2. LTFP'!E192/'2. LTFP'!E219,"")</f>
        <v>0</v>
      </c>
      <c r="F23" s="121">
        <f>IFERROR('2. LTFP'!F192/'2. LTFP'!F219,"")</f>
        <v>0</v>
      </c>
      <c r="G23" s="121">
        <f>IFERROR('2. LTFP'!G192/'2. LTFP'!G219,"")</f>
        <v>0</v>
      </c>
      <c r="H23" s="121">
        <f>IFERROR('2. LTFP'!H192/'2. LTFP'!H219,"")</f>
        <v>0</v>
      </c>
      <c r="I23" s="121">
        <f>IFERROR('2. LTFP'!I192/'2. LTFP'!I219,"")</f>
        <v>0</v>
      </c>
      <c r="J23" s="121">
        <f>IFERROR('2. LTFP'!J192/'2. LTFP'!J219,"")</f>
        <v>0</v>
      </c>
      <c r="K23" s="121">
        <f>IFERROR('2. LTFP'!K192/'2. LTFP'!K219,"")</f>
        <v>0</v>
      </c>
      <c r="L23" s="121">
        <f>IFERROR('2. LTFP'!L192/'2. LTFP'!L219,"")</f>
        <v>0</v>
      </c>
      <c r="M23" s="121">
        <f>IFERROR('2. LTFP'!M192/'2. LTFP'!M219,"")</f>
        <v>0</v>
      </c>
      <c r="N23" s="135">
        <f>IFERROR('2. LTFP'!N192/'2. LTFP'!N219,"")</f>
        <v>0</v>
      </c>
      <c r="O23" s="138">
        <f>IFERROR(AVERAGE(E23:H23),"")</f>
        <v>0</v>
      </c>
      <c r="P23" s="130">
        <f>IFERROR(AVERAGE(E23:N23),"")</f>
        <v>0</v>
      </c>
    </row>
    <row r="24" spans="1:19" x14ac:dyDescent="0.2">
      <c r="C24" t="s">
        <v>129</v>
      </c>
      <c r="D24" s="129">
        <f t="shared" ref="D24:P24" si="3">IFERROR(D22-D23,"")</f>
        <v>0</v>
      </c>
      <c r="E24" s="129">
        <f t="shared" si="3"/>
        <v>0</v>
      </c>
      <c r="F24" s="129">
        <f t="shared" si="3"/>
        <v>0</v>
      </c>
      <c r="G24" s="129">
        <f t="shared" si="3"/>
        <v>0</v>
      </c>
      <c r="H24" s="129">
        <f t="shared" si="3"/>
        <v>0</v>
      </c>
      <c r="I24" s="129">
        <f t="shared" si="3"/>
        <v>0</v>
      </c>
      <c r="J24" s="129">
        <f t="shared" si="3"/>
        <v>0</v>
      </c>
      <c r="K24" s="129">
        <f t="shared" si="3"/>
        <v>0</v>
      </c>
      <c r="L24" s="129">
        <f t="shared" si="3"/>
        <v>0</v>
      </c>
      <c r="M24" s="129">
        <f t="shared" si="3"/>
        <v>0</v>
      </c>
      <c r="N24" s="136">
        <f t="shared" si="3"/>
        <v>0</v>
      </c>
      <c r="O24" s="140">
        <f t="shared" si="3"/>
        <v>0</v>
      </c>
      <c r="P24" s="131">
        <f t="shared" si="3"/>
        <v>0</v>
      </c>
    </row>
    <row r="25" spans="1:19" x14ac:dyDescent="0.2"/>
    <row r="26" spans="1:19" ht="16.5" thickBot="1" x14ac:dyDescent="0.25">
      <c r="A26" s="4">
        <f ca="1">MAX(A$2:A25)+0.1</f>
        <v>5.2999999999999989</v>
      </c>
      <c r="B26" s="5" t="s">
        <v>134</v>
      </c>
      <c r="C26" s="5"/>
      <c r="D26" s="5"/>
      <c r="E26" s="5"/>
      <c r="F26" s="5"/>
      <c r="G26" s="5"/>
      <c r="H26" s="5"/>
      <c r="I26" s="5"/>
      <c r="J26" s="5"/>
      <c r="K26" s="5"/>
      <c r="L26" s="5"/>
      <c r="M26" s="5"/>
      <c r="N26" s="5"/>
      <c r="O26" s="5"/>
      <c r="P26" s="5"/>
      <c r="Q26" s="5"/>
      <c r="R26" s="5"/>
      <c r="S26" s="5"/>
    </row>
    <row r="27" spans="1:19" x14ac:dyDescent="0.2"/>
    <row r="28" spans="1:19" ht="30" x14ac:dyDescent="0.2">
      <c r="D28" s="19" t="str">
        <f>'2. LTFP'!D$2</f>
        <v>2024-25</v>
      </c>
      <c r="E28" s="19" t="str">
        <f>'2. LTFP'!E$2</f>
        <v>2025-26</v>
      </c>
      <c r="F28" s="19" t="str">
        <f>'2. LTFP'!F$2</f>
        <v>2026-27</v>
      </c>
      <c r="G28" s="19" t="str">
        <f>'2. LTFP'!G$2</f>
        <v>2027-28</v>
      </c>
      <c r="H28" s="19" t="str">
        <f>'2. LTFP'!H$2</f>
        <v>2028-29</v>
      </c>
      <c r="I28" s="19" t="str">
        <f>'2. LTFP'!I$2</f>
        <v>2029-30</v>
      </c>
      <c r="J28" s="19" t="str">
        <f>'2. LTFP'!J$2</f>
        <v>2030-31</v>
      </c>
      <c r="K28" s="19" t="str">
        <f>'2. LTFP'!K$2</f>
        <v>2031-32</v>
      </c>
      <c r="L28" s="19" t="str">
        <f>'2. LTFP'!L$2</f>
        <v>2032-33</v>
      </c>
      <c r="M28" s="132" t="str">
        <f>'2. LTFP'!M$2</f>
        <v>2033-34</v>
      </c>
      <c r="N28" s="40" t="str">
        <f>'2. LTFP'!N$2</f>
        <v>2034-35</v>
      </c>
      <c r="O28" s="137" t="s">
        <v>299</v>
      </c>
      <c r="P28" s="133" t="s">
        <v>300</v>
      </c>
    </row>
    <row r="29" spans="1:19" ht="15" x14ac:dyDescent="0.2">
      <c r="B29" s="13" t="s">
        <v>160</v>
      </c>
      <c r="C29" t="s">
        <v>128</v>
      </c>
      <c r="D29" s="121">
        <f>IFERROR(('2. LTFP'!D116+'2. LTFP'!D118)/'2. LTFP'!D45,"")</f>
        <v>0.91429390074986183</v>
      </c>
      <c r="E29" s="121">
        <f>IFERROR(('2. LTFP'!E116+'2. LTFP'!E118)/'2. LTFP'!E45,"")</f>
        <v>0.65086947489254254</v>
      </c>
      <c r="F29" s="121">
        <f>IFERROR(('2. LTFP'!F116+'2. LTFP'!F118)/'2. LTFP'!F45,"")</f>
        <v>0.58209372813126059</v>
      </c>
      <c r="G29" s="121">
        <f>IFERROR(('2. LTFP'!G116+'2. LTFP'!G118)/'2. LTFP'!G45,"")</f>
        <v>0.63597938246068664</v>
      </c>
      <c r="H29" s="121">
        <f>IFERROR(('2. LTFP'!H116+'2. LTFP'!H118)/'2. LTFP'!H45,"")</f>
        <v>0.62327479494928451</v>
      </c>
      <c r="I29" s="121">
        <f>IFERROR(('2. LTFP'!I116+'2. LTFP'!I118)/'2. LTFP'!I45,"")</f>
        <v>0.59860887771919891</v>
      </c>
      <c r="J29" s="121">
        <f>IFERROR(('2. LTFP'!J116+'2. LTFP'!J118)/'2. LTFP'!J45,"")</f>
        <v>0.6159637007835469</v>
      </c>
      <c r="K29" s="121">
        <f>IFERROR(('2. LTFP'!K116+'2. LTFP'!K118)/'2. LTFP'!K45,"")</f>
        <v>0.62098138721989216</v>
      </c>
      <c r="L29" s="121">
        <f>IFERROR(('2. LTFP'!L116+'2. LTFP'!L118)/'2. LTFP'!L45,"")</f>
        <v>0.62001723038298395</v>
      </c>
      <c r="M29" s="121">
        <f>IFERROR(('2. LTFP'!M116+'2. LTFP'!M118)/'2. LTFP'!M45,"")</f>
        <v>0.65151302038865244</v>
      </c>
      <c r="N29" s="134">
        <f>IFERROR(('2. LTFP'!N116+'2. LTFP'!N118)/'2. LTFP'!N45,"")</f>
        <v>0.6552714004158936</v>
      </c>
      <c r="O29" s="138">
        <f t="shared" ref="O29:O30" si="4">IFERROR(AVERAGE(E29:H29),"")</f>
        <v>0.6230543451084436</v>
      </c>
      <c r="P29" s="130">
        <f>IFERROR(AVERAGE(E29:N29),"")</f>
        <v>0.62545729973439412</v>
      </c>
    </row>
    <row r="30" spans="1:19" x14ac:dyDescent="0.2">
      <c r="C30" t="s">
        <v>157</v>
      </c>
      <c r="D30" s="121">
        <f>IFERROR(('2. LTFP'!D242+'2. LTFP'!D244)/'2. LTFP'!D171,"")</f>
        <v>0.91429390074986183</v>
      </c>
      <c r="E30" s="121">
        <f>IFERROR(('2. LTFP'!E242+'2. LTFP'!E244)/'2. LTFP'!E171,"")</f>
        <v>0.65086947489254254</v>
      </c>
      <c r="F30" s="121">
        <f>IFERROR(('2. LTFP'!F242+'2. LTFP'!F244)/'2. LTFP'!F171,"")</f>
        <v>0.58209372813126059</v>
      </c>
      <c r="G30" s="121">
        <f>IFERROR(('2. LTFP'!G242+'2. LTFP'!G244)/'2. LTFP'!G171,"")</f>
        <v>0.63597938246068664</v>
      </c>
      <c r="H30" s="121">
        <f>IFERROR(('2. LTFP'!H242+'2. LTFP'!H244)/'2. LTFP'!H171,"")</f>
        <v>0.62327479494928451</v>
      </c>
      <c r="I30" s="121">
        <f>IFERROR(('2. LTFP'!I242+'2. LTFP'!I244)/'2. LTFP'!I171,"")</f>
        <v>0.59860887771919891</v>
      </c>
      <c r="J30" s="121">
        <f>IFERROR(('2. LTFP'!J242+'2. LTFP'!J244)/'2. LTFP'!J171,"")</f>
        <v>0.6159637007835469</v>
      </c>
      <c r="K30" s="121">
        <f>IFERROR(('2. LTFP'!K242+'2. LTFP'!K244)/'2. LTFP'!K171,"")</f>
        <v>0.62098138721989216</v>
      </c>
      <c r="L30" s="121">
        <f>IFERROR(('2. LTFP'!L242+'2. LTFP'!L244)/'2. LTFP'!L171,"")</f>
        <v>0.62001723038298395</v>
      </c>
      <c r="M30" s="121">
        <f>IFERROR(('2. LTFP'!M242+'2. LTFP'!M244)/'2. LTFP'!M171,"")</f>
        <v>0.65151302038865244</v>
      </c>
      <c r="N30" s="135">
        <f>IFERROR(('2. LTFP'!N242+'2. LTFP'!N244)/'2. LTFP'!N171,"")</f>
        <v>0.6552714004158936</v>
      </c>
      <c r="O30" s="138">
        <f t="shared" si="4"/>
        <v>0.6230543451084436</v>
      </c>
      <c r="P30" s="130">
        <f>IFERROR(AVERAGE(E30:N30),"")</f>
        <v>0.62545729973439412</v>
      </c>
    </row>
    <row r="31" spans="1:19" x14ac:dyDescent="0.2">
      <c r="C31" t="s">
        <v>129</v>
      </c>
      <c r="D31" s="121">
        <f t="shared" ref="D31:P31" si="5">IFERROR(D29-D30,"")</f>
        <v>0</v>
      </c>
      <c r="E31" s="121">
        <f t="shared" si="5"/>
        <v>0</v>
      </c>
      <c r="F31" s="121">
        <f t="shared" si="5"/>
        <v>0</v>
      </c>
      <c r="G31" s="121">
        <f t="shared" si="5"/>
        <v>0</v>
      </c>
      <c r="H31" s="121">
        <f t="shared" si="5"/>
        <v>0</v>
      </c>
      <c r="I31" s="121">
        <f t="shared" si="5"/>
        <v>0</v>
      </c>
      <c r="J31" s="121">
        <f t="shared" si="5"/>
        <v>0</v>
      </c>
      <c r="K31" s="121">
        <f t="shared" si="5"/>
        <v>0</v>
      </c>
      <c r="L31" s="121">
        <f t="shared" si="5"/>
        <v>0</v>
      </c>
      <c r="M31" s="121">
        <f t="shared" si="5"/>
        <v>0</v>
      </c>
      <c r="N31" s="135">
        <f t="shared" si="5"/>
        <v>0</v>
      </c>
      <c r="O31" s="139">
        <f t="shared" si="5"/>
        <v>0</v>
      </c>
      <c r="P31" s="130">
        <f t="shared" si="5"/>
        <v>0</v>
      </c>
    </row>
    <row r="32" spans="1:19" x14ac:dyDescent="0.2">
      <c r="O32" s="22"/>
      <c r="P32" s="23"/>
    </row>
    <row r="33" spans="2:16" ht="15" x14ac:dyDescent="0.2">
      <c r="B33" s="13" t="s">
        <v>420</v>
      </c>
      <c r="C33" t="s">
        <v>128</v>
      </c>
      <c r="D33" s="121">
        <f>IFERROR(('2. LTFP'!D98+'2. LTFP'!D91)/('2. LTFP'!D18-'2. LTFP'!D13),"")</f>
        <v>9.7991720112778374E-2</v>
      </c>
      <c r="E33" s="121">
        <f>IFERROR(('2. LTFP'!E98+'2. LTFP'!E91)/('2. LTFP'!E18-'2. LTFP'!E13),"")</f>
        <v>0.11925978569570427</v>
      </c>
      <c r="F33" s="121">
        <f>IFERROR(('2. LTFP'!F98+'2. LTFP'!F91)/('2. LTFP'!F18-'2. LTFP'!F13),"")</f>
        <v>0.10430793263321249</v>
      </c>
      <c r="G33" s="121">
        <f>IFERROR(('2. LTFP'!G98+'2. LTFP'!G91)/('2. LTFP'!G18-'2. LTFP'!G13),"")</f>
        <v>8.9334530523576469E-2</v>
      </c>
      <c r="H33" s="121">
        <f>IFERROR(('2. LTFP'!H98+'2. LTFP'!H91)/('2. LTFP'!H18-'2. LTFP'!H13),"")</f>
        <v>7.4325954345189432E-2</v>
      </c>
      <c r="I33" s="121">
        <f>IFERROR(('2. LTFP'!I98+'2. LTFP'!I91)/('2. LTFP'!I18-'2. LTFP'!I13),"")</f>
        <v>5.9268424559402587E-2</v>
      </c>
      <c r="J33" s="121">
        <f>IFERROR(('2. LTFP'!J98+'2. LTFP'!J91)/('2. LTFP'!J18-'2. LTFP'!J13),"")</f>
        <v>4.4147896348360707E-2</v>
      </c>
      <c r="K33" s="121">
        <f>IFERROR(('2. LTFP'!K98+'2. LTFP'!K91)/('2. LTFP'!K18-'2. LTFP'!K13),"")</f>
        <v>2.8950071128950601E-2</v>
      </c>
      <c r="L33" s="121">
        <f>IFERROR(('2. LTFP'!L98+'2. LTFP'!L91)/('2. LTFP'!L18-'2. LTFP'!L13),"")</f>
        <v>1.8746900409543129E-2</v>
      </c>
      <c r="M33" s="121">
        <f>IFERROR(('2. LTFP'!M98+'2. LTFP'!M91)/('2. LTFP'!M18-'2. LTFP'!M13),"")</f>
        <v>9.3008706029307445E-3</v>
      </c>
      <c r="N33" s="135">
        <f>IFERROR(('2. LTFP'!N98+'2. LTFP'!N91)/('2. LTFP'!N18-'2. LTFP'!N13),"")</f>
        <v>0</v>
      </c>
      <c r="O33" s="164">
        <f t="shared" ref="O33:O34" si="6">IFERROR(AVERAGE(E33:H33),"")</f>
        <v>9.6807050799420674E-2</v>
      </c>
      <c r="P33" s="130">
        <f>IFERROR(AVERAGE(E33:N33),"")</f>
        <v>5.4764236624687032E-2</v>
      </c>
    </row>
    <row r="34" spans="2:16" x14ac:dyDescent="0.2">
      <c r="C34" t="s">
        <v>157</v>
      </c>
      <c r="D34" s="121">
        <f>IFERROR(('2. LTFP'!D217+'2. LTFP'!D224)/('2. LTFP'!D144-'2. LTFP'!D139),"")</f>
        <v>9.7991720112778374E-2</v>
      </c>
      <c r="E34" s="121">
        <f>IFERROR(('2. LTFP'!E217+'2. LTFP'!E224)/('2. LTFP'!E144-'2. LTFP'!E139),"")</f>
        <v>0.11925978305379148</v>
      </c>
      <c r="F34" s="121">
        <f>IFERROR(('2. LTFP'!F217+'2. LTFP'!F224)/('2. LTFP'!F144-'2. LTFP'!F139),"")</f>
        <v>0.10430793032252195</v>
      </c>
      <c r="G34" s="121">
        <f>IFERROR(('2. LTFP'!G217+'2. LTFP'!G224)/('2. LTFP'!G144-'2. LTFP'!G139),"")</f>
        <v>8.9334528544585498E-2</v>
      </c>
      <c r="H34" s="121">
        <f>IFERROR(('2. LTFP'!H217+'2. LTFP'!H224)/('2. LTFP'!H144-'2. LTFP'!H139),"")</f>
        <v>7.4325952698677256E-2</v>
      </c>
      <c r="I34" s="121">
        <f>IFERROR(('2. LTFP'!I217+'2. LTFP'!I224)/('2. LTFP'!I144-'2. LTFP'!I139),"")</f>
        <v>5.926842324645365E-2</v>
      </c>
      <c r="J34" s="121">
        <f>IFERROR(('2. LTFP'!J217+'2. LTFP'!J224)/('2. LTFP'!J144-'2. LTFP'!J139),"")</f>
        <v>4.4147895370370595E-2</v>
      </c>
      <c r="K34" s="121">
        <f>IFERROR(('2. LTFP'!K217+'2. LTFP'!K224)/('2. LTFP'!K144-'2. LTFP'!K139),"")</f>
        <v>2.8950070487631631E-2</v>
      </c>
      <c r="L34" s="121">
        <f>IFERROR(('2. LTFP'!L217+'2. LTFP'!L224)/('2. LTFP'!L144-'2. LTFP'!L139),"")</f>
        <v>1.8746899994250783E-2</v>
      </c>
      <c r="M34" s="121">
        <f>IFERROR(('2. LTFP'!M217+'2. LTFP'!M224)/('2. LTFP'!M144-'2. LTFP'!M139),"")</f>
        <v>9.3008703968924002E-3</v>
      </c>
      <c r="N34" s="135">
        <f>IFERROR(('2. LTFP'!N217+'2. LTFP'!N224)/('2. LTFP'!N144-'2. LTFP'!N139),"")</f>
        <v>0</v>
      </c>
      <c r="O34" s="138">
        <f t="shared" si="6"/>
        <v>9.6807048654894048E-2</v>
      </c>
      <c r="P34" s="130">
        <f>IFERROR(AVERAGE(E34:N34),"")</f>
        <v>5.4764235411517537E-2</v>
      </c>
    </row>
    <row r="35" spans="2:16" x14ac:dyDescent="0.2">
      <c r="C35" t="s">
        <v>129</v>
      </c>
      <c r="D35" s="121">
        <f t="shared" ref="D35:P35" si="7">IFERROR(D33-D34,"")</f>
        <v>0</v>
      </c>
      <c r="E35" s="121">
        <f t="shared" si="7"/>
        <v>2.6419127857613134E-9</v>
      </c>
      <c r="F35" s="121">
        <f t="shared" si="7"/>
        <v>2.3106905416847567E-9</v>
      </c>
      <c r="G35" s="121">
        <f t="shared" si="7"/>
        <v>1.9789909710965503E-9</v>
      </c>
      <c r="H35" s="121">
        <f t="shared" si="7"/>
        <v>1.6465121766007229E-9</v>
      </c>
      <c r="I35" s="121">
        <f t="shared" si="7"/>
        <v>1.3129489370711234E-9</v>
      </c>
      <c r="J35" s="121">
        <f t="shared" si="7"/>
        <v>9.7799011250510048E-10</v>
      </c>
      <c r="K35" s="121">
        <f t="shared" si="7"/>
        <v>6.4131897015151651E-10</v>
      </c>
      <c r="L35" s="121">
        <f t="shared" si="7"/>
        <v>4.1529234565129691E-10</v>
      </c>
      <c r="M35" s="121">
        <f t="shared" si="7"/>
        <v>2.0603834437193935E-10</v>
      </c>
      <c r="N35" s="135">
        <f t="shared" si="7"/>
        <v>0</v>
      </c>
      <c r="O35" s="139">
        <f t="shared" si="7"/>
        <v>2.1445266257247297E-9</v>
      </c>
      <c r="P35" s="130">
        <f t="shared" si="7"/>
        <v>1.2131694954176098E-9</v>
      </c>
    </row>
    <row r="36" spans="2:16" x14ac:dyDescent="0.2">
      <c r="O36" s="22"/>
      <c r="P36" s="23"/>
    </row>
    <row r="37" spans="2:16" ht="15" x14ac:dyDescent="0.2">
      <c r="B37" s="13" t="s">
        <v>161</v>
      </c>
      <c r="C37" t="s">
        <v>128</v>
      </c>
      <c r="D37" s="121">
        <f>IFERROR('2. LTFP'!D100/('2. LTFP'!D39-'2. LTFP'!D25-'2. LTFP'!D28-'2. LTFP'!D31-'2. LTFP'!D34),"")</f>
        <v>0.25080228915316799</v>
      </c>
      <c r="E37" s="121">
        <f>IFERROR('2. LTFP'!E100/('2. LTFP'!E39-'2. LTFP'!E25-'2. LTFP'!E28-'2. LTFP'!E31-'2. LTFP'!E34),"")</f>
        <v>0.27680625041965856</v>
      </c>
      <c r="F37" s="121">
        <f>IFERROR('2. LTFP'!F100/('2. LTFP'!F39-'2. LTFP'!F25-'2. LTFP'!F28-'2. LTFP'!F31-'2. LTFP'!F34),"")</f>
        <v>0.26517966127528003</v>
      </c>
      <c r="G37" s="121">
        <f>IFERROR('2. LTFP'!G100/('2. LTFP'!G39-'2. LTFP'!G25-'2. LTFP'!G28-'2. LTFP'!G31-'2. LTFP'!G34),"")</f>
        <v>0.25431255243995371</v>
      </c>
      <c r="H37" s="121">
        <f>IFERROR('2. LTFP'!H100/('2. LTFP'!H39-'2. LTFP'!H25-'2. LTFP'!H28-'2. LTFP'!H31-'2. LTFP'!H34),"")</f>
        <v>0.24288432721420122</v>
      </c>
      <c r="I37" s="121">
        <f>IFERROR('2. LTFP'!I100/('2. LTFP'!I39-'2. LTFP'!I25-'2. LTFP'!I28-'2. LTFP'!I31-'2. LTFP'!I34),"")</f>
        <v>0.23153479538936481</v>
      </c>
      <c r="J37" s="121">
        <f>IFERROR('2. LTFP'!J100/('2. LTFP'!J39-'2. LTFP'!J25-'2. LTFP'!J28-'2. LTFP'!J31-'2. LTFP'!J34),"")</f>
        <v>0.22060714485491134</v>
      </c>
      <c r="K37" s="121">
        <f>IFERROR('2. LTFP'!K100/('2. LTFP'!K39-'2. LTFP'!K25-'2. LTFP'!K28-'2. LTFP'!K31-'2. LTFP'!K34),"")</f>
        <v>0.21313383058209379</v>
      </c>
      <c r="L37" s="121">
        <f>IFERROR('2. LTFP'!L100/('2. LTFP'!L39-'2. LTFP'!L25-'2. LTFP'!L28-'2. LTFP'!L31-'2. LTFP'!L34),"")</f>
        <v>0.20622381731881276</v>
      </c>
      <c r="M37" s="121">
        <f>IFERROR('2. LTFP'!M100/('2. LTFP'!M39-'2. LTFP'!M25-'2. LTFP'!M28-'2. LTFP'!M31-'2. LTFP'!M34),"")</f>
        <v>0.2031385114931849</v>
      </c>
      <c r="N37" s="135">
        <f>IFERROR('2. LTFP'!N100/('2. LTFP'!N39-'2. LTFP'!N25-'2. LTFP'!N28-'2. LTFP'!N31-'2. LTFP'!N34),"")</f>
        <v>0.19918628775673125</v>
      </c>
      <c r="O37" s="164">
        <f t="shared" ref="O37:O38" si="8">IFERROR(AVERAGE(E37:H37),"")</f>
        <v>0.25979569783727335</v>
      </c>
      <c r="P37" s="130">
        <f>IFERROR(AVERAGE(E37:N37),"")</f>
        <v>0.23130071787441922</v>
      </c>
    </row>
    <row r="38" spans="2:16" x14ac:dyDescent="0.2">
      <c r="C38" t="s">
        <v>157</v>
      </c>
      <c r="D38" s="121">
        <f>IFERROR('2. LTFP'!D226/('2. LTFP'!D165-'2. LTFP'!D151-'2. LTFP'!D154-'2. LTFP'!D157-'2. LTFP'!D160),"")</f>
        <v>0.25080228915316799</v>
      </c>
      <c r="E38" s="121">
        <f>IFERROR('2. LTFP'!E226/('2. LTFP'!E165-'2. LTFP'!E151-'2. LTFP'!E154-'2. LTFP'!E157-'2. LTFP'!E160),"")</f>
        <v>0.27680624581839658</v>
      </c>
      <c r="F38" s="121">
        <f>IFERROR('2. LTFP'!F226/('2. LTFP'!F165-'2. LTFP'!F151-'2. LTFP'!F154-'2. LTFP'!F157-'2. LTFP'!F160),"")</f>
        <v>0.26517965686980416</v>
      </c>
      <c r="G38" s="121">
        <f>IFERROR('2. LTFP'!G226/('2. LTFP'!G165-'2. LTFP'!G151-'2. LTFP'!G154-'2. LTFP'!G157-'2. LTFP'!G160),"")</f>
        <v>0.25431254820467725</v>
      </c>
      <c r="H38" s="121">
        <f>IFERROR('2. LTFP'!H226/('2. LTFP'!H165-'2. LTFP'!H151-'2. LTFP'!H154-'2. LTFP'!H157-'2. LTFP'!H160),"")</f>
        <v>0.24288432316728018</v>
      </c>
      <c r="I38" s="121">
        <f>IFERROR('2. LTFP'!I226/('2. LTFP'!I165-'2. LTFP'!I151-'2. LTFP'!I154-'2. LTFP'!I157-'2. LTFP'!I160),"")</f>
        <v>0.23153479152748158</v>
      </c>
      <c r="J38" s="121">
        <f>IFERROR('2. LTFP'!J226/('2. LTFP'!J165-'2. LTFP'!J151-'2. LTFP'!J154-'2. LTFP'!J157-'2. LTFP'!J160),"")</f>
        <v>0.22060714116306934</v>
      </c>
      <c r="K38" s="121">
        <f>IFERROR('2. LTFP'!K226/('2. LTFP'!K165-'2. LTFP'!K151-'2. LTFP'!K154-'2. LTFP'!K157-'2. LTFP'!K160),"")</f>
        <v>0.21313382700946201</v>
      </c>
      <c r="L38" s="121">
        <f>IFERROR('2. LTFP'!L226/('2. LTFP'!L165-'2. LTFP'!L151-'2. LTFP'!L154-'2. LTFP'!L157-'2. LTFP'!L160),"")</f>
        <v>0.20622381385644378</v>
      </c>
      <c r="M38" s="121">
        <f>IFERROR('2. LTFP'!M226/('2. LTFP'!M165-'2. LTFP'!M151-'2. LTFP'!M154-'2. LTFP'!M157-'2. LTFP'!M160),"")</f>
        <v>0.20313850807743195</v>
      </c>
      <c r="N38" s="135">
        <f>IFERROR('2. LTFP'!N226/('2. LTFP'!N165-'2. LTFP'!N151-'2. LTFP'!N154-'2. LTFP'!N157-'2. LTFP'!N160),"")</f>
        <v>0.1991862844069516</v>
      </c>
      <c r="O38" s="138">
        <f t="shared" si="8"/>
        <v>0.25979569351503956</v>
      </c>
      <c r="P38" s="130">
        <f>IFERROR(AVERAGE(E38:N38),"")</f>
        <v>0.23130071401009983</v>
      </c>
    </row>
    <row r="39" spans="2:16" x14ac:dyDescent="0.2">
      <c r="C39" t="s">
        <v>129</v>
      </c>
      <c r="D39" s="129">
        <f t="shared" ref="D39:P39" si="9">IFERROR(D37-D38,"")</f>
        <v>0</v>
      </c>
      <c r="E39" s="129">
        <f t="shared" si="9"/>
        <v>4.6012619825397394E-9</v>
      </c>
      <c r="F39" s="129">
        <f t="shared" si="9"/>
        <v>4.4054758729927812E-9</v>
      </c>
      <c r="G39" s="129">
        <f t="shared" si="9"/>
        <v>4.2352764628716955E-9</v>
      </c>
      <c r="H39" s="129">
        <f t="shared" si="9"/>
        <v>4.0469210482729778E-9</v>
      </c>
      <c r="I39" s="129">
        <f t="shared" si="9"/>
        <v>3.8618832298720207E-9</v>
      </c>
      <c r="J39" s="129">
        <f t="shared" si="9"/>
        <v>3.6918419987763684E-9</v>
      </c>
      <c r="K39" s="129">
        <f t="shared" si="9"/>
        <v>3.5726317737516666E-9</v>
      </c>
      <c r="L39" s="129">
        <f t="shared" si="9"/>
        <v>3.462368974860297E-9</v>
      </c>
      <c r="M39" s="129">
        <f t="shared" si="9"/>
        <v>3.4157529582579116E-9</v>
      </c>
      <c r="N39" s="136">
        <f t="shared" si="9"/>
        <v>3.3497796481096742E-9</v>
      </c>
      <c r="O39" s="140">
        <f t="shared" si="9"/>
        <v>4.3222337930970411E-9</v>
      </c>
      <c r="P39" s="131">
        <f t="shared" si="9"/>
        <v>3.8643193922549557E-9</v>
      </c>
    </row>
    <row r="40" spans="2:16" x14ac:dyDescent="0.2"/>
    <row r="41" spans="2:16" x14ac:dyDescent="0.2"/>
    <row r="42" spans="2:16" x14ac:dyDescent="0.2"/>
    <row r="43" spans="2:16" x14ac:dyDescent="0.2"/>
    <row r="44" spans="2:16" x14ac:dyDescent="0.2"/>
    <row r="45" spans="2:16" x14ac:dyDescent="0.2"/>
    <row r="46" spans="2:16" x14ac:dyDescent="0.2"/>
    <row r="47" spans="2:16" x14ac:dyDescent="0.2"/>
    <row r="48" spans="2:16" x14ac:dyDescent="0.2"/>
    <row r="49" spans="1:16" ht="15" x14ac:dyDescent="0.25">
      <c r="A49" s="119" t="s">
        <v>13</v>
      </c>
      <c r="B49" s="118"/>
      <c r="C49" s="117"/>
      <c r="D49" s="117"/>
      <c r="E49" s="117"/>
      <c r="F49" s="117"/>
      <c r="G49" s="117"/>
      <c r="H49" s="117"/>
      <c r="I49" s="117"/>
      <c r="J49" s="117"/>
      <c r="K49" s="117"/>
      <c r="L49" s="117"/>
      <c r="M49" s="117"/>
      <c r="N49" s="117"/>
      <c r="O49" s="117"/>
      <c r="P49" s="117"/>
    </row>
    <row r="50" spans="1:16" x14ac:dyDescent="0.2"/>
  </sheetData>
  <sheetProtection algorithmName="SHA-512" hashValue="CG8bBDPbHZnP6q1Pkv1FydmJ9C14Uh7LVQyGnESUlm8A8N5xnM4BE6e4nc+pRaBITao2oKGfHLAuwWZUuHg9aA==" saltValue="6GJvEyB1eya6JhP+AJRl2Q==" spinCount="100000" sheet="1" objects="1" scenarios="1"/>
  <mergeCells count="1">
    <mergeCell ref="B7:B8"/>
  </mergeCells>
  <pageMargins left="0.7" right="0.7" top="0.75" bottom="0.75" header="0.3" footer="0.3"/>
  <headerFooter>
    <oddHeader>&amp;C&amp;"Calibri"&amp;12&amp;KFF0000 OFFICIAL&amp;1#_x000D_</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F48DE-0913-4EDC-ADC6-D8C7CCCCE0C5}">
  <sheetPr codeName="Sheet7">
    <tabColor theme="5"/>
  </sheetPr>
  <dimension ref="A1:Y76"/>
  <sheetViews>
    <sheetView showGridLines="0" zoomScale="85" zoomScaleNormal="85" workbookViewId="0">
      <pane ySplit="2" topLeftCell="A26" activePane="bottomLeft" state="frozen"/>
      <selection activeCell="K46" sqref="K46"/>
      <selection pane="bottomLeft" activeCell="E52" sqref="E52"/>
    </sheetView>
  </sheetViews>
  <sheetFormatPr defaultRowHeight="14.25" zeroHeight="1" x14ac:dyDescent="0.2"/>
  <cols>
    <col min="1" max="1" width="9.875" style="12" customWidth="1"/>
    <col min="2" max="2" width="47.125" customWidth="1"/>
    <col min="3" max="3" width="14.75" customWidth="1"/>
    <col min="4" max="16" width="13.375" customWidth="1"/>
    <col min="17" max="17" width="13.375" hidden="1" customWidth="1"/>
    <col min="18" max="25" width="23.625" hidden="1" customWidth="1"/>
    <col min="26" max="16383" width="0" hidden="1" customWidth="1"/>
  </cols>
  <sheetData>
    <row r="1" spans="1:25" s="15" customFormat="1" ht="50.1" customHeight="1" x14ac:dyDescent="0.2">
      <c r="A1" s="3"/>
      <c r="B1" s="3" t="str">
        <f>title</f>
        <v>Higher cap information template</v>
      </c>
      <c r="C1" s="3"/>
      <c r="D1" s="3"/>
      <c r="E1" s="3"/>
      <c r="F1" s="3"/>
      <c r="G1" s="3"/>
      <c r="H1" s="3"/>
      <c r="I1" s="3"/>
      <c r="J1" s="3"/>
      <c r="K1" s="3"/>
      <c r="L1" s="3"/>
      <c r="M1" s="3"/>
      <c r="N1" s="3"/>
      <c r="O1" s="3"/>
      <c r="P1" s="3"/>
      <c r="Q1" s="3"/>
      <c r="R1" s="3"/>
      <c r="S1" s="3"/>
      <c r="T1" s="3"/>
      <c r="U1" s="3"/>
      <c r="V1" s="3"/>
      <c r="W1" s="3"/>
      <c r="X1" s="3"/>
      <c r="Y1" s="3"/>
    </row>
    <row r="2" spans="1:25" s="15" customFormat="1" ht="30" customHeight="1" x14ac:dyDescent="0.2">
      <c r="A2" s="2">
        <f ca="1">_xlfn.SHEET()</f>
        <v>6</v>
      </c>
      <c r="B2" s="1" t="s">
        <v>284</v>
      </c>
      <c r="C2" s="1"/>
      <c r="D2" s="1"/>
      <c r="E2" s="1"/>
      <c r="F2" s="1"/>
      <c r="G2" s="1"/>
      <c r="H2" s="1"/>
      <c r="I2" s="1"/>
      <c r="J2" s="1"/>
      <c r="K2" s="1"/>
      <c r="L2" s="1"/>
      <c r="M2" s="1"/>
      <c r="N2" s="1"/>
      <c r="O2" s="1"/>
      <c r="P2" s="1"/>
      <c r="Q2" s="1"/>
      <c r="R2" s="1"/>
      <c r="S2" s="1"/>
      <c r="T2" s="1"/>
      <c r="U2" s="1"/>
      <c r="V2" s="1"/>
      <c r="W2" s="1"/>
      <c r="X2" s="1"/>
      <c r="Y2" s="1"/>
    </row>
    <row r="3" spans="1:25" x14ac:dyDescent="0.2">
      <c r="A3"/>
    </row>
    <row r="4" spans="1:25" ht="16.5" thickBot="1" x14ac:dyDescent="0.25">
      <c r="A4" s="4">
        <f ca="1">MAX(A$2:A3)+0.1</f>
        <v>6.1</v>
      </c>
      <c r="B4" s="5" t="str">
        <f>"Summary of "&amp;Council&amp;"'s higher cap application"</f>
        <v>Summary of Indigo's higher cap application</v>
      </c>
      <c r="C4" s="5"/>
      <c r="D4" s="5"/>
      <c r="E4" s="5"/>
      <c r="F4" s="5"/>
      <c r="G4" s="5"/>
      <c r="H4" s="5"/>
      <c r="I4" s="5"/>
      <c r="J4" s="5"/>
      <c r="K4" s="5"/>
      <c r="L4" s="5"/>
      <c r="M4" s="5"/>
      <c r="N4" s="5"/>
      <c r="O4" s="5"/>
      <c r="P4" s="5"/>
      <c r="Q4" s="5"/>
      <c r="R4" s="5"/>
      <c r="S4" s="5"/>
      <c r="T4" s="5"/>
      <c r="U4" s="5"/>
      <c r="V4" s="5"/>
      <c r="W4" s="5"/>
      <c r="X4" s="5"/>
      <c r="Y4" s="5"/>
    </row>
    <row r="5" spans="1:25" x14ac:dyDescent="0.2"/>
    <row r="6" spans="1:25" x14ac:dyDescent="0.2">
      <c r="B6" t="s">
        <v>135</v>
      </c>
      <c r="C6" s="202" t="str">
        <f>Council</f>
        <v>Indigo</v>
      </c>
      <c r="D6" s="202"/>
      <c r="E6" s="202"/>
    </row>
    <row r="7" spans="1:25" x14ac:dyDescent="0.2"/>
    <row r="8" spans="1:25" ht="15" x14ac:dyDescent="0.2">
      <c r="D8" s="19" t="str">
        <f>'2. LTFP'!D$2</f>
        <v>2024-25</v>
      </c>
      <c r="E8" s="19" t="str">
        <f>'2. LTFP'!E$2</f>
        <v>2025-26</v>
      </c>
      <c r="F8" s="19" t="str">
        <f>'2. LTFP'!F$2</f>
        <v>2026-27</v>
      </c>
      <c r="G8" s="19" t="str">
        <f>'2. LTFP'!G$2</f>
        <v>2027-28</v>
      </c>
      <c r="H8" s="19" t="str">
        <f>'2. LTFP'!H$2</f>
        <v>2028-29</v>
      </c>
      <c r="I8" s="19" t="str">
        <f>'2. LTFP'!I$2</f>
        <v>2029-30</v>
      </c>
      <c r="J8" s="19" t="str">
        <f>'2. LTFP'!J$2</f>
        <v>2030-31</v>
      </c>
      <c r="K8" s="19" t="str">
        <f>'2. LTFP'!K$2</f>
        <v>2031-32</v>
      </c>
      <c r="L8" s="19" t="str">
        <f>'2. LTFP'!L$2</f>
        <v>2032-33</v>
      </c>
      <c r="M8" s="19" t="str">
        <f>'2. LTFP'!M$2</f>
        <v>2033-34</v>
      </c>
      <c r="N8" s="20" t="str">
        <f>'2. LTFP'!N$2</f>
        <v>2034-35</v>
      </c>
    </row>
    <row r="9" spans="1:25" x14ac:dyDescent="0.2"/>
    <row r="10" spans="1:25" ht="15.75" x14ac:dyDescent="0.2">
      <c r="B10" s="69" t="s">
        <v>289</v>
      </c>
    </row>
    <row r="11" spans="1:25" x14ac:dyDescent="0.2">
      <c r="B11" t="s">
        <v>154</v>
      </c>
      <c r="C11" s="103">
        <f>App_years</f>
        <v>1</v>
      </c>
      <c r="D11" s="106"/>
      <c r="E11" s="106"/>
      <c r="F11" s="106"/>
      <c r="G11" s="106"/>
      <c r="H11" s="106"/>
      <c r="I11" s="106"/>
      <c r="J11" s="106"/>
      <c r="K11" s="106"/>
      <c r="L11" s="106"/>
      <c r="M11" s="106"/>
      <c r="N11" s="106"/>
    </row>
    <row r="12" spans="1:25" x14ac:dyDescent="0.2">
      <c r="B12" t="s">
        <v>285</v>
      </c>
      <c r="C12" s="106"/>
      <c r="D12" s="106"/>
      <c r="E12" s="107">
        <f>'4. Higher cap calculation'!F27</f>
        <v>7.541336851550362E-2</v>
      </c>
      <c r="F12" s="107" t="str">
        <f>'4. Higher cap calculation'!G27</f>
        <v/>
      </c>
      <c r="G12" s="107" t="str">
        <f>'4. Higher cap calculation'!H27</f>
        <v/>
      </c>
      <c r="H12" s="107" t="str">
        <f>'4. Higher cap calculation'!I27</f>
        <v/>
      </c>
      <c r="I12" s="106"/>
      <c r="J12" s="106"/>
      <c r="K12" s="106"/>
      <c r="L12" s="106"/>
      <c r="M12" s="106"/>
      <c r="N12" s="106"/>
    </row>
    <row r="13" spans="1:25" x14ac:dyDescent="0.2">
      <c r="B13" t="s">
        <v>417</v>
      </c>
      <c r="C13" s="107">
        <f>SUM(E12:H12)</f>
        <v>7.541336851550362E-2</v>
      </c>
      <c r="D13" s="106"/>
      <c r="E13" s="106"/>
      <c r="F13" s="106"/>
      <c r="G13" s="106"/>
      <c r="H13" s="106"/>
      <c r="I13" s="106"/>
      <c r="J13" s="106"/>
      <c r="K13" s="106"/>
      <c r="L13" s="106"/>
      <c r="M13" s="106"/>
      <c r="N13" s="106"/>
    </row>
    <row r="14" spans="1:25" x14ac:dyDescent="0.2">
      <c r="C14" s="106"/>
      <c r="D14" s="106"/>
      <c r="E14" s="106"/>
      <c r="F14" s="106"/>
      <c r="G14" s="106"/>
      <c r="H14" s="106"/>
      <c r="I14" s="106"/>
      <c r="J14" s="106"/>
      <c r="K14" s="106"/>
      <c r="L14" s="106"/>
      <c r="M14" s="106"/>
      <c r="N14" s="106"/>
    </row>
    <row r="15" spans="1:25" x14ac:dyDescent="0.2">
      <c r="B15" t="s">
        <v>286</v>
      </c>
      <c r="C15" s="106"/>
      <c r="D15" s="106"/>
      <c r="E15" s="103">
        <f>'4. Higher cap calculation'!F29</f>
        <v>1293558</v>
      </c>
      <c r="F15" s="103" t="str">
        <f>'4. Higher cap calculation'!G29</f>
        <v/>
      </c>
      <c r="G15" s="103" t="str">
        <f>'4. Higher cap calculation'!H29</f>
        <v/>
      </c>
      <c r="H15" s="103" t="str">
        <f>'4. Higher cap calculation'!I29</f>
        <v/>
      </c>
      <c r="I15" s="106"/>
      <c r="J15" s="106"/>
      <c r="K15" s="106"/>
      <c r="L15" s="106"/>
      <c r="M15" s="106"/>
      <c r="N15" s="106"/>
    </row>
    <row r="16" spans="1:25" x14ac:dyDescent="0.2">
      <c r="B16" t="s">
        <v>287</v>
      </c>
      <c r="C16" s="103">
        <f>SUM(E15:H15)</f>
        <v>1293558</v>
      </c>
      <c r="D16" s="106"/>
      <c r="E16" s="106"/>
      <c r="F16" s="106"/>
      <c r="G16" s="106"/>
      <c r="H16" s="106"/>
      <c r="I16" s="106"/>
      <c r="J16" s="106"/>
      <c r="K16" s="106"/>
      <c r="L16" s="106"/>
      <c r="M16" s="106"/>
      <c r="N16" s="106"/>
    </row>
    <row r="17" spans="2:14" x14ac:dyDescent="0.2">
      <c r="C17" s="106"/>
      <c r="D17" s="106"/>
      <c r="E17" s="106"/>
      <c r="F17" s="106"/>
      <c r="G17" s="106"/>
      <c r="H17" s="106"/>
      <c r="I17" s="106"/>
      <c r="J17" s="106"/>
      <c r="K17" s="106"/>
      <c r="L17" s="106"/>
      <c r="M17" s="106"/>
      <c r="N17" s="106"/>
    </row>
    <row r="18" spans="2:14" x14ac:dyDescent="0.2">
      <c r="B18" t="s">
        <v>419</v>
      </c>
      <c r="C18" s="106"/>
      <c r="D18" s="106"/>
      <c r="E18" s="103">
        <f>'2. LTFP'!E262</f>
        <v>801623.8200000003</v>
      </c>
      <c r="F18" s="103">
        <f>'2. LTFP'!F262</f>
        <v>821664.41550000012</v>
      </c>
      <c r="G18" s="103">
        <f>'2. LTFP'!G262</f>
        <v>842206.02588749677</v>
      </c>
      <c r="H18" s="103">
        <f>'2. LTFP'!H262</f>
        <v>863261.17653468624</v>
      </c>
      <c r="I18" s="103">
        <f>'2. LTFP'!I262</f>
        <v>884842.70594805479</v>
      </c>
      <c r="J18" s="103">
        <f>'2. LTFP'!J262</f>
        <v>906963.77359675616</v>
      </c>
      <c r="K18" s="103">
        <f>'2. LTFP'!K262</f>
        <v>929637.86793667451</v>
      </c>
      <c r="L18" s="103">
        <f>'2. LTFP'!L262</f>
        <v>952878.81463509053</v>
      </c>
      <c r="M18" s="103">
        <f>'2. LTFP'!M262</f>
        <v>976700.78500096872</v>
      </c>
      <c r="N18" s="103">
        <f>'2. LTFP'!N262</f>
        <v>1001118.3046259917</v>
      </c>
    </row>
    <row r="19" spans="2:14" x14ac:dyDescent="0.2">
      <c r="B19" t="str">
        <f>"Total for application period ("&amp;App_years&amp;" years)"</f>
        <v>Total for application period (1 years)</v>
      </c>
      <c r="C19" s="103">
        <f>IF(App_years=1,E18,
IF(App_years=2,SUM(E18:F18),
IF(App_years=3,SUM(E18:G18),
SUM(E18:H18))))</f>
        <v>801623.8200000003</v>
      </c>
      <c r="D19" s="108"/>
      <c r="E19" s="106"/>
      <c r="F19" s="106"/>
      <c r="G19" s="106"/>
      <c r="H19" s="106"/>
      <c r="I19" s="106"/>
      <c r="J19" s="106"/>
      <c r="K19" s="106"/>
      <c r="L19" s="106"/>
      <c r="M19" s="106"/>
      <c r="N19" s="106"/>
    </row>
    <row r="20" spans="2:14" x14ac:dyDescent="0.2">
      <c r="B20" t="s">
        <v>155</v>
      </c>
      <c r="C20" s="103">
        <f>SUM(E18:N18)</f>
        <v>8980897.6896657199</v>
      </c>
      <c r="D20" s="106"/>
      <c r="E20" s="106"/>
      <c r="F20" s="106"/>
      <c r="G20" s="106"/>
      <c r="H20" s="106"/>
      <c r="I20" s="106"/>
      <c r="J20" s="106"/>
      <c r="K20" s="106"/>
      <c r="L20" s="106"/>
      <c r="M20" s="106"/>
      <c r="N20" s="106"/>
    </row>
    <row r="21" spans="2:14" x14ac:dyDescent="0.2"/>
    <row r="22" spans="2:14" ht="15.75" x14ac:dyDescent="0.2">
      <c r="B22" s="69" t="s">
        <v>156</v>
      </c>
    </row>
    <row r="23" spans="2:14" ht="15" x14ac:dyDescent="0.2">
      <c r="B23" t="s">
        <v>127</v>
      </c>
      <c r="D23" s="19" t="str">
        <f>'2. LTFP'!D$2</f>
        <v>2024-25</v>
      </c>
      <c r="E23" s="19" t="str">
        <f>'2. LTFP'!E$2</f>
        <v>2025-26</v>
      </c>
      <c r="F23" s="19" t="str">
        <f>'2. LTFP'!F$2</f>
        <v>2026-27</v>
      </c>
      <c r="G23" s="19" t="str">
        <f>'2. LTFP'!G$2</f>
        <v>2027-28</v>
      </c>
      <c r="H23" s="19" t="str">
        <f>'2. LTFP'!H$2</f>
        <v>2028-29</v>
      </c>
      <c r="I23" s="19" t="str">
        <f>'2. LTFP'!I$2</f>
        <v>2029-30</v>
      </c>
      <c r="J23" s="19" t="str">
        <f>'2. LTFP'!J$2</f>
        <v>2030-31</v>
      </c>
      <c r="K23" s="19" t="str">
        <f>'2. LTFP'!K$2</f>
        <v>2031-32</v>
      </c>
      <c r="L23" s="19" t="str">
        <f>'2. LTFP'!L$2</f>
        <v>2032-33</v>
      </c>
      <c r="M23" s="19" t="str">
        <f>'2. LTFP'!M$2</f>
        <v>2033-34</v>
      </c>
      <c r="N23" s="20" t="str">
        <f>'2. LTFP'!N$2</f>
        <v>2034-35</v>
      </c>
    </row>
    <row r="24" spans="2:14" x14ac:dyDescent="0.2">
      <c r="B24" s="111" t="s">
        <v>128</v>
      </c>
      <c r="D24" s="109">
        <f>'5. Financial indicators'!D7</f>
        <v>-0.17274947157237389</v>
      </c>
      <c r="E24" s="109">
        <f>'5. Financial indicators'!E7</f>
        <v>-0.19425577253893855</v>
      </c>
      <c r="F24" s="109">
        <f>'5. Financial indicators'!F7</f>
        <v>-0.18995942665199064</v>
      </c>
      <c r="G24" s="109">
        <f>'5. Financial indicators'!G7</f>
        <v>-0.18310231969472587</v>
      </c>
      <c r="H24" s="109">
        <f>'5. Financial indicators'!H7</f>
        <v>-0.17794709021954064</v>
      </c>
      <c r="I24" s="109">
        <f>'5. Financial indicators'!I7</f>
        <v>-0.16937457305137998</v>
      </c>
      <c r="J24" s="109">
        <f>'5. Financial indicators'!J7</f>
        <v>-0.16288689509445786</v>
      </c>
      <c r="K24" s="109">
        <f>'5. Financial indicators'!K7</f>
        <v>-0.15526910950322545</v>
      </c>
      <c r="L24" s="109">
        <f>'5. Financial indicators'!L7</f>
        <v>-0.14775681888397585</v>
      </c>
      <c r="M24" s="109">
        <f>'5. Financial indicators'!M7</f>
        <v>-0.14022008723628826</v>
      </c>
      <c r="N24" s="109">
        <f>'5. Financial indicators'!N7</f>
        <v>-0.13998526861400828</v>
      </c>
    </row>
    <row r="25" spans="2:14" x14ac:dyDescent="0.2">
      <c r="B25" s="111" t="s">
        <v>157</v>
      </c>
      <c r="D25" s="109">
        <f>'5. Financial indicators'!D8</f>
        <v>-0.17274947157237389</v>
      </c>
      <c r="E25" s="109">
        <f>'5. Financial indicators'!E8</f>
        <v>-0.1942557582040696</v>
      </c>
      <c r="F25" s="109">
        <f>'5. Financial indicators'!F8</f>
        <v>-0.18995941192391308</v>
      </c>
      <c r="G25" s="109">
        <f>'5. Financial indicators'!G8</f>
        <v>-0.18310230501569588</v>
      </c>
      <c r="H25" s="109">
        <f>'5. Financial indicators'!H8</f>
        <v>-0.1779470755837757</v>
      </c>
      <c r="I25" s="109">
        <f>'5. Financial indicators'!I8</f>
        <v>-0.16937455849543165</v>
      </c>
      <c r="J25" s="109">
        <f>'5. Financial indicators'!J8</f>
        <v>-0.16288688056817124</v>
      </c>
      <c r="K25" s="109">
        <f>'5. Financial indicators'!K8</f>
        <v>-0.15526909503650577</v>
      </c>
      <c r="L25" s="109">
        <f>'5. Financial indicators'!L8</f>
        <v>-0.1477568044762492</v>
      </c>
      <c r="M25" s="109">
        <f>'5. Financial indicators'!M8</f>
        <v>-0.14022007288922936</v>
      </c>
      <c r="N25" s="109">
        <f>'5. Financial indicators'!N8</f>
        <v>-0.13998525426835648</v>
      </c>
    </row>
    <row r="26" spans="2:14" x14ac:dyDescent="0.2">
      <c r="B26" t="s">
        <v>158</v>
      </c>
    </row>
    <row r="27" spans="2:14" x14ac:dyDescent="0.2">
      <c r="B27" s="111" t="s">
        <v>128</v>
      </c>
      <c r="D27" s="110">
        <f>'5. Financial indicators'!D18</f>
        <v>0.98947604417374213</v>
      </c>
      <c r="E27" s="110">
        <f>'5. Financial indicators'!E18</f>
        <v>1.3469322852247247</v>
      </c>
      <c r="F27" s="110">
        <f>'5. Financial indicators'!F18</f>
        <v>1.3555959285479044</v>
      </c>
      <c r="G27" s="110">
        <f>'5. Financial indicators'!G18</f>
        <v>1.3637360342562972</v>
      </c>
      <c r="H27" s="110">
        <f>'5. Financial indicators'!H18</f>
        <v>1.3776151206784168</v>
      </c>
      <c r="I27" s="110">
        <f>'5. Financial indicators'!I18</f>
        <v>1.389874178906809</v>
      </c>
      <c r="J27" s="110">
        <f>'5. Financial indicators'!J18</f>
        <v>1.4022381271704776</v>
      </c>
      <c r="K27" s="110">
        <f>'5. Financial indicators'!K18</f>
        <v>1.4334053879498359</v>
      </c>
      <c r="L27" s="110">
        <f>'5. Financial indicators'!L18</f>
        <v>1.4496413967255961</v>
      </c>
      <c r="M27" s="110">
        <f>'5. Financial indicators'!M18</f>
        <v>1.4820057614236402</v>
      </c>
      <c r="N27" s="110">
        <f>'5. Financial indicators'!N18</f>
        <v>1.4975151834959817</v>
      </c>
    </row>
    <row r="28" spans="2:14" x14ac:dyDescent="0.2">
      <c r="B28" s="111" t="s">
        <v>157</v>
      </c>
      <c r="D28" s="110">
        <f>'5. Financial indicators'!D19</f>
        <v>0.98947604417374213</v>
      </c>
      <c r="E28" s="110">
        <f>'5. Financial indicators'!E19</f>
        <v>1.3469322852247247</v>
      </c>
      <c r="F28" s="110">
        <f>'5. Financial indicators'!F19</f>
        <v>1.3555959285479044</v>
      </c>
      <c r="G28" s="110">
        <f>'5. Financial indicators'!G19</f>
        <v>1.3637360342562972</v>
      </c>
      <c r="H28" s="110">
        <f>'5. Financial indicators'!H19</f>
        <v>1.3776151206784168</v>
      </c>
      <c r="I28" s="110">
        <f>'5. Financial indicators'!I19</f>
        <v>1.389874178906809</v>
      </c>
      <c r="J28" s="110">
        <f>'5. Financial indicators'!J19</f>
        <v>1.4022381271704776</v>
      </c>
      <c r="K28" s="110">
        <f>'5. Financial indicators'!K19</f>
        <v>1.4334053879498359</v>
      </c>
      <c r="L28" s="110">
        <f>'5. Financial indicators'!L19</f>
        <v>1.4496413967255961</v>
      </c>
      <c r="M28" s="110">
        <f>'5. Financial indicators'!M19</f>
        <v>1.4820057614236402</v>
      </c>
      <c r="N28" s="110">
        <f>'5. Financial indicators'!N19</f>
        <v>1.4975151834959817</v>
      </c>
    </row>
    <row r="29" spans="2:14" x14ac:dyDescent="0.2">
      <c r="B29" t="s">
        <v>159</v>
      </c>
    </row>
    <row r="30" spans="2:14" x14ac:dyDescent="0.2">
      <c r="B30" s="111" t="s">
        <v>128</v>
      </c>
      <c r="D30" s="110">
        <f>'5. Financial indicators'!D22</f>
        <v>0</v>
      </c>
      <c r="E30" s="110">
        <f>'5. Financial indicators'!E22</f>
        <v>0</v>
      </c>
      <c r="F30" s="110">
        <f>'5. Financial indicators'!F22</f>
        <v>0</v>
      </c>
      <c r="G30" s="110">
        <f>'5. Financial indicators'!G22</f>
        <v>0</v>
      </c>
      <c r="H30" s="110">
        <f>'5. Financial indicators'!H22</f>
        <v>0</v>
      </c>
      <c r="I30" s="110">
        <f>'5. Financial indicators'!I22</f>
        <v>0</v>
      </c>
      <c r="J30" s="110">
        <f>'5. Financial indicators'!J22</f>
        <v>0</v>
      </c>
      <c r="K30" s="110">
        <f>'5. Financial indicators'!K22</f>
        <v>0</v>
      </c>
      <c r="L30" s="110">
        <f>'5. Financial indicators'!L22</f>
        <v>0</v>
      </c>
      <c r="M30" s="110">
        <f>'5. Financial indicators'!M22</f>
        <v>0</v>
      </c>
      <c r="N30" s="110">
        <f>'5. Financial indicators'!N22</f>
        <v>0</v>
      </c>
    </row>
    <row r="31" spans="2:14" x14ac:dyDescent="0.2">
      <c r="B31" s="111" t="s">
        <v>157</v>
      </c>
      <c r="D31" s="110">
        <f>'5. Financial indicators'!D23</f>
        <v>0</v>
      </c>
      <c r="E31" s="110">
        <f>'5. Financial indicators'!E23</f>
        <v>0</v>
      </c>
      <c r="F31" s="110">
        <f>'5. Financial indicators'!F23</f>
        <v>0</v>
      </c>
      <c r="G31" s="110">
        <f>'5. Financial indicators'!G23</f>
        <v>0</v>
      </c>
      <c r="H31" s="110">
        <f>'5. Financial indicators'!H23</f>
        <v>0</v>
      </c>
      <c r="I31" s="110">
        <f>'5. Financial indicators'!I23</f>
        <v>0</v>
      </c>
      <c r="J31" s="110">
        <f>'5. Financial indicators'!J23</f>
        <v>0</v>
      </c>
      <c r="K31" s="110">
        <f>'5. Financial indicators'!K23</f>
        <v>0</v>
      </c>
      <c r="L31" s="110">
        <f>'5. Financial indicators'!L23</f>
        <v>0</v>
      </c>
      <c r="M31" s="110">
        <f>'5. Financial indicators'!M23</f>
        <v>0</v>
      </c>
      <c r="N31" s="110">
        <f>'5. Financial indicators'!N23</f>
        <v>0</v>
      </c>
    </row>
    <row r="32" spans="2:14" x14ac:dyDescent="0.2">
      <c r="B32" t="s">
        <v>160</v>
      </c>
    </row>
    <row r="33" spans="2:14" x14ac:dyDescent="0.2">
      <c r="B33" s="111" t="s">
        <v>128</v>
      </c>
      <c r="D33" s="110">
        <f>'5. Financial indicators'!D29</f>
        <v>0.91429390074986183</v>
      </c>
      <c r="E33" s="110">
        <f>'5. Financial indicators'!E29</f>
        <v>0.65086947489254254</v>
      </c>
      <c r="F33" s="110">
        <f>'5. Financial indicators'!F29</f>
        <v>0.58209372813126059</v>
      </c>
      <c r="G33" s="110">
        <f>'5. Financial indicators'!G29</f>
        <v>0.63597938246068664</v>
      </c>
      <c r="H33" s="110">
        <f>'5. Financial indicators'!H29</f>
        <v>0.62327479494928451</v>
      </c>
      <c r="I33" s="110">
        <f>'5. Financial indicators'!I29</f>
        <v>0.59860887771919891</v>
      </c>
      <c r="J33" s="110">
        <f>'5. Financial indicators'!J29</f>
        <v>0.6159637007835469</v>
      </c>
      <c r="K33" s="110">
        <f>'5. Financial indicators'!K29</f>
        <v>0.62098138721989216</v>
      </c>
      <c r="L33" s="110">
        <f>'5. Financial indicators'!L29</f>
        <v>0.62001723038298395</v>
      </c>
      <c r="M33" s="110">
        <f>'5. Financial indicators'!M29</f>
        <v>0.65151302038865244</v>
      </c>
      <c r="N33" s="110">
        <f>'5. Financial indicators'!N29</f>
        <v>0.6552714004158936</v>
      </c>
    </row>
    <row r="34" spans="2:14" x14ac:dyDescent="0.2">
      <c r="B34" s="111" t="s">
        <v>157</v>
      </c>
      <c r="D34" s="110">
        <f>'5. Financial indicators'!D30</f>
        <v>0.91429390074986183</v>
      </c>
      <c r="E34" s="110">
        <f>'5. Financial indicators'!E30</f>
        <v>0.65086947489254254</v>
      </c>
      <c r="F34" s="110">
        <f>'5. Financial indicators'!F30</f>
        <v>0.58209372813126059</v>
      </c>
      <c r="G34" s="110">
        <f>'5. Financial indicators'!G30</f>
        <v>0.63597938246068664</v>
      </c>
      <c r="H34" s="110">
        <f>'5. Financial indicators'!H30</f>
        <v>0.62327479494928451</v>
      </c>
      <c r="I34" s="110">
        <f>'5. Financial indicators'!I30</f>
        <v>0.59860887771919891</v>
      </c>
      <c r="J34" s="110">
        <f>'5. Financial indicators'!J30</f>
        <v>0.6159637007835469</v>
      </c>
      <c r="K34" s="110">
        <f>'5. Financial indicators'!K30</f>
        <v>0.62098138721989216</v>
      </c>
      <c r="L34" s="110">
        <f>'5. Financial indicators'!L30</f>
        <v>0.62001723038298395</v>
      </c>
      <c r="M34" s="110">
        <f>'5. Financial indicators'!M30</f>
        <v>0.65151302038865244</v>
      </c>
      <c r="N34" s="110">
        <f>'5. Financial indicators'!N30</f>
        <v>0.6552714004158936</v>
      </c>
    </row>
    <row r="35" spans="2:14" x14ac:dyDescent="0.2">
      <c r="B35" t="s">
        <v>161</v>
      </c>
    </row>
    <row r="36" spans="2:14" x14ac:dyDescent="0.2">
      <c r="B36" s="111" t="s">
        <v>128</v>
      </c>
      <c r="D36" s="109">
        <f>'5. Financial indicators'!D37</f>
        <v>0.25080228915316799</v>
      </c>
      <c r="E36" s="109">
        <f>'5. Financial indicators'!E37</f>
        <v>0.27680625041965856</v>
      </c>
      <c r="F36" s="109">
        <f>'5. Financial indicators'!F37</f>
        <v>0.26517966127528003</v>
      </c>
      <c r="G36" s="109">
        <f>'5. Financial indicators'!G37</f>
        <v>0.25431255243995371</v>
      </c>
      <c r="H36" s="109">
        <f>'5. Financial indicators'!H37</f>
        <v>0.24288432721420122</v>
      </c>
      <c r="I36" s="109">
        <f>'5. Financial indicators'!I37</f>
        <v>0.23153479538936481</v>
      </c>
      <c r="J36" s="109">
        <f>'5. Financial indicators'!J37</f>
        <v>0.22060714485491134</v>
      </c>
      <c r="K36" s="109">
        <f>'5. Financial indicators'!K37</f>
        <v>0.21313383058209379</v>
      </c>
      <c r="L36" s="109">
        <f>'5. Financial indicators'!L37</f>
        <v>0.20622381731881276</v>
      </c>
      <c r="M36" s="109">
        <f>'5. Financial indicators'!M37</f>
        <v>0.2031385114931849</v>
      </c>
      <c r="N36" s="109">
        <f>'5. Financial indicators'!N37</f>
        <v>0.19918628775673125</v>
      </c>
    </row>
    <row r="37" spans="2:14" x14ac:dyDescent="0.2">
      <c r="B37" s="111" t="s">
        <v>157</v>
      </c>
      <c r="D37" s="109">
        <f>'5. Financial indicators'!D38</f>
        <v>0.25080228915316799</v>
      </c>
      <c r="E37" s="109">
        <f>'5. Financial indicators'!E38</f>
        <v>0.27680624581839658</v>
      </c>
      <c r="F37" s="109">
        <f>'5. Financial indicators'!F38</f>
        <v>0.26517965686980416</v>
      </c>
      <c r="G37" s="109">
        <f>'5. Financial indicators'!G38</f>
        <v>0.25431254820467725</v>
      </c>
      <c r="H37" s="109">
        <f>'5. Financial indicators'!H38</f>
        <v>0.24288432316728018</v>
      </c>
      <c r="I37" s="109">
        <f>'5. Financial indicators'!I38</f>
        <v>0.23153479152748158</v>
      </c>
      <c r="J37" s="109">
        <f>'5. Financial indicators'!J38</f>
        <v>0.22060714116306934</v>
      </c>
      <c r="K37" s="109">
        <f>'5. Financial indicators'!K38</f>
        <v>0.21313382700946201</v>
      </c>
      <c r="L37" s="109">
        <f>'5. Financial indicators'!L38</f>
        <v>0.20622381385644378</v>
      </c>
      <c r="M37" s="109">
        <f>'5. Financial indicators'!M38</f>
        <v>0.20313850807743195</v>
      </c>
      <c r="N37" s="109">
        <f>'5. Financial indicators'!N38</f>
        <v>0.1991862844069516</v>
      </c>
    </row>
    <row r="38" spans="2:14" x14ac:dyDescent="0.2"/>
    <row r="39" spans="2:14" x14ac:dyDescent="0.2"/>
    <row r="40" spans="2:14" ht="15.75" x14ac:dyDescent="0.2">
      <c r="B40" s="69"/>
    </row>
    <row r="41" spans="2:14" ht="15.75" x14ac:dyDescent="0.2">
      <c r="B41" s="69" t="s">
        <v>290</v>
      </c>
    </row>
    <row r="42" spans="2:14" x14ac:dyDescent="0.2">
      <c r="B42" s="92"/>
      <c r="C42" s="92"/>
      <c r="D42" s="195" t="s">
        <v>14</v>
      </c>
      <c r="E42" s="196"/>
      <c r="F42" s="196"/>
      <c r="G42" s="197"/>
      <c r="H42" s="198" t="s">
        <v>118</v>
      </c>
      <c r="I42" s="196"/>
      <c r="J42" s="196"/>
      <c r="K42" s="199"/>
      <c r="L42" s="101"/>
      <c r="M42" s="188" t="s">
        <v>119</v>
      </c>
      <c r="N42" s="188"/>
    </row>
    <row r="43" spans="2:14" ht="39" customHeight="1" x14ac:dyDescent="0.2">
      <c r="B43" s="94" t="s">
        <v>298</v>
      </c>
      <c r="C43" s="94"/>
      <c r="D43" s="191" t="str">
        <f>+E50&amp;" to "&amp;H50&amp;" (4 years)"</f>
        <v>2025-26 to 2028-29 (4 years)</v>
      </c>
      <c r="E43" s="192"/>
      <c r="F43" s="193" t="str">
        <f>E50&amp;" to "&amp;N50&amp;" (10 years)"</f>
        <v>2025-26 to 2034-35 (10 years)</v>
      </c>
      <c r="G43" s="194"/>
      <c r="H43" s="200" t="str">
        <f>+D43</f>
        <v>2025-26 to 2028-29 (4 years)</v>
      </c>
      <c r="I43" s="201"/>
      <c r="J43" s="193" t="str">
        <f>+F43</f>
        <v>2025-26 to 2034-35 (10 years)</v>
      </c>
      <c r="K43" s="201"/>
      <c r="L43" s="94"/>
      <c r="M43" s="102" t="s">
        <v>293</v>
      </c>
      <c r="N43" s="102" t="s">
        <v>294</v>
      </c>
    </row>
    <row r="44" spans="2:14" x14ac:dyDescent="0.2">
      <c r="B44" s="111" t="s">
        <v>295</v>
      </c>
      <c r="C44" s="94"/>
      <c r="D44" s="189">
        <f t="shared" ref="D44:D45" si="0">+SUM(E52:H52)</f>
        <v>161902731.41242027</v>
      </c>
      <c r="E44" s="203"/>
      <c r="F44" s="204">
        <f t="shared" ref="F44:F45" si="1">+SUM(E52:N52)</f>
        <v>428329418.76817578</v>
      </c>
      <c r="G44" s="205"/>
      <c r="H44" s="189">
        <f>+SUM(E59:H59)</f>
        <v>161902733.32257745</v>
      </c>
      <c r="I44" s="190"/>
      <c r="J44" s="189">
        <f>+SUM(E59:N59)</f>
        <v>428329423.92173135</v>
      </c>
      <c r="K44" s="190"/>
      <c r="L44" s="104"/>
      <c r="M44" s="103">
        <f>+D44-H44</f>
        <v>-1.910157173871994</v>
      </c>
      <c r="N44" s="103">
        <f>+F44-J44</f>
        <v>-5.1535555720329285</v>
      </c>
    </row>
    <row r="45" spans="2:14" x14ac:dyDescent="0.2">
      <c r="B45" s="111" t="s">
        <v>296</v>
      </c>
      <c r="C45" s="94"/>
      <c r="D45" s="189">
        <f t="shared" si="0"/>
        <v>184147485.60099179</v>
      </c>
      <c r="E45" s="203"/>
      <c r="F45" s="189">
        <f t="shared" si="1"/>
        <v>482338231.92031133</v>
      </c>
      <c r="G45" s="190"/>
      <c r="H45" s="189">
        <f>+SUM(E60:H60)</f>
        <v>184147485.60099179</v>
      </c>
      <c r="I45" s="190"/>
      <c r="J45" s="189">
        <f>+SUM(E60:N60)</f>
        <v>482338231.92031133</v>
      </c>
      <c r="K45" s="190"/>
      <c r="L45" s="104"/>
      <c r="M45" s="103">
        <f t="shared" ref="M45:M48" si="2">+D45-H45</f>
        <v>0</v>
      </c>
      <c r="N45" s="103">
        <f t="shared" ref="N45:N46" si="3">+F45-J45</f>
        <v>0</v>
      </c>
    </row>
    <row r="46" spans="2:14" x14ac:dyDescent="0.2">
      <c r="B46" s="111" t="s">
        <v>297</v>
      </c>
      <c r="C46" s="94"/>
      <c r="D46" s="189">
        <f t="shared" ref="D46:F46" si="4">+D44-D45</f>
        <v>-22244754.188571513</v>
      </c>
      <c r="E46" s="203"/>
      <c r="F46" s="189">
        <f t="shared" si="4"/>
        <v>-54008813.152135551</v>
      </c>
      <c r="G46" s="190"/>
      <c r="H46" s="189">
        <f>+H44-H45</f>
        <v>-22244752.278414339</v>
      </c>
      <c r="I46" s="190"/>
      <c r="J46" s="189">
        <f>+J44-J45</f>
        <v>-54008807.998579979</v>
      </c>
      <c r="K46" s="190"/>
      <c r="L46" s="104"/>
      <c r="M46" s="103">
        <f t="shared" si="2"/>
        <v>-1.910157173871994</v>
      </c>
      <c r="N46" s="103">
        <f t="shared" si="3"/>
        <v>-5.1535555720329285</v>
      </c>
    </row>
    <row r="47" spans="2:14" x14ac:dyDescent="0.2">
      <c r="C47" s="94"/>
      <c r="D47" s="95"/>
      <c r="E47" s="93"/>
      <c r="F47" s="93"/>
      <c r="G47" s="93"/>
      <c r="H47" s="96"/>
      <c r="I47" s="93"/>
      <c r="J47" s="93"/>
      <c r="K47" s="97"/>
      <c r="L47" s="94"/>
      <c r="M47" s="98"/>
      <c r="N47" s="99"/>
    </row>
    <row r="48" spans="2:14" x14ac:dyDescent="0.2">
      <c r="B48" s="111" t="s">
        <v>111</v>
      </c>
      <c r="C48" s="94"/>
      <c r="D48" s="189">
        <f>+SUM(E56:H56)</f>
        <v>34227123</v>
      </c>
      <c r="E48" s="203"/>
      <c r="F48" s="189">
        <f>+SUM(E56:N56)</f>
        <v>84573325</v>
      </c>
      <c r="G48" s="190"/>
      <c r="H48" s="189">
        <f>+SUM(E63:H63)</f>
        <v>34227123</v>
      </c>
      <c r="I48" s="190"/>
      <c r="J48" s="189">
        <f>+SUM(E63:N63)</f>
        <v>84573325</v>
      </c>
      <c r="K48" s="190"/>
      <c r="L48" s="105"/>
      <c r="M48" s="103">
        <f t="shared" si="2"/>
        <v>0</v>
      </c>
      <c r="N48" s="103">
        <f>+F48-J48</f>
        <v>0</v>
      </c>
    </row>
    <row r="49" spans="2:14" x14ac:dyDescent="0.2">
      <c r="C49" s="93"/>
      <c r="D49" s="93"/>
      <c r="E49" s="93"/>
      <c r="F49" s="93"/>
      <c r="G49" s="93"/>
      <c r="H49" s="93"/>
      <c r="I49" s="93"/>
      <c r="J49" s="93"/>
      <c r="K49" s="93"/>
      <c r="L49" s="93"/>
      <c r="M49" s="93"/>
      <c r="N49" s="93"/>
    </row>
    <row r="50" spans="2:14" ht="15" x14ac:dyDescent="0.2">
      <c r="C50" s="100"/>
      <c r="D50" s="19" t="str">
        <f>'2. LTFP'!D$2</f>
        <v>2024-25</v>
      </c>
      <c r="E50" s="19" t="str">
        <f>'2. LTFP'!E$2</f>
        <v>2025-26</v>
      </c>
      <c r="F50" s="19" t="str">
        <f>'2. LTFP'!F$2</f>
        <v>2026-27</v>
      </c>
      <c r="G50" s="19" t="str">
        <f>'2. LTFP'!G$2</f>
        <v>2027-28</v>
      </c>
      <c r="H50" s="19" t="str">
        <f>'2. LTFP'!H$2</f>
        <v>2028-29</v>
      </c>
      <c r="I50" s="19" t="str">
        <f>'2. LTFP'!I$2</f>
        <v>2029-30</v>
      </c>
      <c r="J50" s="19" t="str">
        <f>'2. LTFP'!J$2</f>
        <v>2030-31</v>
      </c>
      <c r="K50" s="19" t="str">
        <f>'2. LTFP'!K$2</f>
        <v>2031-32</v>
      </c>
      <c r="L50" s="19" t="str">
        <f>'2. LTFP'!L$2</f>
        <v>2032-33</v>
      </c>
      <c r="M50" s="19" t="str">
        <f>'2. LTFP'!M$2</f>
        <v>2033-34</v>
      </c>
      <c r="N50" s="20" t="str">
        <f>'2. LTFP'!N$2</f>
        <v>2034-35</v>
      </c>
    </row>
    <row r="51" spans="2:14" x14ac:dyDescent="0.2">
      <c r="B51" t="s">
        <v>14</v>
      </c>
      <c r="C51" s="100"/>
      <c r="D51" s="93"/>
      <c r="E51" s="93"/>
      <c r="F51" s="93"/>
      <c r="G51" s="93"/>
      <c r="H51" s="93"/>
      <c r="I51" s="93"/>
      <c r="J51" s="93"/>
      <c r="K51" s="93"/>
      <c r="L51" s="93"/>
      <c r="M51" s="93"/>
      <c r="N51" s="93"/>
    </row>
    <row r="52" spans="2:14" x14ac:dyDescent="0.2">
      <c r="B52" s="111" t="s">
        <v>295</v>
      </c>
      <c r="C52" s="100"/>
      <c r="D52" s="103">
        <f>+'2. LTFP'!D39</f>
        <v>46433303</v>
      </c>
      <c r="E52" s="103">
        <f>+'2. LTFP'!E39</f>
        <v>40392405.087499999</v>
      </c>
      <c r="F52" s="103">
        <f>+'2. LTFP'!F39</f>
        <v>39843650.430418745</v>
      </c>
      <c r="G52" s="103">
        <f>+'2. LTFP'!G39</f>
        <v>40459667.517332166</v>
      </c>
      <c r="H52" s="103">
        <f>+'2. LTFP'!H39</f>
        <v>41207008.377169356</v>
      </c>
      <c r="I52" s="103">
        <f>+'2. LTFP'!I39</f>
        <v>42328796.174787305</v>
      </c>
      <c r="J52" s="103">
        <f>+'2. LTFP'!J39</f>
        <v>42934272.415159747</v>
      </c>
      <c r="K52" s="103">
        <f>+'2. LTFP'!K39</f>
        <v>43895045.264413536</v>
      </c>
      <c r="L52" s="103">
        <f>+'2. LTFP'!L39</f>
        <v>45075741.514023855</v>
      </c>
      <c r="M52" s="103">
        <f>+'2. LTFP'!M39</f>
        <v>45592097.290059827</v>
      </c>
      <c r="N52" s="103">
        <f>+'2. LTFP'!N39</f>
        <v>46600734.697311282</v>
      </c>
    </row>
    <row r="53" spans="2:14" x14ac:dyDescent="0.2">
      <c r="B53" s="111" t="s">
        <v>296</v>
      </c>
      <c r="C53" s="100"/>
      <c r="D53" s="103">
        <f>'2. LTFP'!D53</f>
        <v>42919965</v>
      </c>
      <c r="E53" s="103">
        <f>'2. LTFP'!E53</f>
        <v>45767669.487499997</v>
      </c>
      <c r="F53" s="103">
        <f>'2. LTFP'!F53</f>
        <v>45331483.451218747</v>
      </c>
      <c r="G53" s="103">
        <f>'2. LTFP'!G53</f>
        <v>46084280.253558949</v>
      </c>
      <c r="H53" s="103">
        <f>'2. LTFP'!H53</f>
        <v>46964052.408714131</v>
      </c>
      <c r="I53" s="103">
        <f>'2. LTFP'!I53</f>
        <v>47700186.441772416</v>
      </c>
      <c r="J53" s="103">
        <f>'2. LTFP'!J53</f>
        <v>48450414.257291868</v>
      </c>
      <c r="K53" s="103">
        <f>'2. LTFP'!K53</f>
        <v>49214976.154521704</v>
      </c>
      <c r="L53" s="103">
        <f>'2. LTFP'!L53</f>
        <v>49995300.549696133</v>
      </c>
      <c r="M53" s="103">
        <f>'2. LTFP'!M53</f>
        <v>50788249.005574062</v>
      </c>
      <c r="N53" s="103">
        <f>'2. LTFP'!N53</f>
        <v>52041619.910463408</v>
      </c>
    </row>
    <row r="54" spans="2:14" x14ac:dyDescent="0.2">
      <c r="B54" s="111" t="s">
        <v>297</v>
      </c>
      <c r="C54" s="100"/>
      <c r="D54" s="103">
        <f>+'2. LTFP'!D55</f>
        <v>3513338</v>
      </c>
      <c r="E54" s="103">
        <f>+'2. LTFP'!E55</f>
        <v>-5375264.3999999985</v>
      </c>
      <c r="F54" s="103">
        <f>+'2. LTFP'!F55</f>
        <v>-5487833.0208000019</v>
      </c>
      <c r="G54" s="103">
        <f>+'2. LTFP'!G55</f>
        <v>-5624612.7362267822</v>
      </c>
      <c r="H54" s="103">
        <f>+'2. LTFP'!H55</f>
        <v>-5757044.0315447748</v>
      </c>
      <c r="I54" s="103">
        <f>+'2. LTFP'!I55</f>
        <v>-5371390.2669851109</v>
      </c>
      <c r="J54" s="103">
        <f>+'2. LTFP'!J55</f>
        <v>-5516141.8421321213</v>
      </c>
      <c r="K54" s="103">
        <f>+'2. LTFP'!K55</f>
        <v>-5319930.8901081681</v>
      </c>
      <c r="L54" s="103">
        <f>+'2. LTFP'!L55</f>
        <v>-4919559.0356722772</v>
      </c>
      <c r="M54" s="103">
        <f>+'2. LTFP'!M55</f>
        <v>-5196151.7155142352</v>
      </c>
      <c r="N54" s="103">
        <f>+'2. LTFP'!N55</f>
        <v>-5440885.2131521255</v>
      </c>
    </row>
    <row r="55" spans="2:14" x14ac:dyDescent="0.2">
      <c r="C55" s="100"/>
      <c r="D55" s="93"/>
      <c r="E55" s="93"/>
      <c r="F55" s="93"/>
      <c r="G55" s="93"/>
      <c r="H55" s="93"/>
      <c r="I55" s="93"/>
      <c r="J55" s="93"/>
      <c r="K55" s="93"/>
      <c r="L55" s="93"/>
      <c r="M55" s="93"/>
      <c r="N55" s="93"/>
    </row>
    <row r="56" spans="2:14" x14ac:dyDescent="0.2">
      <c r="B56" s="111" t="s">
        <v>111</v>
      </c>
      <c r="C56" s="100"/>
      <c r="D56" s="103">
        <f>+'2. LTFP'!D120</f>
        <v>14065446</v>
      </c>
      <c r="E56" s="103">
        <f>+'2. LTFP'!E120</f>
        <v>9285756</v>
      </c>
      <c r="F56" s="103">
        <f>+'2. LTFP'!F120</f>
        <v>8343601</v>
      </c>
      <c r="G56" s="103">
        <f>+'2. LTFP'!G120</f>
        <v>8324757</v>
      </c>
      <c r="H56" s="103">
        <f>+'2. LTFP'!H120</f>
        <v>8273009</v>
      </c>
      <c r="I56" s="103">
        <f>+'2. LTFP'!I120</f>
        <v>8337763</v>
      </c>
      <c r="J56" s="103">
        <f>+'2. LTFP'!J120</f>
        <v>8194763</v>
      </c>
      <c r="K56" s="103">
        <f>+'2. LTFP'!K120</f>
        <v>8346345</v>
      </c>
      <c r="L56" s="103">
        <f>+'2. LTFP'!L120</f>
        <v>8698872</v>
      </c>
      <c r="M56" s="103">
        <f>+'2. LTFP'!M120</f>
        <v>8365662</v>
      </c>
      <c r="N56" s="103">
        <f>+'2. LTFP'!N120</f>
        <v>8402797</v>
      </c>
    </row>
    <row r="57" spans="2:14" x14ac:dyDescent="0.2">
      <c r="C57" s="100"/>
      <c r="D57" s="93"/>
      <c r="E57" s="93"/>
      <c r="F57" s="93"/>
      <c r="G57" s="93"/>
      <c r="H57" s="93"/>
      <c r="I57" s="93"/>
      <c r="J57" s="93"/>
      <c r="K57" s="93"/>
      <c r="L57" s="93"/>
      <c r="M57" s="93"/>
      <c r="N57" s="93"/>
    </row>
    <row r="58" spans="2:14" x14ac:dyDescent="0.2">
      <c r="B58" t="s">
        <v>118</v>
      </c>
      <c r="C58" s="100"/>
      <c r="D58" s="93"/>
      <c r="E58" s="93"/>
      <c r="F58" s="93"/>
      <c r="G58" s="93"/>
      <c r="H58" s="93"/>
      <c r="I58" s="93"/>
      <c r="J58" s="93"/>
      <c r="K58" s="93"/>
      <c r="L58" s="93"/>
      <c r="M58" s="93"/>
      <c r="N58" s="93"/>
    </row>
    <row r="59" spans="2:14" x14ac:dyDescent="0.2">
      <c r="B59" s="111" t="s">
        <v>295</v>
      </c>
      <c r="C59" s="100"/>
      <c r="D59" s="103">
        <f>'2. LTFP'!D165</f>
        <v>46433303</v>
      </c>
      <c r="E59" s="103">
        <f>'2. LTFP'!E165</f>
        <v>40392405.547499999</v>
      </c>
      <c r="F59" s="103">
        <f>'2. LTFP'!F165</f>
        <v>39843650.901918739</v>
      </c>
      <c r="G59" s="103">
        <f>'2. LTFP'!G165</f>
        <v>40459668.000619665</v>
      </c>
      <c r="H59" s="103">
        <f>'2. LTFP'!H165</f>
        <v>41207008.872539043</v>
      </c>
      <c r="I59" s="103">
        <f>'2. LTFP'!I165</f>
        <v>42328796.682541236</v>
      </c>
      <c r="J59" s="103">
        <f>'2. LTFP'!J165</f>
        <v>42934272.935607523</v>
      </c>
      <c r="K59" s="103">
        <f>'2. LTFP'!K165</f>
        <v>43895045.797872514</v>
      </c>
      <c r="L59" s="103">
        <f>'2. LTFP'!L165</f>
        <v>45075742.060819298</v>
      </c>
      <c r="M59" s="103">
        <f>'2. LTFP'!M165</f>
        <v>45592097.850525156</v>
      </c>
      <c r="N59" s="103">
        <f>'2. LTFP'!N165</f>
        <v>46600735.271788247</v>
      </c>
    </row>
    <row r="60" spans="2:14" x14ac:dyDescent="0.2">
      <c r="B60" s="111" t="s">
        <v>296</v>
      </c>
      <c r="C60" s="100"/>
      <c r="D60" s="103">
        <f>'2. LTFP'!D179</f>
        <v>42919965</v>
      </c>
      <c r="E60" s="103">
        <f>'2. LTFP'!E179</f>
        <v>45767669.487499997</v>
      </c>
      <c r="F60" s="103">
        <f>'2. LTFP'!F179</f>
        <v>45331483.451218747</v>
      </c>
      <c r="G60" s="103">
        <f>'2. LTFP'!G179</f>
        <v>46084280.253558949</v>
      </c>
      <c r="H60" s="103">
        <f>'2. LTFP'!H179</f>
        <v>46964052.408714131</v>
      </c>
      <c r="I60" s="103">
        <f>'2. LTFP'!I179</f>
        <v>47700186.441772416</v>
      </c>
      <c r="J60" s="103">
        <f>'2. LTFP'!J179</f>
        <v>48450414.257291868</v>
      </c>
      <c r="K60" s="103">
        <f>'2. LTFP'!K179</f>
        <v>49214976.154521704</v>
      </c>
      <c r="L60" s="103">
        <f>'2. LTFP'!L179</f>
        <v>49995300.549696133</v>
      </c>
      <c r="M60" s="103">
        <f>'2. LTFP'!M179</f>
        <v>50788249.005574062</v>
      </c>
      <c r="N60" s="103">
        <f>'2. LTFP'!N179</f>
        <v>52041619.910463408</v>
      </c>
    </row>
    <row r="61" spans="2:14" x14ac:dyDescent="0.2">
      <c r="B61" s="111" t="s">
        <v>297</v>
      </c>
      <c r="C61" s="100"/>
      <c r="D61" s="103">
        <f>'2. LTFP'!D181</f>
        <v>3513338</v>
      </c>
      <c r="E61" s="103">
        <f>'2. LTFP'!E181</f>
        <v>-5375263.9399999976</v>
      </c>
      <c r="F61" s="103">
        <f>'2. LTFP'!F181</f>
        <v>-5487832.5493000075</v>
      </c>
      <c r="G61" s="103">
        <f>'2. LTFP'!G181</f>
        <v>-5624612.2529392838</v>
      </c>
      <c r="H61" s="103">
        <f>'2. LTFP'!H181</f>
        <v>-5757043.5361750871</v>
      </c>
      <c r="I61" s="103">
        <f>'2. LTFP'!I181</f>
        <v>-5371389.75923118</v>
      </c>
      <c r="J61" s="103">
        <f>'2. LTFP'!J181</f>
        <v>-5516141.3216843456</v>
      </c>
      <c r="K61" s="103">
        <f>'2. LTFP'!K181</f>
        <v>-5319930.3566491902</v>
      </c>
      <c r="L61" s="103">
        <f>'2. LTFP'!L181</f>
        <v>-4919558.4888768345</v>
      </c>
      <c r="M61" s="103">
        <f>'2. LTFP'!M181</f>
        <v>-5196151.1550489068</v>
      </c>
      <c r="N61" s="103">
        <f>'2. LTFP'!N181</f>
        <v>-5440884.6386751607</v>
      </c>
    </row>
    <row r="62" spans="2:14" x14ac:dyDescent="0.2">
      <c r="C62" s="100"/>
      <c r="D62" s="93"/>
      <c r="E62" s="93"/>
      <c r="F62" s="93"/>
      <c r="G62" s="93"/>
      <c r="H62" s="93"/>
      <c r="I62" s="93"/>
      <c r="J62" s="93"/>
      <c r="K62" s="93"/>
      <c r="L62" s="93"/>
      <c r="M62" s="93"/>
      <c r="N62" s="93"/>
    </row>
    <row r="63" spans="2:14" x14ac:dyDescent="0.2">
      <c r="B63" s="111" t="s">
        <v>111</v>
      </c>
      <c r="C63" s="100"/>
      <c r="D63" s="103">
        <f>'2. LTFP'!D246</f>
        <v>14065446</v>
      </c>
      <c r="E63" s="103">
        <f>'2. LTFP'!E246</f>
        <v>9285756</v>
      </c>
      <c r="F63" s="103">
        <f>'2. LTFP'!F246</f>
        <v>8343601</v>
      </c>
      <c r="G63" s="103">
        <f>'2. LTFP'!G246</f>
        <v>8324757</v>
      </c>
      <c r="H63" s="103">
        <f>'2. LTFP'!H246</f>
        <v>8273009</v>
      </c>
      <c r="I63" s="103">
        <f>'2. LTFP'!I246</f>
        <v>8337763</v>
      </c>
      <c r="J63" s="103">
        <f>'2. LTFP'!J246</f>
        <v>8194763</v>
      </c>
      <c r="K63" s="103">
        <f>'2. LTFP'!K246</f>
        <v>8346345</v>
      </c>
      <c r="L63" s="103">
        <f>'2. LTFP'!L246</f>
        <v>8698872</v>
      </c>
      <c r="M63" s="103">
        <f>'2. LTFP'!M246</f>
        <v>8365662</v>
      </c>
      <c r="N63" s="103">
        <f>'2. LTFP'!N246</f>
        <v>8402797</v>
      </c>
    </row>
    <row r="64" spans="2:14" x14ac:dyDescent="0.2">
      <c r="C64" s="100"/>
      <c r="D64" s="93"/>
      <c r="E64" s="93"/>
      <c r="F64" s="93"/>
      <c r="G64" s="93"/>
      <c r="H64" s="93"/>
      <c r="I64" s="93"/>
      <c r="J64" s="93"/>
      <c r="K64" s="93"/>
      <c r="L64" s="93"/>
      <c r="M64" s="93"/>
      <c r="N64" s="93"/>
    </row>
    <row r="65" spans="2:14" x14ac:dyDescent="0.2">
      <c r="B65" s="125" t="s">
        <v>119</v>
      </c>
      <c r="C65" s="100"/>
      <c r="D65" s="93"/>
      <c r="E65" s="93"/>
      <c r="F65" s="93"/>
      <c r="G65" s="93"/>
      <c r="H65" s="93"/>
      <c r="I65" s="93"/>
      <c r="J65" s="93"/>
      <c r="K65" s="93"/>
      <c r="L65" s="93"/>
      <c r="M65" s="93"/>
      <c r="N65" s="93"/>
    </row>
    <row r="66" spans="2:14" x14ac:dyDescent="0.2">
      <c r="B66" s="122" t="s">
        <v>295</v>
      </c>
      <c r="C66" s="123"/>
      <c r="D66" s="124">
        <f t="shared" ref="D66:N68" si="5">+D52-D59</f>
        <v>0</v>
      </c>
      <c r="E66" s="124">
        <f t="shared" si="5"/>
        <v>-0.46000000089406967</v>
      </c>
      <c r="F66" s="124">
        <f t="shared" si="5"/>
        <v>-0.47149999439716339</v>
      </c>
      <c r="G66" s="124">
        <f t="shared" si="5"/>
        <v>-0.4832874983549118</v>
      </c>
      <c r="H66" s="124">
        <f t="shared" si="5"/>
        <v>-0.49536968767642975</v>
      </c>
      <c r="I66" s="124">
        <f t="shared" si="5"/>
        <v>-0.50775393098592758</v>
      </c>
      <c r="J66" s="124">
        <f t="shared" si="5"/>
        <v>-0.52044777572154999</v>
      </c>
      <c r="K66" s="124">
        <f t="shared" si="5"/>
        <v>-0.53345897793769836</v>
      </c>
      <c r="L66" s="124">
        <f t="shared" si="5"/>
        <v>-0.54679544270038605</v>
      </c>
      <c r="M66" s="124">
        <f t="shared" si="5"/>
        <v>-0.56046532839536667</v>
      </c>
      <c r="N66" s="124">
        <f t="shared" si="5"/>
        <v>-0.57447696477174759</v>
      </c>
    </row>
    <row r="67" spans="2:14" x14ac:dyDescent="0.2">
      <c r="B67" s="122" t="s">
        <v>296</v>
      </c>
      <c r="C67" s="123"/>
      <c r="D67" s="124">
        <f t="shared" si="5"/>
        <v>0</v>
      </c>
      <c r="E67" s="124">
        <f t="shared" si="5"/>
        <v>0</v>
      </c>
      <c r="F67" s="124">
        <f t="shared" si="5"/>
        <v>0</v>
      </c>
      <c r="G67" s="124">
        <f t="shared" si="5"/>
        <v>0</v>
      </c>
      <c r="H67" s="124">
        <f t="shared" si="5"/>
        <v>0</v>
      </c>
      <c r="I67" s="124">
        <f t="shared" si="5"/>
        <v>0</v>
      </c>
      <c r="J67" s="124">
        <f t="shared" si="5"/>
        <v>0</v>
      </c>
      <c r="K67" s="124">
        <f t="shared" si="5"/>
        <v>0</v>
      </c>
      <c r="L67" s="124">
        <f t="shared" si="5"/>
        <v>0</v>
      </c>
      <c r="M67" s="124">
        <f t="shared" si="5"/>
        <v>0</v>
      </c>
      <c r="N67" s="124">
        <f t="shared" si="5"/>
        <v>0</v>
      </c>
    </row>
    <row r="68" spans="2:14" x14ac:dyDescent="0.2">
      <c r="B68" s="122" t="s">
        <v>297</v>
      </c>
      <c r="C68" s="123"/>
      <c r="D68" s="124">
        <f t="shared" si="5"/>
        <v>0</v>
      </c>
      <c r="E68" s="124">
        <f t="shared" si="5"/>
        <v>-0.46000000089406967</v>
      </c>
      <c r="F68" s="124">
        <f t="shared" si="5"/>
        <v>-0.47149999439716339</v>
      </c>
      <c r="G68" s="124">
        <f t="shared" si="5"/>
        <v>-0.4832874983549118</v>
      </c>
      <c r="H68" s="124">
        <f t="shared" si="5"/>
        <v>-0.49536968767642975</v>
      </c>
      <c r="I68" s="124">
        <f t="shared" si="5"/>
        <v>-0.50775393098592758</v>
      </c>
      <c r="J68" s="124">
        <f t="shared" si="5"/>
        <v>-0.52044777572154999</v>
      </c>
      <c r="K68" s="124">
        <f t="shared" si="5"/>
        <v>-0.53345897793769836</v>
      </c>
      <c r="L68" s="124">
        <f t="shared" si="5"/>
        <v>-0.54679544270038605</v>
      </c>
      <c r="M68" s="124">
        <f t="shared" si="5"/>
        <v>-0.56046532839536667</v>
      </c>
      <c r="N68" s="124">
        <f t="shared" si="5"/>
        <v>-0.57447696477174759</v>
      </c>
    </row>
    <row r="69" spans="2:14" x14ac:dyDescent="0.2">
      <c r="B69" s="125"/>
      <c r="C69" s="123"/>
      <c r="D69" s="126"/>
      <c r="E69" s="126"/>
      <c r="F69" s="126"/>
      <c r="G69" s="126"/>
      <c r="H69" s="126"/>
      <c r="I69" s="126"/>
      <c r="J69" s="126"/>
      <c r="K69" s="126"/>
      <c r="L69" s="126"/>
      <c r="M69" s="126"/>
      <c r="N69" s="126"/>
    </row>
    <row r="70" spans="2:14" x14ac:dyDescent="0.2">
      <c r="B70" s="122" t="s">
        <v>111</v>
      </c>
      <c r="C70" s="123"/>
      <c r="D70" s="124">
        <f t="shared" ref="D70:N70" si="6">+D56-D63</f>
        <v>0</v>
      </c>
      <c r="E70" s="124">
        <f t="shared" si="6"/>
        <v>0</v>
      </c>
      <c r="F70" s="124">
        <f t="shared" si="6"/>
        <v>0</v>
      </c>
      <c r="G70" s="124">
        <f t="shared" si="6"/>
        <v>0</v>
      </c>
      <c r="H70" s="124">
        <f t="shared" si="6"/>
        <v>0</v>
      </c>
      <c r="I70" s="124">
        <f t="shared" si="6"/>
        <v>0</v>
      </c>
      <c r="J70" s="124">
        <f t="shared" si="6"/>
        <v>0</v>
      </c>
      <c r="K70" s="124">
        <f t="shared" si="6"/>
        <v>0</v>
      </c>
      <c r="L70" s="124">
        <f t="shared" si="6"/>
        <v>0</v>
      </c>
      <c r="M70" s="124">
        <f t="shared" si="6"/>
        <v>0</v>
      </c>
      <c r="N70" s="124">
        <f t="shared" si="6"/>
        <v>0</v>
      </c>
    </row>
    <row r="71" spans="2:14" x14ac:dyDescent="0.2"/>
    <row r="72" spans="2:14" x14ac:dyDescent="0.2"/>
    <row r="73" spans="2:14" x14ac:dyDescent="0.2"/>
    <row r="74" spans="2:14" x14ac:dyDescent="0.2"/>
    <row r="75" spans="2:14" x14ac:dyDescent="0.2"/>
    <row r="76" spans="2:14" x14ac:dyDescent="0.2"/>
  </sheetData>
  <sheetProtection algorithmName="SHA-512" hashValue="HMWkcl+gsEFlWviA6rkYJtcgUdagrowTJWzBFZSA0K78RH52QByCWNhmyhhAlvwNDANMGj3RL4oup9k/iyAdQw==" saltValue="tZNVDdWoE9aPA4HGl6n7ww==" spinCount="100000" sheet="1" objects="1" scenarios="1"/>
  <mergeCells count="24">
    <mergeCell ref="C6:E6"/>
    <mergeCell ref="D46:E46"/>
    <mergeCell ref="D45:E45"/>
    <mergeCell ref="J48:K48"/>
    <mergeCell ref="H48:I48"/>
    <mergeCell ref="F48:G48"/>
    <mergeCell ref="D48:E48"/>
    <mergeCell ref="D44:E44"/>
    <mergeCell ref="F44:G44"/>
    <mergeCell ref="H44:I44"/>
    <mergeCell ref="J44:K44"/>
    <mergeCell ref="J45:K45"/>
    <mergeCell ref="J46:K46"/>
    <mergeCell ref="H46:I46"/>
    <mergeCell ref="H45:I45"/>
    <mergeCell ref="F45:G45"/>
    <mergeCell ref="M42:N42"/>
    <mergeCell ref="F46:G46"/>
    <mergeCell ref="D43:E43"/>
    <mergeCell ref="F43:G43"/>
    <mergeCell ref="D42:G42"/>
    <mergeCell ref="H42:K42"/>
    <mergeCell ref="H43:I43"/>
    <mergeCell ref="J43:K43"/>
  </mergeCells>
  <pageMargins left="0.7" right="0.7" top="0.75" bottom="0.75" header="0.3" footer="0.3"/>
  <pageSetup paperSize="9" orientation="portrait" r:id="rId1"/>
  <headerFooter>
    <oddHeader>&amp;C&amp;"Calibri"&amp;12&amp;KFF0000 OFFICIAL&amp;1#_x000D_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B0FF9-9033-4369-84AA-219D999AEE74}">
  <sheetPr codeName="Sheet8">
    <tabColor theme="5"/>
  </sheetPr>
  <dimension ref="A1:T86"/>
  <sheetViews>
    <sheetView showGridLines="0" zoomScale="85" zoomScaleNormal="85" workbookViewId="0">
      <pane ySplit="2" topLeftCell="A92" activePane="bottomLeft" state="frozen"/>
      <selection activeCell="K46" sqref="K46"/>
      <selection pane="bottomLeft" activeCell="H92" sqref="H92"/>
    </sheetView>
  </sheetViews>
  <sheetFormatPr defaultRowHeight="14.25" x14ac:dyDescent="0.2"/>
  <cols>
    <col min="1" max="1" width="9.875" style="12" customWidth="1"/>
    <col min="2" max="14" width="10.375" customWidth="1"/>
    <col min="21" max="16383" width="0" hidden="1" customWidth="1"/>
  </cols>
  <sheetData>
    <row r="1" spans="1:20" ht="50.1" customHeight="1" x14ac:dyDescent="0.2">
      <c r="A1" s="3"/>
      <c r="B1" s="3" t="str">
        <f>title</f>
        <v>Higher cap information template</v>
      </c>
      <c r="C1" s="3"/>
      <c r="D1" s="3"/>
      <c r="E1" s="3"/>
      <c r="F1" s="3"/>
      <c r="G1" s="3"/>
      <c r="H1" s="3"/>
      <c r="I1" s="3"/>
      <c r="J1" s="3"/>
      <c r="K1" s="3"/>
      <c r="L1" s="3"/>
      <c r="M1" s="3"/>
      <c r="N1" s="3"/>
      <c r="O1" s="3"/>
      <c r="P1" s="3"/>
      <c r="Q1" s="3"/>
      <c r="R1" s="3"/>
      <c r="S1" s="3"/>
      <c r="T1" s="3"/>
    </row>
    <row r="2" spans="1:20" ht="30" customHeight="1" x14ac:dyDescent="0.2">
      <c r="A2" s="2">
        <f ca="1">_xlfn.SHEET()</f>
        <v>7</v>
      </c>
      <c r="B2" s="1" t="s">
        <v>291</v>
      </c>
      <c r="C2" s="1"/>
      <c r="D2" s="1"/>
      <c r="E2" s="1"/>
      <c r="F2" s="1"/>
      <c r="G2" s="1"/>
      <c r="H2" s="1"/>
      <c r="I2" s="1"/>
      <c r="J2" s="1"/>
      <c r="K2" s="1"/>
      <c r="L2" s="1"/>
      <c r="M2" s="1"/>
      <c r="N2" s="1"/>
      <c r="O2" s="1"/>
      <c r="P2" s="1"/>
      <c r="Q2" s="1"/>
      <c r="R2" s="1"/>
      <c r="S2" s="1"/>
      <c r="T2" s="1"/>
    </row>
    <row r="3" spans="1:20" x14ac:dyDescent="0.2">
      <c r="A3"/>
    </row>
    <row r="4" spans="1:20" ht="16.5" thickBot="1" x14ac:dyDescent="0.25">
      <c r="A4" s="4">
        <f ca="1">MAX(A$2:A3)+0.1</f>
        <v>7.1</v>
      </c>
      <c r="B4" s="5" t="s">
        <v>290</v>
      </c>
      <c r="C4" s="5"/>
      <c r="D4" s="5"/>
      <c r="E4" s="5"/>
      <c r="F4" s="5"/>
      <c r="G4" s="5"/>
      <c r="H4" s="5"/>
      <c r="I4" s="5"/>
      <c r="J4" s="5"/>
      <c r="K4" s="5"/>
      <c r="L4" s="5"/>
      <c r="M4" s="5"/>
      <c r="N4" s="5"/>
      <c r="O4" s="5"/>
      <c r="P4" s="5"/>
      <c r="Q4" s="5"/>
      <c r="R4" s="5"/>
      <c r="S4" s="5"/>
      <c r="T4" s="5"/>
    </row>
    <row r="41" spans="1:20" ht="16.5" thickBot="1" x14ac:dyDescent="0.25">
      <c r="A41" s="4">
        <f ca="1">MAX(A$2:A40)+0.1</f>
        <v>7.1999999999999993</v>
      </c>
      <c r="B41" s="5" t="s">
        <v>292</v>
      </c>
      <c r="C41" s="5"/>
      <c r="D41" s="5"/>
      <c r="E41" s="5"/>
      <c r="F41" s="5"/>
      <c r="G41" s="5"/>
      <c r="H41" s="5"/>
      <c r="I41" s="5"/>
      <c r="J41" s="5"/>
      <c r="K41" s="5"/>
      <c r="L41" s="5"/>
      <c r="M41" s="5"/>
      <c r="N41" s="5"/>
      <c r="O41" s="5"/>
      <c r="P41" s="5"/>
      <c r="Q41" s="5"/>
      <c r="R41" s="5"/>
      <c r="S41" s="5"/>
      <c r="T41" s="5"/>
    </row>
    <row r="83" spans="1:20" ht="15" x14ac:dyDescent="0.25">
      <c r="A83" s="119" t="s">
        <v>13</v>
      </c>
      <c r="B83" s="118"/>
      <c r="C83" s="117"/>
      <c r="D83" s="117"/>
      <c r="E83" s="117"/>
      <c r="F83" s="117"/>
      <c r="G83" s="117"/>
      <c r="H83" s="117"/>
      <c r="I83" s="117"/>
      <c r="J83" s="117"/>
      <c r="K83" s="117"/>
      <c r="L83" s="117"/>
      <c r="M83" s="117"/>
      <c r="N83" s="117"/>
      <c r="O83" s="117"/>
      <c r="P83" s="117"/>
      <c r="Q83" s="117"/>
      <c r="R83" s="117"/>
      <c r="S83" s="117"/>
      <c r="T83" s="117"/>
    </row>
    <row r="86" spans="1:20" x14ac:dyDescent="0.2">
      <c r="A86" s="12" t="s">
        <v>452</v>
      </c>
    </row>
  </sheetData>
  <pageMargins left="0.7" right="0.7" top="0.75" bottom="0.75" header="0.3" footer="0.3"/>
  <headerFooter>
    <oddHeader>&amp;C&amp;"Calibri"&amp;12&amp;KFF0000 OFFICIAL&amp;1#_x000D_</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59EF1-57E5-449C-8FA9-A6F3DF1CD35C}">
  <sheetPr>
    <tabColor theme="4" tint="0.79998168889431442"/>
  </sheetPr>
  <dimension ref="A1:Z146"/>
  <sheetViews>
    <sheetView showGridLines="0" topLeftCell="B1" zoomScale="85" zoomScaleNormal="85" workbookViewId="0">
      <pane ySplit="2" topLeftCell="A49" activePane="bottomLeft" state="frozen"/>
      <selection activeCell="C38" sqref="C38"/>
      <selection pane="bottomLeft" activeCell="I53" sqref="I53"/>
    </sheetView>
  </sheetViews>
  <sheetFormatPr defaultRowHeight="14.25" zeroHeight="1" outlineLevelCol="1" x14ac:dyDescent="0.2"/>
  <cols>
    <col min="1" max="1" width="92.375" hidden="1" customWidth="1" outlineLevel="1"/>
    <col min="2" max="2" width="9.875" style="12" customWidth="1" collapsed="1"/>
    <col min="3" max="3" width="46.5" customWidth="1"/>
    <col min="4" max="10" width="23.625" customWidth="1"/>
    <col min="11" max="26" width="23.625" hidden="1" customWidth="1"/>
    <col min="27" max="16383" width="0" hidden="1" customWidth="1"/>
  </cols>
  <sheetData>
    <row r="1" spans="1:26" s="15" customFormat="1" ht="50.1" customHeight="1" x14ac:dyDescent="0.2">
      <c r="A1" s="209" t="s">
        <v>10</v>
      </c>
      <c r="B1" s="3"/>
      <c r="C1" s="3" t="str">
        <f>+title</f>
        <v>Higher cap information template</v>
      </c>
      <c r="D1" s="3"/>
      <c r="E1" s="3"/>
      <c r="F1" s="3"/>
      <c r="G1" s="3"/>
      <c r="H1" s="3"/>
      <c r="I1" s="3"/>
      <c r="J1" s="3"/>
      <c r="K1" s="3"/>
      <c r="L1" s="3"/>
      <c r="M1" s="3"/>
      <c r="N1" s="3"/>
      <c r="O1" s="3"/>
      <c r="P1" s="3"/>
      <c r="Q1" s="3"/>
      <c r="R1" s="3"/>
      <c r="S1" s="3"/>
      <c r="T1" s="3"/>
      <c r="U1" s="3"/>
      <c r="V1" s="3"/>
      <c r="W1" s="3"/>
      <c r="X1" s="3"/>
      <c r="Y1" s="3"/>
      <c r="Z1" s="3"/>
    </row>
    <row r="2" spans="1:26" s="15" customFormat="1" ht="30" customHeight="1" x14ac:dyDescent="0.2">
      <c r="A2" s="210"/>
      <c r="B2" s="2">
        <f ca="1">_xlfn.SHEET()</f>
        <v>8</v>
      </c>
      <c r="C2" s="1" t="s">
        <v>421</v>
      </c>
      <c r="D2" s="1"/>
      <c r="E2" s="1"/>
      <c r="F2" s="1"/>
      <c r="G2" s="1"/>
      <c r="H2" s="1"/>
      <c r="I2" s="1"/>
      <c r="J2" s="1"/>
      <c r="K2" s="1"/>
      <c r="L2" s="1"/>
      <c r="M2" s="1"/>
      <c r="N2" s="1"/>
      <c r="O2" s="1"/>
      <c r="P2" s="1"/>
      <c r="Q2" s="1"/>
      <c r="R2" s="1"/>
      <c r="S2" s="1"/>
      <c r="T2" s="1"/>
      <c r="U2" s="1"/>
      <c r="V2" s="1"/>
      <c r="W2" s="1"/>
      <c r="X2" s="1"/>
      <c r="Y2" s="1"/>
      <c r="Z2" s="1"/>
    </row>
    <row r="3" spans="1:26" x14ac:dyDescent="0.2">
      <c r="B3"/>
    </row>
    <row r="4" spans="1:26" ht="16.5" thickBot="1" x14ac:dyDescent="0.25">
      <c r="A4" s="16" t="s">
        <v>11</v>
      </c>
      <c r="B4" s="4">
        <f ca="1">MAX(B$2:B3)+0.1</f>
        <v>8.1</v>
      </c>
      <c r="C4" s="5" t="s">
        <v>358</v>
      </c>
      <c r="D4" s="5"/>
      <c r="E4" s="5"/>
      <c r="F4" s="5"/>
      <c r="G4" s="5"/>
      <c r="H4" s="5"/>
      <c r="I4" s="5"/>
      <c r="J4" s="5"/>
      <c r="K4" s="5"/>
      <c r="L4" s="5"/>
      <c r="M4" s="5"/>
      <c r="N4" s="5"/>
      <c r="O4" s="5"/>
      <c r="P4" s="5"/>
      <c r="Q4" s="5"/>
      <c r="R4" s="5"/>
      <c r="S4" s="5"/>
      <c r="T4" s="5"/>
      <c r="U4" s="5"/>
      <c r="V4" s="5"/>
      <c r="W4" s="5"/>
      <c r="X4" s="5"/>
      <c r="Y4" s="5"/>
      <c r="Z4" s="5"/>
    </row>
    <row r="5" spans="1:26" x14ac:dyDescent="0.2"/>
    <row r="6" spans="1:26" ht="15" x14ac:dyDescent="0.2">
      <c r="C6" s="13" t="s">
        <v>341</v>
      </c>
    </row>
    <row r="7" spans="1:26" ht="15" x14ac:dyDescent="0.2">
      <c r="C7" s="17" t="s">
        <v>342</v>
      </c>
      <c r="D7" s="211" t="s">
        <v>343</v>
      </c>
      <c r="E7" s="212"/>
      <c r="F7" s="212"/>
      <c r="G7" s="212"/>
      <c r="H7" s="212"/>
      <c r="I7" s="213"/>
      <c r="J7" s="149"/>
    </row>
    <row r="8" spans="1:26" x14ac:dyDescent="0.2">
      <c r="C8" s="8" t="s">
        <v>429</v>
      </c>
      <c r="D8" s="206" t="s">
        <v>433</v>
      </c>
      <c r="E8" s="207"/>
      <c r="F8" s="207"/>
      <c r="G8" s="207"/>
      <c r="H8" s="207"/>
      <c r="I8" s="208"/>
      <c r="J8" s="149"/>
    </row>
    <row r="9" spans="1:26" x14ac:dyDescent="0.2">
      <c r="C9" s="8" t="s">
        <v>438</v>
      </c>
      <c r="D9" s="206" t="s">
        <v>439</v>
      </c>
      <c r="E9" s="207"/>
      <c r="F9" s="207"/>
      <c r="G9" s="207"/>
      <c r="H9" s="207"/>
      <c r="I9" s="208"/>
    </row>
    <row r="10" spans="1:26" x14ac:dyDescent="0.2">
      <c r="C10" s="8" t="s">
        <v>431</v>
      </c>
      <c r="D10" s="206" t="s">
        <v>432</v>
      </c>
      <c r="E10" s="207"/>
      <c r="F10" s="207"/>
      <c r="G10" s="207"/>
      <c r="H10" s="207"/>
      <c r="I10" s="208"/>
    </row>
    <row r="11" spans="1:26" x14ac:dyDescent="0.2">
      <c r="C11" s="8" t="s">
        <v>430</v>
      </c>
      <c r="D11" s="206" t="s">
        <v>440</v>
      </c>
      <c r="E11" s="207"/>
      <c r="F11" s="207"/>
      <c r="G11" s="207"/>
      <c r="H11" s="207"/>
      <c r="I11" s="208"/>
    </row>
    <row r="12" spans="1:26" x14ac:dyDescent="0.2">
      <c r="C12" s="8" t="s">
        <v>434</v>
      </c>
      <c r="D12" s="206" t="s">
        <v>441</v>
      </c>
      <c r="E12" s="207"/>
      <c r="F12" s="207"/>
      <c r="G12" s="207"/>
      <c r="H12" s="207"/>
      <c r="I12" s="208"/>
    </row>
    <row r="13" spans="1:26" x14ac:dyDescent="0.2">
      <c r="C13" s="8" t="s">
        <v>442</v>
      </c>
      <c r="D13" s="206" t="s">
        <v>443</v>
      </c>
      <c r="E13" s="207"/>
      <c r="F13" s="207"/>
      <c r="G13" s="207"/>
      <c r="H13" s="207"/>
      <c r="I13" s="208"/>
    </row>
    <row r="14" spans="1:26" x14ac:dyDescent="0.2">
      <c r="C14" s="8" t="s">
        <v>450</v>
      </c>
      <c r="D14" s="206" t="s">
        <v>451</v>
      </c>
      <c r="E14" s="207"/>
      <c r="F14" s="207"/>
      <c r="G14" s="207"/>
      <c r="H14" s="207"/>
      <c r="I14" s="208"/>
    </row>
    <row r="15" spans="1:26" x14ac:dyDescent="0.2">
      <c r="C15" s="8" t="s">
        <v>444</v>
      </c>
      <c r="D15" s="206" t="s">
        <v>445</v>
      </c>
      <c r="E15" s="207"/>
      <c r="F15" s="207"/>
      <c r="G15" s="207"/>
      <c r="H15" s="207"/>
      <c r="I15" s="208"/>
    </row>
    <row r="16" spans="1:26" x14ac:dyDescent="0.2">
      <c r="C16" s="8" t="s">
        <v>446</v>
      </c>
      <c r="D16" s="206" t="s">
        <v>437</v>
      </c>
      <c r="E16" s="207"/>
      <c r="F16" s="207"/>
      <c r="G16" s="207"/>
      <c r="H16" s="207"/>
      <c r="I16" s="208"/>
    </row>
    <row r="17" spans="3:9" x14ac:dyDescent="0.2">
      <c r="C17" s="8" t="s">
        <v>448</v>
      </c>
      <c r="D17" s="206" t="s">
        <v>449</v>
      </c>
      <c r="E17" s="207"/>
      <c r="F17" s="207"/>
      <c r="G17" s="207"/>
      <c r="H17" s="207"/>
      <c r="I17" s="208"/>
    </row>
    <row r="18" spans="3:9" x14ac:dyDescent="0.2">
      <c r="C18" s="8" t="s">
        <v>123</v>
      </c>
      <c r="D18" s="206" t="s">
        <v>447</v>
      </c>
      <c r="E18" s="207"/>
      <c r="F18" s="207"/>
      <c r="G18" s="207"/>
      <c r="H18" s="207"/>
      <c r="I18" s="208"/>
    </row>
    <row r="19" spans="3:9" x14ac:dyDescent="0.2">
      <c r="C19" s="8"/>
      <c r="D19" s="206"/>
      <c r="E19" s="207"/>
      <c r="F19" s="207"/>
      <c r="G19" s="207"/>
      <c r="H19" s="207"/>
      <c r="I19" s="208"/>
    </row>
    <row r="20" spans="3:9" x14ac:dyDescent="0.2">
      <c r="C20" s="8"/>
      <c r="D20" s="155"/>
      <c r="E20" s="167"/>
      <c r="F20" s="167"/>
      <c r="G20" s="167"/>
      <c r="H20" s="167"/>
      <c r="I20" s="167"/>
    </row>
    <row r="21" spans="3:9" x14ac:dyDescent="0.2">
      <c r="C21" s="8"/>
      <c r="D21" s="155"/>
      <c r="E21" s="156"/>
      <c r="F21" s="156"/>
      <c r="G21" s="156"/>
      <c r="H21" s="156"/>
      <c r="I21" s="157"/>
    </row>
    <row r="22" spans="3:9" x14ac:dyDescent="0.2">
      <c r="C22" s="8"/>
      <c r="D22" s="167"/>
      <c r="E22" s="156"/>
      <c r="F22" s="156"/>
      <c r="G22" s="156"/>
      <c r="H22" s="156"/>
      <c r="I22" s="157"/>
    </row>
    <row r="23" spans="3:9" x14ac:dyDescent="0.2">
      <c r="C23" s="8"/>
      <c r="D23" s="155"/>
      <c r="E23" s="156"/>
      <c r="F23" s="156"/>
      <c r="G23" s="156"/>
      <c r="H23" s="156"/>
      <c r="I23" s="157"/>
    </row>
    <row r="24" spans="3:9" x14ac:dyDescent="0.2">
      <c r="C24" s="8"/>
      <c r="D24" s="155"/>
      <c r="E24" s="156"/>
      <c r="F24" s="156"/>
      <c r="G24" s="156"/>
      <c r="H24" s="156"/>
      <c r="I24" s="157"/>
    </row>
    <row r="25" spans="3:9" x14ac:dyDescent="0.2">
      <c r="C25" s="8"/>
      <c r="D25" s="155"/>
      <c r="E25" s="156"/>
      <c r="F25" s="156"/>
      <c r="G25" s="156"/>
      <c r="H25" s="156"/>
      <c r="I25" s="157"/>
    </row>
    <row r="26" spans="3:9" x14ac:dyDescent="0.2">
      <c r="C26" s="8"/>
      <c r="D26" s="155"/>
      <c r="E26" s="156"/>
      <c r="F26" s="156"/>
      <c r="G26" s="156"/>
      <c r="H26" s="156"/>
      <c r="I26" s="157"/>
    </row>
    <row r="27" spans="3:9" x14ac:dyDescent="0.2">
      <c r="C27" s="8"/>
      <c r="D27" s="155"/>
      <c r="E27" s="156"/>
      <c r="F27" s="156"/>
      <c r="G27" s="156"/>
      <c r="H27" s="156"/>
      <c r="I27" s="157"/>
    </row>
    <row r="28" spans="3:9" x14ac:dyDescent="0.2">
      <c r="C28" s="8"/>
      <c r="D28" s="155"/>
      <c r="E28" s="156"/>
      <c r="F28" s="156"/>
      <c r="G28" s="156"/>
      <c r="H28" s="156"/>
      <c r="I28" s="157"/>
    </row>
    <row r="29" spans="3:9" x14ac:dyDescent="0.2">
      <c r="C29" s="8"/>
      <c r="D29" s="155"/>
      <c r="E29" s="156"/>
      <c r="F29" s="156"/>
      <c r="G29" s="156"/>
      <c r="H29" s="156"/>
      <c r="I29" s="157"/>
    </row>
    <row r="30" spans="3:9" x14ac:dyDescent="0.2">
      <c r="C30" s="8"/>
      <c r="D30" s="206"/>
      <c r="E30" s="207"/>
      <c r="F30" s="207"/>
      <c r="G30" s="207"/>
      <c r="H30" s="207"/>
      <c r="I30" s="208"/>
    </row>
    <row r="31" spans="3:9" x14ac:dyDescent="0.2">
      <c r="C31" s="8"/>
      <c r="D31" s="153"/>
      <c r="E31" s="153"/>
      <c r="F31" s="153"/>
      <c r="G31" s="153"/>
      <c r="H31" s="153"/>
      <c r="I31" s="153"/>
    </row>
    <row r="32" spans="3:9" x14ac:dyDescent="0.2"/>
    <row r="33" spans="1:26" x14ac:dyDescent="0.2"/>
    <row r="34" spans="1:26" ht="16.5" thickBot="1" x14ac:dyDescent="0.25">
      <c r="A34" s="16" t="s">
        <v>11</v>
      </c>
      <c r="B34" s="4">
        <f ca="1">MAX(B$2:B32)+0.1</f>
        <v>8.1999999999999993</v>
      </c>
      <c r="C34" s="5" t="s">
        <v>359</v>
      </c>
      <c r="D34" s="5"/>
      <c r="E34" s="5"/>
      <c r="F34" s="5"/>
      <c r="G34" s="5"/>
      <c r="H34" s="5"/>
      <c r="I34" s="5"/>
      <c r="J34" s="5"/>
      <c r="K34" s="5"/>
      <c r="L34" s="5"/>
      <c r="M34" s="5"/>
      <c r="N34" s="5"/>
      <c r="O34" s="5"/>
      <c r="P34" s="5"/>
      <c r="Q34" s="5"/>
      <c r="R34" s="5"/>
      <c r="S34" s="5"/>
      <c r="T34" s="5"/>
      <c r="U34" s="5"/>
      <c r="V34" s="5"/>
      <c r="W34" s="5"/>
      <c r="X34" s="5"/>
      <c r="Y34" s="5"/>
      <c r="Z34" s="5"/>
    </row>
    <row r="35" spans="1:26" x14ac:dyDescent="0.2"/>
    <row r="36" spans="1:26" ht="12.75" customHeight="1" x14ac:dyDescent="0.2">
      <c r="C36" s="187" t="s">
        <v>352</v>
      </c>
    </row>
    <row r="37" spans="1:26" ht="18" customHeight="1" x14ac:dyDescent="0.2">
      <c r="C37" s="214"/>
      <c r="D37" t="s">
        <v>345</v>
      </c>
      <c r="E37" t="s">
        <v>345</v>
      </c>
      <c r="F37" t="s">
        <v>345</v>
      </c>
      <c r="G37" t="s">
        <v>345</v>
      </c>
      <c r="H37" t="s">
        <v>367</v>
      </c>
      <c r="I37" t="s">
        <v>27</v>
      </c>
    </row>
    <row r="38" spans="1:26" ht="15" x14ac:dyDescent="0.2">
      <c r="C38" s="17" t="s">
        <v>422</v>
      </c>
      <c r="D38" s="17" t="s">
        <v>346</v>
      </c>
      <c r="E38" s="17" t="s">
        <v>347</v>
      </c>
      <c r="F38" s="17" t="s">
        <v>348</v>
      </c>
      <c r="G38" s="150" t="s">
        <v>349</v>
      </c>
      <c r="H38" s="151" t="s">
        <v>350</v>
      </c>
      <c r="I38" s="150" t="s">
        <v>351</v>
      </c>
    </row>
    <row r="39" spans="1:26" x14ac:dyDescent="0.2">
      <c r="C39" s="14" t="s">
        <v>353</v>
      </c>
      <c r="D39" s="45">
        <f>ROUND(D77-D40-D41-D42-D43-D44,2)</f>
        <v>-207387.05</v>
      </c>
      <c r="E39" s="45">
        <f t="shared" ref="E39:I39" si="0">ROUND(E77-E40-E41-E42-E43-E44,2)</f>
        <v>1920797.97</v>
      </c>
      <c r="F39" s="45">
        <f t="shared" si="0"/>
        <v>-1934202.77</v>
      </c>
      <c r="G39" s="45">
        <f t="shared" si="0"/>
        <v>166986.96</v>
      </c>
      <c r="H39" s="45">
        <f t="shared" si="0"/>
        <v>254109.75</v>
      </c>
      <c r="I39" s="45">
        <f t="shared" si="0"/>
        <v>631503.1</v>
      </c>
    </row>
    <row r="40" spans="1:26" x14ac:dyDescent="0.2">
      <c r="C40" s="14" t="s">
        <v>33</v>
      </c>
      <c r="D40" s="45">
        <v>3357747.7100000004</v>
      </c>
      <c r="E40" s="45">
        <v>3312801.6</v>
      </c>
      <c r="F40" s="45">
        <v>3422532.14</v>
      </c>
      <c r="G40" s="45">
        <v>3705257.67</v>
      </c>
      <c r="H40" s="45">
        <v>3704280.64</v>
      </c>
      <c r="I40" s="45">
        <v>3013784</v>
      </c>
    </row>
    <row r="41" spans="1:26" x14ac:dyDescent="0.2">
      <c r="C41" s="14" t="s">
        <v>42</v>
      </c>
      <c r="D41" s="45">
        <v>0</v>
      </c>
      <c r="E41" s="45">
        <v>313564.36</v>
      </c>
      <c r="F41" s="45">
        <v>222255.66</v>
      </c>
      <c r="G41" s="45">
        <v>210834.72999999998</v>
      </c>
      <c r="H41" s="45">
        <v>236033.16999999998</v>
      </c>
      <c r="I41" s="45">
        <v>243114</v>
      </c>
    </row>
    <row r="42" spans="1:26" x14ac:dyDescent="0.2">
      <c r="C42" s="14" t="s">
        <v>41</v>
      </c>
      <c r="D42" s="45">
        <v>0</v>
      </c>
      <c r="E42" s="45">
        <v>0</v>
      </c>
      <c r="F42" s="45">
        <v>-1</v>
      </c>
      <c r="G42" s="45">
        <v>-2</v>
      </c>
      <c r="H42" s="45">
        <v>-4</v>
      </c>
      <c r="I42" s="45">
        <v>0</v>
      </c>
    </row>
    <row r="43" spans="1:26" x14ac:dyDescent="0.2">
      <c r="C43" s="14" t="s">
        <v>113</v>
      </c>
      <c r="D43" s="45">
        <v>10000</v>
      </c>
      <c r="E43" s="45">
        <v>0</v>
      </c>
      <c r="F43" s="45">
        <v>0</v>
      </c>
      <c r="G43" s="45">
        <v>0</v>
      </c>
      <c r="H43" s="45">
        <v>0</v>
      </c>
      <c r="I43" s="45">
        <v>0</v>
      </c>
    </row>
    <row r="44" spans="1:26" x14ac:dyDescent="0.2">
      <c r="C44" s="14" t="s">
        <v>123</v>
      </c>
      <c r="D44" s="45">
        <v>24844.35</v>
      </c>
      <c r="E44" s="45">
        <v>0</v>
      </c>
      <c r="F44" s="45">
        <v>1</v>
      </c>
      <c r="G44" s="45">
        <v>-107.18000000016764</v>
      </c>
      <c r="H44" s="45">
        <v>1209.1800000001676</v>
      </c>
      <c r="I44" s="45">
        <v>0</v>
      </c>
    </row>
    <row r="45" spans="1:26" ht="15" x14ac:dyDescent="0.2">
      <c r="C45" s="77" t="s">
        <v>117</v>
      </c>
      <c r="D45" s="77">
        <f>+SUM(D39:D44)</f>
        <v>3185205.0100000007</v>
      </c>
      <c r="E45" s="77">
        <f t="shared" ref="E45" si="1">+SUM(E39:E44)</f>
        <v>5547163.9300000006</v>
      </c>
      <c r="F45" s="77">
        <f t="shared" ref="F45" si="2">+SUM(F39:F44)</f>
        <v>1710585.03</v>
      </c>
      <c r="G45" s="77">
        <f t="shared" ref="G45" si="3">+SUM(G39:G44)</f>
        <v>4082970.1799999997</v>
      </c>
      <c r="H45" s="77">
        <f t="shared" ref="H45" si="4">+SUM(H39:H44)</f>
        <v>4195628.74</v>
      </c>
      <c r="I45" s="77">
        <f t="shared" ref="I45" si="5">+SUM(I39:I44)</f>
        <v>3888401.1</v>
      </c>
    </row>
    <row r="46" spans="1:26" ht="15" x14ac:dyDescent="0.2">
      <c r="C46" s="77"/>
      <c r="D46" s="77"/>
      <c r="E46" s="77"/>
      <c r="F46" s="77"/>
      <c r="G46" s="77"/>
      <c r="H46" s="77"/>
      <c r="I46" s="77"/>
    </row>
    <row r="47" spans="1:26" x14ac:dyDescent="0.2"/>
    <row r="48" spans="1:26" x14ac:dyDescent="0.2"/>
    <row r="49" spans="1:26" ht="16.5" thickBot="1" x14ac:dyDescent="0.25">
      <c r="A49" s="16" t="s">
        <v>11</v>
      </c>
      <c r="B49" s="4">
        <f ca="1">MAX(B$2:B48)+0.1</f>
        <v>8.2999999999999989</v>
      </c>
      <c r="C49" s="5" t="s">
        <v>344</v>
      </c>
      <c r="D49" s="5"/>
      <c r="E49" s="5"/>
      <c r="F49" s="5"/>
      <c r="G49" s="5"/>
      <c r="H49" s="5"/>
      <c r="I49" s="5"/>
      <c r="J49" s="5"/>
      <c r="K49" s="5"/>
      <c r="L49" s="5"/>
      <c r="M49" s="5"/>
      <c r="N49" s="5"/>
      <c r="O49" s="5"/>
      <c r="P49" s="5"/>
      <c r="Q49" s="5"/>
      <c r="R49" s="5"/>
      <c r="S49" s="5"/>
      <c r="T49" s="5"/>
      <c r="U49" s="5"/>
      <c r="V49" s="5"/>
      <c r="W49" s="5"/>
      <c r="X49" s="5"/>
      <c r="Y49" s="5"/>
      <c r="Z49" s="5"/>
    </row>
    <row r="50" spans="1:26" x14ac:dyDescent="0.2"/>
    <row r="51" spans="1:26" ht="15" x14ac:dyDescent="0.2">
      <c r="C51" s="13" t="s">
        <v>121</v>
      </c>
      <c r="D51" t="str">
        <f t="shared" ref="D51:I51" si="6">+D$37</f>
        <v>Actuals</v>
      </c>
      <c r="E51" t="str">
        <f t="shared" si="6"/>
        <v>Actuals</v>
      </c>
      <c r="F51" t="str">
        <f t="shared" si="6"/>
        <v>Actuals</v>
      </c>
      <c r="G51" t="str">
        <f t="shared" si="6"/>
        <v>Actuals</v>
      </c>
      <c r="H51" t="str">
        <f t="shared" si="6"/>
        <v>Forecast Actuals</v>
      </c>
      <c r="I51" t="str">
        <f t="shared" si="6"/>
        <v>Budget</v>
      </c>
    </row>
    <row r="52" spans="1:26" ht="15" x14ac:dyDescent="0.2">
      <c r="C52" s="17" t="s">
        <v>342</v>
      </c>
      <c r="D52" s="17" t="s">
        <v>346</v>
      </c>
      <c r="E52" s="17" t="s">
        <v>347</v>
      </c>
      <c r="F52" s="17" t="s">
        <v>348</v>
      </c>
      <c r="G52" s="150" t="s">
        <v>349</v>
      </c>
      <c r="H52" s="151" t="s">
        <v>350</v>
      </c>
      <c r="I52" s="150" t="s">
        <v>351</v>
      </c>
    </row>
    <row r="53" spans="1:26" x14ac:dyDescent="0.2">
      <c r="C53" s="14" t="str">
        <f t="shared" ref="C53:C63" si="7">IF(ISBLANK(C8),"",C8)</f>
        <v>Kerbside bin collection</v>
      </c>
      <c r="D53" s="45">
        <v>2101328.4</v>
      </c>
      <c r="E53" s="45">
        <v>2421128.35</v>
      </c>
      <c r="F53" s="45">
        <v>2593672.35</v>
      </c>
      <c r="G53" s="45">
        <v>2742401.43</v>
      </c>
      <c r="H53" s="45">
        <v>2639761.79</v>
      </c>
      <c r="I53" s="45">
        <v>2718954.64</v>
      </c>
    </row>
    <row r="54" spans="1:26" x14ac:dyDescent="0.2">
      <c r="C54" s="14" t="str">
        <f t="shared" si="7"/>
        <v>Public bins and other collections</v>
      </c>
      <c r="D54" s="45">
        <v>162038.89000000001</v>
      </c>
      <c r="E54" s="45">
        <v>106476</v>
      </c>
      <c r="F54" s="45">
        <v>118538</v>
      </c>
      <c r="G54" s="45">
        <v>87958</v>
      </c>
      <c r="H54" s="45">
        <v>87960</v>
      </c>
      <c r="I54" s="45">
        <v>90598.8</v>
      </c>
    </row>
    <row r="55" spans="1:26" x14ac:dyDescent="0.2">
      <c r="C55" s="14" t="str">
        <f t="shared" si="7"/>
        <v>Street sweeping</v>
      </c>
      <c r="D55" s="45">
        <v>59228.41</v>
      </c>
      <c r="E55" s="45">
        <v>60709.13</v>
      </c>
      <c r="F55" s="45">
        <v>62226.86</v>
      </c>
      <c r="G55" s="45">
        <v>63782.53</v>
      </c>
      <c r="H55" s="45">
        <v>65377.09</v>
      </c>
      <c r="I55" s="45">
        <v>67011.520000000004</v>
      </c>
    </row>
    <row r="56" spans="1:26" x14ac:dyDescent="0.2">
      <c r="C56" s="14" t="str">
        <f t="shared" si="7"/>
        <v>Hard waste collection</v>
      </c>
      <c r="D56" s="45">
        <v>17847.419999999998</v>
      </c>
      <c r="E56" s="45">
        <v>8830.92</v>
      </c>
      <c r="F56" s="45">
        <v>4865.96</v>
      </c>
      <c r="G56" s="45">
        <v>0</v>
      </c>
      <c r="H56" s="45">
        <v>0</v>
      </c>
      <c r="I56" s="45">
        <v>0</v>
      </c>
    </row>
    <row r="57" spans="1:26" x14ac:dyDescent="0.2">
      <c r="C57" s="14" t="str">
        <f t="shared" si="7"/>
        <v>Regional waste group costs</v>
      </c>
      <c r="D57" s="45">
        <v>26742.6</v>
      </c>
      <c r="E57" s="45">
        <v>16749.599999999999</v>
      </c>
      <c r="F57" s="45">
        <v>0</v>
      </c>
      <c r="G57" s="45">
        <v>0</v>
      </c>
      <c r="H57" s="45">
        <v>0</v>
      </c>
      <c r="I57" s="45">
        <v>0</v>
      </c>
    </row>
    <row r="58" spans="1:26" x14ac:dyDescent="0.2">
      <c r="C58" s="14" t="str">
        <f t="shared" si="7"/>
        <v>Landfills</v>
      </c>
      <c r="D58" s="45">
        <v>0</v>
      </c>
      <c r="E58" s="45">
        <v>2138152</v>
      </c>
      <c r="F58" s="45">
        <v>-2062750</v>
      </c>
      <c r="G58" s="45">
        <v>224910</v>
      </c>
      <c r="H58" s="45">
        <v>174516</v>
      </c>
      <c r="I58" s="45">
        <v>100000</v>
      </c>
    </row>
    <row r="59" spans="1:26" x14ac:dyDescent="0.2">
      <c r="C59" s="14" t="str">
        <f>IF(ISBLANK(C14),"",C14)</f>
        <v>Transfer stations</v>
      </c>
      <c r="D59" s="45">
        <v>489866.35</v>
      </c>
      <c r="E59" s="45">
        <v>336841.41000000015</v>
      </c>
      <c r="F59" s="45">
        <v>459894.73</v>
      </c>
      <c r="G59" s="45">
        <v>405189.1</v>
      </c>
      <c r="H59" s="45">
        <v>634261.43000000005</v>
      </c>
      <c r="I59" s="45">
        <v>653289.27</v>
      </c>
    </row>
    <row r="60" spans="1:26" x14ac:dyDescent="0.2">
      <c r="C60" s="14" t="str">
        <f>IF(ISBLANK(C15),"",C15)</f>
        <v>Management overhead</v>
      </c>
      <c r="D60" s="45">
        <v>0</v>
      </c>
      <c r="E60" s="45">
        <v>161627.04999999999</v>
      </c>
      <c r="F60" s="45">
        <v>208602</v>
      </c>
      <c r="G60" s="45">
        <v>227140.29</v>
      </c>
      <c r="H60" s="45">
        <v>249319.29</v>
      </c>
      <c r="I60" s="45">
        <v>256798.87</v>
      </c>
    </row>
    <row r="61" spans="1:26" x14ac:dyDescent="0.2">
      <c r="C61" s="14" t="str">
        <f t="shared" si="7"/>
        <v>Corporate overhead</v>
      </c>
      <c r="D61" s="45">
        <f>(D53+D54+D55+D56+D57+D59+D63)*0.1</f>
        <v>289424.31900000008</v>
      </c>
      <c r="E61" s="45">
        <f t="shared" ref="E61:H61" si="8">(E53+E54+E55+E56+E57+E59+E63)*0.1</f>
        <v>295073.54100000003</v>
      </c>
      <c r="F61" s="45">
        <f t="shared" si="8"/>
        <v>323919.79000000004</v>
      </c>
      <c r="G61" s="45">
        <f t="shared" si="8"/>
        <v>329933.10600000003</v>
      </c>
      <c r="H61" s="45">
        <f t="shared" si="8"/>
        <v>342736.03100000002</v>
      </c>
      <c r="I61" s="45"/>
    </row>
    <row r="62" spans="1:26" x14ac:dyDescent="0.2">
      <c r="C62" s="14" t="str">
        <f t="shared" si="7"/>
        <v>Event waste management</v>
      </c>
      <c r="D62" s="45">
        <v>1537.4999999999998</v>
      </c>
      <c r="E62" s="45">
        <v>1575.93</v>
      </c>
      <c r="F62" s="45">
        <v>1615.3359374999993</v>
      </c>
      <c r="G62" s="45">
        <v>1655.7193359374992</v>
      </c>
      <c r="H62" s="45">
        <v>1697.1123193359365</v>
      </c>
      <c r="I62" s="45">
        <v>1748</v>
      </c>
    </row>
    <row r="63" spans="1:26" x14ac:dyDescent="0.2">
      <c r="C63" s="14" t="str">
        <f t="shared" si="7"/>
        <v>Other</v>
      </c>
      <c r="D63" s="45">
        <v>37191.120000000003</v>
      </c>
      <c r="E63" s="45">
        <v>0</v>
      </c>
      <c r="F63" s="45">
        <v>0</v>
      </c>
      <c r="G63" s="45">
        <v>0</v>
      </c>
      <c r="H63" s="45">
        <v>0</v>
      </c>
      <c r="I63" s="45">
        <v>0</v>
      </c>
    </row>
    <row r="64" spans="1:26" x14ac:dyDescent="0.2">
      <c r="C64" s="14" t="str">
        <f t="shared" ref="C64:C76" si="9">IF(ISBLANK(C19),"",C19)</f>
        <v/>
      </c>
      <c r="D64" s="45"/>
      <c r="E64" s="45"/>
      <c r="F64" s="45"/>
      <c r="G64" s="45"/>
      <c r="H64" s="45"/>
      <c r="I64" s="45"/>
    </row>
    <row r="65" spans="3:9" x14ac:dyDescent="0.2">
      <c r="C65" s="14" t="str">
        <f t="shared" si="9"/>
        <v/>
      </c>
      <c r="D65" s="45"/>
      <c r="E65" s="45"/>
      <c r="F65" s="45"/>
      <c r="G65" s="45"/>
      <c r="H65" s="45"/>
      <c r="I65" s="45"/>
    </row>
    <row r="66" spans="3:9" x14ac:dyDescent="0.2">
      <c r="C66" s="14" t="str">
        <f>IF(ISBLANK(C21),"",C21)</f>
        <v/>
      </c>
      <c r="D66" s="45"/>
      <c r="E66" s="45"/>
      <c r="F66" s="45"/>
      <c r="G66" s="45"/>
      <c r="H66" s="45"/>
      <c r="I66" s="45"/>
    </row>
    <row r="67" spans="3:9" x14ac:dyDescent="0.2">
      <c r="C67" s="14" t="str">
        <f>IF(ISBLANK(C22),"",C22)</f>
        <v/>
      </c>
      <c r="D67" s="45"/>
      <c r="E67" s="45"/>
      <c r="F67" s="45"/>
      <c r="G67" s="45"/>
      <c r="H67" s="45"/>
      <c r="I67" s="45"/>
    </row>
    <row r="68" spans="3:9" x14ac:dyDescent="0.2">
      <c r="C68" s="14" t="str">
        <f>IF(ISBLANK(C23),"",C23)</f>
        <v/>
      </c>
      <c r="D68" s="45"/>
      <c r="E68" s="45"/>
      <c r="F68" s="45"/>
      <c r="G68" s="45"/>
      <c r="H68" s="45"/>
      <c r="I68" s="45"/>
    </row>
    <row r="69" spans="3:9" x14ac:dyDescent="0.2">
      <c r="C69" s="14" t="str">
        <f t="shared" si="9"/>
        <v/>
      </c>
      <c r="D69" s="45"/>
      <c r="E69" s="45"/>
      <c r="F69" s="45"/>
      <c r="G69" s="45"/>
      <c r="H69" s="45"/>
      <c r="I69" s="45"/>
    </row>
    <row r="70" spans="3:9" x14ac:dyDescent="0.2">
      <c r="C70" s="14" t="str">
        <f t="shared" si="9"/>
        <v/>
      </c>
      <c r="D70" s="45"/>
      <c r="E70" s="45"/>
      <c r="F70" s="45"/>
      <c r="G70" s="45"/>
      <c r="H70" s="45"/>
      <c r="I70" s="45"/>
    </row>
    <row r="71" spans="3:9" x14ac:dyDescent="0.2">
      <c r="C71" s="14" t="str">
        <f t="shared" si="9"/>
        <v/>
      </c>
      <c r="D71" s="45"/>
      <c r="E71" s="45"/>
      <c r="F71" s="45"/>
      <c r="G71" s="45"/>
      <c r="H71" s="45"/>
      <c r="I71" s="45"/>
    </row>
    <row r="72" spans="3:9" x14ac:dyDescent="0.2">
      <c r="C72" s="14" t="str">
        <f t="shared" si="9"/>
        <v/>
      </c>
      <c r="D72" s="45"/>
      <c r="E72" s="45"/>
      <c r="F72" s="45"/>
      <c r="G72" s="45"/>
      <c r="H72" s="45"/>
      <c r="I72" s="45"/>
    </row>
    <row r="73" spans="3:9" x14ac:dyDescent="0.2">
      <c r="C73" s="14" t="str">
        <f t="shared" si="9"/>
        <v/>
      </c>
      <c r="D73" s="45"/>
      <c r="E73" s="45"/>
      <c r="F73" s="45"/>
      <c r="G73" s="45"/>
      <c r="H73" s="45"/>
      <c r="I73" s="45"/>
    </row>
    <row r="74" spans="3:9" x14ac:dyDescent="0.2">
      <c r="C74" s="14" t="str">
        <f t="shared" si="9"/>
        <v/>
      </c>
      <c r="D74" s="45"/>
      <c r="E74" s="45"/>
      <c r="F74" s="45"/>
      <c r="G74" s="45"/>
      <c r="H74" s="45"/>
      <c r="I74" s="45"/>
    </row>
    <row r="75" spans="3:9" x14ac:dyDescent="0.2">
      <c r="C75" s="14" t="str">
        <f t="shared" si="9"/>
        <v/>
      </c>
      <c r="D75" s="45"/>
      <c r="E75" s="45"/>
      <c r="F75" s="45"/>
      <c r="G75" s="45"/>
      <c r="H75" s="45"/>
      <c r="I75" s="45"/>
    </row>
    <row r="76" spans="3:9" x14ac:dyDescent="0.2">
      <c r="C76" s="14" t="str">
        <f t="shared" si="9"/>
        <v/>
      </c>
      <c r="D76" s="45"/>
      <c r="E76" s="45"/>
      <c r="F76" s="45"/>
      <c r="G76" s="45"/>
      <c r="H76" s="45"/>
      <c r="I76" s="45"/>
    </row>
    <row r="77" spans="3:9" ht="15" x14ac:dyDescent="0.2">
      <c r="C77" s="77" t="s">
        <v>117</v>
      </c>
      <c r="D77" s="77">
        <f t="shared" ref="D77:I77" si="10">+SUM(D53:D76)</f>
        <v>3185205.0090000005</v>
      </c>
      <c r="E77" s="77">
        <f t="shared" si="10"/>
        <v>5547163.9309999999</v>
      </c>
      <c r="F77" s="77">
        <f t="shared" si="10"/>
        <v>1710585.0259374999</v>
      </c>
      <c r="G77" s="77">
        <f t="shared" si="10"/>
        <v>4082970.1753359376</v>
      </c>
      <c r="H77" s="77">
        <f t="shared" si="10"/>
        <v>4195628.7433193363</v>
      </c>
      <c r="I77" s="77">
        <f t="shared" si="10"/>
        <v>3888401.1</v>
      </c>
    </row>
    <row r="78" spans="3:9" x14ac:dyDescent="0.2"/>
    <row r="79" spans="3:9" ht="15" x14ac:dyDescent="0.2">
      <c r="C79" s="13" t="s">
        <v>106</v>
      </c>
      <c r="D79" t="str">
        <f t="shared" ref="D79:I79" si="11">+D$37</f>
        <v>Actuals</v>
      </c>
      <c r="E79" t="str">
        <f t="shared" si="11"/>
        <v>Actuals</v>
      </c>
      <c r="F79" t="str">
        <f t="shared" si="11"/>
        <v>Actuals</v>
      </c>
      <c r="G79" t="str">
        <f t="shared" si="11"/>
        <v>Actuals</v>
      </c>
      <c r="H79" t="str">
        <f t="shared" si="11"/>
        <v>Forecast Actuals</v>
      </c>
      <c r="I79" t="str">
        <f t="shared" si="11"/>
        <v>Budget</v>
      </c>
    </row>
    <row r="80" spans="3:9" ht="15" x14ac:dyDescent="0.2">
      <c r="C80" s="17" t="s">
        <v>342</v>
      </c>
      <c r="D80" s="17" t="s">
        <v>346</v>
      </c>
      <c r="E80" s="17" t="s">
        <v>347</v>
      </c>
      <c r="F80" s="17" t="s">
        <v>348</v>
      </c>
      <c r="G80" s="150" t="s">
        <v>349</v>
      </c>
      <c r="H80" s="151" t="s">
        <v>350</v>
      </c>
      <c r="I80" s="150" t="s">
        <v>351</v>
      </c>
    </row>
    <row r="81" spans="3:9" x14ac:dyDescent="0.2">
      <c r="C81" s="14" t="str">
        <f t="shared" ref="C81:C91" si="12">+IF(ISBLANK(C53),"",C53)</f>
        <v>Kerbside bin collection</v>
      </c>
      <c r="D81" s="45"/>
      <c r="E81" s="45"/>
      <c r="F81" s="45"/>
      <c r="G81" s="45"/>
      <c r="H81" s="45"/>
      <c r="I81" s="45"/>
    </row>
    <row r="82" spans="3:9" x14ac:dyDescent="0.2">
      <c r="C82" s="14" t="str">
        <f t="shared" si="12"/>
        <v>Public bins and other collections</v>
      </c>
      <c r="D82" s="45"/>
      <c r="E82" s="45"/>
      <c r="F82" s="45"/>
      <c r="G82" s="45"/>
      <c r="H82" s="45"/>
      <c r="I82" s="45"/>
    </row>
    <row r="83" spans="3:9" x14ac:dyDescent="0.2">
      <c r="C83" s="14" t="str">
        <f t="shared" si="12"/>
        <v>Street sweeping</v>
      </c>
      <c r="D83" s="45"/>
      <c r="E83" s="45"/>
      <c r="F83" s="45"/>
      <c r="G83" s="45"/>
      <c r="H83" s="45"/>
      <c r="I83" s="45"/>
    </row>
    <row r="84" spans="3:9" x14ac:dyDescent="0.2">
      <c r="C84" s="14" t="str">
        <f t="shared" si="12"/>
        <v>Hard waste collection</v>
      </c>
      <c r="D84" s="45"/>
      <c r="E84" s="45"/>
      <c r="F84" s="45"/>
      <c r="G84" s="45"/>
      <c r="H84" s="45"/>
      <c r="I84" s="45"/>
    </row>
    <row r="85" spans="3:9" x14ac:dyDescent="0.2">
      <c r="C85" s="14" t="str">
        <f t="shared" si="12"/>
        <v>Regional waste group costs</v>
      </c>
      <c r="D85" s="45"/>
      <c r="E85" s="45"/>
      <c r="F85" s="45"/>
      <c r="G85" s="45"/>
      <c r="H85" s="45"/>
      <c r="I85" s="45"/>
    </row>
    <row r="86" spans="3:9" x14ac:dyDescent="0.2">
      <c r="C86" s="14" t="str">
        <f t="shared" si="12"/>
        <v>Landfills</v>
      </c>
      <c r="D86" s="45"/>
      <c r="E86" s="45"/>
      <c r="F86" s="45"/>
      <c r="G86" s="45"/>
      <c r="H86" s="45"/>
      <c r="I86" s="45"/>
    </row>
    <row r="87" spans="3:9" x14ac:dyDescent="0.2">
      <c r="C87" s="14" t="str">
        <f t="shared" si="12"/>
        <v>Transfer stations</v>
      </c>
      <c r="D87" s="45">
        <v>0</v>
      </c>
      <c r="E87" s="45">
        <v>0</v>
      </c>
      <c r="F87" s="45">
        <v>32799</v>
      </c>
      <c r="G87" s="45">
        <v>22820</v>
      </c>
      <c r="H87" s="45">
        <v>26926</v>
      </c>
      <c r="I87" s="45">
        <v>0</v>
      </c>
    </row>
    <row r="88" spans="3:9" x14ac:dyDescent="0.2">
      <c r="C88" s="14" t="str">
        <f t="shared" si="12"/>
        <v>Management overhead</v>
      </c>
      <c r="D88" s="45"/>
      <c r="E88" s="45"/>
      <c r="F88" s="45"/>
      <c r="G88" s="45"/>
      <c r="H88" s="45"/>
      <c r="I88" s="45"/>
    </row>
    <row r="89" spans="3:9" x14ac:dyDescent="0.2">
      <c r="C89" s="14" t="str">
        <f t="shared" si="12"/>
        <v>Corporate overhead</v>
      </c>
      <c r="D89" s="45"/>
      <c r="E89" s="45"/>
      <c r="F89" s="45"/>
      <c r="G89" s="45"/>
      <c r="H89" s="45"/>
      <c r="I89" s="45"/>
    </row>
    <row r="90" spans="3:9" x14ac:dyDescent="0.2">
      <c r="C90" s="14" t="str">
        <f t="shared" si="12"/>
        <v>Event waste management</v>
      </c>
      <c r="D90" s="45"/>
      <c r="E90" s="45"/>
      <c r="F90" s="45"/>
      <c r="G90" s="45"/>
      <c r="H90" s="45"/>
      <c r="I90" s="45"/>
    </row>
    <row r="91" spans="3:9" x14ac:dyDescent="0.2">
      <c r="C91" s="14" t="str">
        <f t="shared" si="12"/>
        <v>Other</v>
      </c>
      <c r="D91" s="45"/>
      <c r="E91" s="45"/>
      <c r="F91" s="45"/>
      <c r="G91" s="45"/>
      <c r="H91" s="45"/>
      <c r="I91" s="45"/>
    </row>
    <row r="92" spans="3:9" x14ac:dyDescent="0.2">
      <c r="C92" s="14" t="str">
        <f t="shared" ref="C92:C104" si="13">+IF(ISBLANK(C64),"",C64)</f>
        <v/>
      </c>
      <c r="D92" s="45"/>
      <c r="E92" s="45"/>
      <c r="F92" s="45"/>
      <c r="G92" s="45"/>
      <c r="H92" s="45"/>
      <c r="I92" s="45"/>
    </row>
    <row r="93" spans="3:9" x14ac:dyDescent="0.2">
      <c r="C93" s="14" t="str">
        <f t="shared" si="13"/>
        <v/>
      </c>
      <c r="D93" s="45"/>
      <c r="E93" s="45"/>
      <c r="F93" s="45"/>
      <c r="G93" s="45"/>
      <c r="H93" s="45"/>
      <c r="I93" s="45"/>
    </row>
    <row r="94" spans="3:9" x14ac:dyDescent="0.2">
      <c r="C94" s="14" t="str">
        <f t="shared" si="13"/>
        <v/>
      </c>
      <c r="D94" s="45"/>
      <c r="E94" s="45"/>
      <c r="F94" s="45"/>
      <c r="G94" s="45"/>
      <c r="H94" s="45"/>
      <c r="I94" s="45"/>
    </row>
    <row r="95" spans="3:9" x14ac:dyDescent="0.2">
      <c r="C95" s="14" t="str">
        <f t="shared" si="13"/>
        <v/>
      </c>
      <c r="D95" s="45"/>
      <c r="E95" s="45"/>
      <c r="F95" s="45"/>
      <c r="G95" s="45"/>
      <c r="H95" s="45"/>
      <c r="I95" s="45"/>
    </row>
    <row r="96" spans="3:9" x14ac:dyDescent="0.2">
      <c r="C96" s="14" t="str">
        <f t="shared" si="13"/>
        <v/>
      </c>
      <c r="D96" s="45"/>
      <c r="E96" s="45"/>
      <c r="F96" s="45"/>
      <c r="G96" s="45"/>
      <c r="H96" s="45"/>
      <c r="I96" s="45"/>
    </row>
    <row r="97" spans="3:9" x14ac:dyDescent="0.2">
      <c r="C97" s="14" t="str">
        <f t="shared" si="13"/>
        <v/>
      </c>
      <c r="D97" s="45"/>
      <c r="E97" s="45"/>
      <c r="F97" s="45"/>
      <c r="G97" s="45"/>
      <c r="H97" s="45"/>
      <c r="I97" s="45"/>
    </row>
    <row r="98" spans="3:9" x14ac:dyDescent="0.2">
      <c r="C98" s="14" t="str">
        <f t="shared" si="13"/>
        <v/>
      </c>
      <c r="D98" s="45"/>
      <c r="E98" s="45"/>
      <c r="F98" s="45"/>
      <c r="G98" s="45"/>
      <c r="H98" s="45"/>
      <c r="I98" s="45"/>
    </row>
    <row r="99" spans="3:9" x14ac:dyDescent="0.2">
      <c r="C99" s="14" t="str">
        <f t="shared" si="13"/>
        <v/>
      </c>
      <c r="D99" s="45"/>
      <c r="E99" s="45"/>
      <c r="F99" s="45"/>
      <c r="G99" s="45"/>
      <c r="H99" s="45"/>
      <c r="I99" s="45"/>
    </row>
    <row r="100" spans="3:9" x14ac:dyDescent="0.2">
      <c r="C100" s="14" t="str">
        <f t="shared" si="13"/>
        <v/>
      </c>
      <c r="D100" s="45"/>
      <c r="E100" s="45"/>
      <c r="F100" s="45"/>
      <c r="G100" s="45"/>
      <c r="H100" s="45"/>
      <c r="I100" s="45"/>
    </row>
    <row r="101" spans="3:9" x14ac:dyDescent="0.2">
      <c r="C101" s="14" t="str">
        <f t="shared" si="13"/>
        <v/>
      </c>
      <c r="D101" s="45"/>
      <c r="E101" s="45"/>
      <c r="F101" s="45"/>
      <c r="G101" s="45"/>
      <c r="H101" s="45"/>
      <c r="I101" s="45"/>
    </row>
    <row r="102" spans="3:9" x14ac:dyDescent="0.2">
      <c r="C102" s="14" t="str">
        <f t="shared" si="13"/>
        <v/>
      </c>
      <c r="D102" s="45"/>
      <c r="E102" s="45"/>
      <c r="F102" s="45"/>
      <c r="G102" s="45"/>
      <c r="H102" s="45"/>
      <c r="I102" s="45"/>
    </row>
    <row r="103" spans="3:9" x14ac:dyDescent="0.2">
      <c r="C103" s="14" t="str">
        <f t="shared" si="13"/>
        <v/>
      </c>
      <c r="D103" s="45"/>
      <c r="E103" s="45"/>
      <c r="F103" s="45"/>
      <c r="G103" s="45"/>
      <c r="H103" s="45"/>
      <c r="I103" s="45"/>
    </row>
    <row r="104" spans="3:9" x14ac:dyDescent="0.2">
      <c r="C104" s="14" t="str">
        <f t="shared" si="13"/>
        <v/>
      </c>
      <c r="D104" s="45"/>
      <c r="E104" s="45"/>
      <c r="F104" s="45"/>
      <c r="G104" s="45"/>
      <c r="H104" s="45"/>
      <c r="I104" s="45"/>
    </row>
    <row r="105" spans="3:9" ht="15" x14ac:dyDescent="0.2">
      <c r="C105" s="77" t="s">
        <v>117</v>
      </c>
      <c r="D105" s="77">
        <f t="shared" ref="D105:I105" si="14">+SUM(D81:D104)</f>
        <v>0</v>
      </c>
      <c r="E105" s="77">
        <f t="shared" si="14"/>
        <v>0</v>
      </c>
      <c r="F105" s="77">
        <f t="shared" si="14"/>
        <v>32799</v>
      </c>
      <c r="G105" s="77">
        <f t="shared" si="14"/>
        <v>22820</v>
      </c>
      <c r="H105" s="77">
        <f t="shared" si="14"/>
        <v>26926</v>
      </c>
      <c r="I105" s="77">
        <f t="shared" si="14"/>
        <v>0</v>
      </c>
    </row>
    <row r="106" spans="3:9" x14ac:dyDescent="0.2"/>
    <row r="107" spans="3:9" ht="15" x14ac:dyDescent="0.2">
      <c r="C107" s="13" t="s">
        <v>117</v>
      </c>
      <c r="D107" t="str">
        <f t="shared" ref="D107:I107" si="15">+D$37</f>
        <v>Actuals</v>
      </c>
      <c r="E107" t="str">
        <f t="shared" si="15"/>
        <v>Actuals</v>
      </c>
      <c r="F107" t="str">
        <f t="shared" si="15"/>
        <v>Actuals</v>
      </c>
      <c r="G107" t="str">
        <f t="shared" si="15"/>
        <v>Actuals</v>
      </c>
      <c r="H107" t="str">
        <f t="shared" si="15"/>
        <v>Forecast Actuals</v>
      </c>
      <c r="I107" t="str">
        <f t="shared" si="15"/>
        <v>Budget</v>
      </c>
    </row>
    <row r="108" spans="3:9" ht="15" x14ac:dyDescent="0.2">
      <c r="C108" s="17" t="s">
        <v>342</v>
      </c>
      <c r="D108" s="17" t="s">
        <v>346</v>
      </c>
      <c r="E108" s="17" t="s">
        <v>347</v>
      </c>
      <c r="F108" s="17" t="s">
        <v>348</v>
      </c>
      <c r="G108" s="150" t="s">
        <v>349</v>
      </c>
      <c r="H108" s="151" t="s">
        <v>350</v>
      </c>
      <c r="I108" s="150" t="s">
        <v>351</v>
      </c>
    </row>
    <row r="109" spans="3:9" x14ac:dyDescent="0.2">
      <c r="C109" s="14" t="str">
        <f t="shared" ref="C109:C119" si="16">+IF(ISBLANK(C81),"",C81)</f>
        <v>Kerbside bin collection</v>
      </c>
      <c r="D109" s="152">
        <f t="shared" ref="D109:I119" si="17">D53+D81</f>
        <v>2101328.4</v>
      </c>
      <c r="E109" s="152">
        <f t="shared" si="17"/>
        <v>2421128.35</v>
      </c>
      <c r="F109" s="152">
        <f t="shared" si="17"/>
        <v>2593672.35</v>
      </c>
      <c r="G109" s="152">
        <f t="shared" si="17"/>
        <v>2742401.43</v>
      </c>
      <c r="H109" s="152">
        <f t="shared" si="17"/>
        <v>2639761.79</v>
      </c>
      <c r="I109" s="152">
        <f t="shared" si="17"/>
        <v>2718954.64</v>
      </c>
    </row>
    <row r="110" spans="3:9" x14ac:dyDescent="0.2">
      <c r="C110" s="14" t="str">
        <f t="shared" si="16"/>
        <v>Public bins and other collections</v>
      </c>
      <c r="D110" s="152">
        <f t="shared" si="17"/>
        <v>162038.89000000001</v>
      </c>
      <c r="E110" s="152">
        <f t="shared" si="17"/>
        <v>106476</v>
      </c>
      <c r="F110" s="152">
        <f t="shared" si="17"/>
        <v>118538</v>
      </c>
      <c r="G110" s="152">
        <f t="shared" si="17"/>
        <v>87958</v>
      </c>
      <c r="H110" s="152">
        <f t="shared" si="17"/>
        <v>87960</v>
      </c>
      <c r="I110" s="152">
        <f t="shared" si="17"/>
        <v>90598.8</v>
      </c>
    </row>
    <row r="111" spans="3:9" x14ac:dyDescent="0.2">
      <c r="C111" s="14" t="str">
        <f t="shared" si="16"/>
        <v>Street sweeping</v>
      </c>
      <c r="D111" s="152">
        <f t="shared" si="17"/>
        <v>59228.41</v>
      </c>
      <c r="E111" s="152">
        <f t="shared" si="17"/>
        <v>60709.13</v>
      </c>
      <c r="F111" s="152">
        <f t="shared" si="17"/>
        <v>62226.86</v>
      </c>
      <c r="G111" s="152">
        <f t="shared" si="17"/>
        <v>63782.53</v>
      </c>
      <c r="H111" s="152">
        <f t="shared" si="17"/>
        <v>65377.09</v>
      </c>
      <c r="I111" s="152">
        <f t="shared" si="17"/>
        <v>67011.520000000004</v>
      </c>
    </row>
    <row r="112" spans="3:9" x14ac:dyDescent="0.2">
      <c r="C112" s="14" t="str">
        <f t="shared" si="16"/>
        <v>Hard waste collection</v>
      </c>
      <c r="D112" s="152">
        <f t="shared" si="17"/>
        <v>17847.419999999998</v>
      </c>
      <c r="E112" s="152">
        <f t="shared" si="17"/>
        <v>8830.92</v>
      </c>
      <c r="F112" s="152">
        <f t="shared" si="17"/>
        <v>4865.96</v>
      </c>
      <c r="G112" s="152">
        <f t="shared" si="17"/>
        <v>0</v>
      </c>
      <c r="H112" s="152">
        <f t="shared" si="17"/>
        <v>0</v>
      </c>
      <c r="I112" s="152">
        <f t="shared" si="17"/>
        <v>0</v>
      </c>
    </row>
    <row r="113" spans="3:9" x14ac:dyDescent="0.2">
      <c r="C113" s="14" t="str">
        <f t="shared" si="16"/>
        <v>Regional waste group costs</v>
      </c>
      <c r="D113" s="152">
        <f>D57+D85</f>
        <v>26742.6</v>
      </c>
      <c r="E113" s="152">
        <f t="shared" si="17"/>
        <v>16749.599999999999</v>
      </c>
      <c r="F113" s="152">
        <f t="shared" si="17"/>
        <v>0</v>
      </c>
      <c r="G113" s="152">
        <f t="shared" si="17"/>
        <v>0</v>
      </c>
      <c r="H113" s="152">
        <f t="shared" si="17"/>
        <v>0</v>
      </c>
      <c r="I113" s="152">
        <f t="shared" si="17"/>
        <v>0</v>
      </c>
    </row>
    <row r="114" spans="3:9" x14ac:dyDescent="0.2">
      <c r="C114" s="14" t="str">
        <f t="shared" si="16"/>
        <v>Landfills</v>
      </c>
      <c r="D114" s="152">
        <f>D58+D86</f>
        <v>0</v>
      </c>
      <c r="E114" s="152">
        <f t="shared" si="17"/>
        <v>2138152</v>
      </c>
      <c r="F114" s="152">
        <f t="shared" si="17"/>
        <v>-2062750</v>
      </c>
      <c r="G114" s="152">
        <f t="shared" si="17"/>
        <v>224910</v>
      </c>
      <c r="H114" s="152">
        <f t="shared" si="17"/>
        <v>174516</v>
      </c>
      <c r="I114" s="152">
        <f t="shared" si="17"/>
        <v>100000</v>
      </c>
    </row>
    <row r="115" spans="3:9" x14ac:dyDescent="0.2">
      <c r="C115" s="14" t="str">
        <f t="shared" si="16"/>
        <v>Transfer stations</v>
      </c>
      <c r="D115" s="152">
        <f t="shared" si="17"/>
        <v>489866.35</v>
      </c>
      <c r="E115" s="152">
        <f t="shared" si="17"/>
        <v>336841.41000000015</v>
      </c>
      <c r="F115" s="152">
        <f t="shared" si="17"/>
        <v>492693.73</v>
      </c>
      <c r="G115" s="152">
        <f t="shared" si="17"/>
        <v>428009.1</v>
      </c>
      <c r="H115" s="152">
        <f t="shared" si="17"/>
        <v>661187.43000000005</v>
      </c>
      <c r="I115" s="152">
        <f t="shared" si="17"/>
        <v>653289.27</v>
      </c>
    </row>
    <row r="116" spans="3:9" x14ac:dyDescent="0.2">
      <c r="C116" s="14" t="str">
        <f t="shared" si="16"/>
        <v>Management overhead</v>
      </c>
      <c r="D116" s="152">
        <f t="shared" si="17"/>
        <v>0</v>
      </c>
      <c r="E116" s="152">
        <f t="shared" si="17"/>
        <v>161627.04999999999</v>
      </c>
      <c r="F116" s="152">
        <f t="shared" si="17"/>
        <v>208602</v>
      </c>
      <c r="G116" s="152">
        <f t="shared" si="17"/>
        <v>227140.29</v>
      </c>
      <c r="H116" s="152">
        <f t="shared" si="17"/>
        <v>249319.29</v>
      </c>
      <c r="I116" s="152">
        <f t="shared" si="17"/>
        <v>256798.87</v>
      </c>
    </row>
    <row r="117" spans="3:9" x14ac:dyDescent="0.2">
      <c r="C117" s="14" t="str">
        <f t="shared" si="16"/>
        <v>Corporate overhead</v>
      </c>
      <c r="D117" s="152">
        <f t="shared" si="17"/>
        <v>289424.31900000008</v>
      </c>
      <c r="E117" s="152">
        <f t="shared" si="17"/>
        <v>295073.54100000003</v>
      </c>
      <c r="F117" s="152">
        <f t="shared" si="17"/>
        <v>323919.79000000004</v>
      </c>
      <c r="G117" s="152">
        <f t="shared" si="17"/>
        <v>329933.10600000003</v>
      </c>
      <c r="H117" s="152">
        <f t="shared" si="17"/>
        <v>342736.03100000002</v>
      </c>
      <c r="I117" s="152">
        <f t="shared" si="17"/>
        <v>0</v>
      </c>
    </row>
    <row r="118" spans="3:9" x14ac:dyDescent="0.2">
      <c r="C118" s="14" t="str">
        <f t="shared" si="16"/>
        <v>Event waste management</v>
      </c>
      <c r="D118" s="152">
        <f t="shared" si="17"/>
        <v>1537.4999999999998</v>
      </c>
      <c r="E118" s="152">
        <f t="shared" si="17"/>
        <v>1575.93</v>
      </c>
      <c r="F118" s="152">
        <f t="shared" si="17"/>
        <v>1615.3359374999993</v>
      </c>
      <c r="G118" s="152">
        <f t="shared" si="17"/>
        <v>1655.7193359374992</v>
      </c>
      <c r="H118" s="152">
        <f t="shared" si="17"/>
        <v>1697.1123193359365</v>
      </c>
      <c r="I118" s="152">
        <f t="shared" si="17"/>
        <v>1748</v>
      </c>
    </row>
    <row r="119" spans="3:9" x14ac:dyDescent="0.2">
      <c r="C119" s="14" t="str">
        <f t="shared" si="16"/>
        <v>Other</v>
      </c>
      <c r="D119" s="152">
        <f t="shared" si="17"/>
        <v>37191.120000000003</v>
      </c>
      <c r="E119" s="152">
        <f t="shared" si="17"/>
        <v>0</v>
      </c>
      <c r="F119" s="152">
        <f t="shared" si="17"/>
        <v>0</v>
      </c>
      <c r="G119" s="152">
        <f t="shared" si="17"/>
        <v>0</v>
      </c>
      <c r="H119" s="152">
        <f t="shared" si="17"/>
        <v>0</v>
      </c>
      <c r="I119" s="152">
        <f t="shared" si="17"/>
        <v>0</v>
      </c>
    </row>
    <row r="120" spans="3:9" x14ac:dyDescent="0.2">
      <c r="C120" s="14" t="str">
        <f t="shared" ref="C120:C132" si="18">+IF(ISBLANK(C92),"",C92)</f>
        <v/>
      </c>
      <c r="D120" s="152">
        <f t="shared" ref="D120:I120" si="19">D64+D92</f>
        <v>0</v>
      </c>
      <c r="E120" s="152">
        <f t="shared" si="19"/>
        <v>0</v>
      </c>
      <c r="F120" s="152">
        <f t="shared" si="19"/>
        <v>0</v>
      </c>
      <c r="G120" s="152">
        <f t="shared" si="19"/>
        <v>0</v>
      </c>
      <c r="H120" s="152">
        <f t="shared" si="19"/>
        <v>0</v>
      </c>
      <c r="I120" s="152">
        <f t="shared" si="19"/>
        <v>0</v>
      </c>
    </row>
    <row r="121" spans="3:9" x14ac:dyDescent="0.2">
      <c r="C121" s="14" t="str">
        <f t="shared" si="18"/>
        <v/>
      </c>
      <c r="D121" s="152">
        <f t="shared" ref="D121:I121" si="20">D65+D93</f>
        <v>0</v>
      </c>
      <c r="E121" s="152">
        <f t="shared" si="20"/>
        <v>0</v>
      </c>
      <c r="F121" s="152">
        <f t="shared" si="20"/>
        <v>0</v>
      </c>
      <c r="G121" s="152">
        <f t="shared" si="20"/>
        <v>0</v>
      </c>
      <c r="H121" s="152">
        <f t="shared" si="20"/>
        <v>0</v>
      </c>
      <c r="I121" s="152">
        <f t="shared" si="20"/>
        <v>0</v>
      </c>
    </row>
    <row r="122" spans="3:9" x14ac:dyDescent="0.2">
      <c r="C122" s="14" t="str">
        <f t="shared" si="18"/>
        <v/>
      </c>
      <c r="D122" s="152">
        <f t="shared" ref="D122:I122" si="21">D66+D94</f>
        <v>0</v>
      </c>
      <c r="E122" s="152">
        <f t="shared" si="21"/>
        <v>0</v>
      </c>
      <c r="F122" s="152">
        <f t="shared" si="21"/>
        <v>0</v>
      </c>
      <c r="G122" s="152">
        <f t="shared" si="21"/>
        <v>0</v>
      </c>
      <c r="H122" s="152">
        <f t="shared" si="21"/>
        <v>0</v>
      </c>
      <c r="I122" s="152">
        <f t="shared" si="21"/>
        <v>0</v>
      </c>
    </row>
    <row r="123" spans="3:9" x14ac:dyDescent="0.2">
      <c r="C123" s="14" t="str">
        <f t="shared" si="18"/>
        <v/>
      </c>
      <c r="D123" s="152">
        <f t="shared" ref="D123:I123" si="22">D67+D95</f>
        <v>0</v>
      </c>
      <c r="E123" s="152">
        <f t="shared" si="22"/>
        <v>0</v>
      </c>
      <c r="F123" s="152">
        <f t="shared" si="22"/>
        <v>0</v>
      </c>
      <c r="G123" s="152">
        <f t="shared" si="22"/>
        <v>0</v>
      </c>
      <c r="H123" s="152">
        <f t="shared" si="22"/>
        <v>0</v>
      </c>
      <c r="I123" s="152">
        <f t="shared" si="22"/>
        <v>0</v>
      </c>
    </row>
    <row r="124" spans="3:9" x14ac:dyDescent="0.2">
      <c r="C124" s="14" t="str">
        <f t="shared" si="18"/>
        <v/>
      </c>
      <c r="D124" s="152">
        <f t="shared" ref="D124:I124" si="23">D68+D96</f>
        <v>0</v>
      </c>
      <c r="E124" s="152">
        <f t="shared" si="23"/>
        <v>0</v>
      </c>
      <c r="F124" s="152">
        <f t="shared" si="23"/>
        <v>0</v>
      </c>
      <c r="G124" s="152">
        <f t="shared" si="23"/>
        <v>0</v>
      </c>
      <c r="H124" s="152">
        <f t="shared" si="23"/>
        <v>0</v>
      </c>
      <c r="I124" s="152">
        <f t="shared" si="23"/>
        <v>0</v>
      </c>
    </row>
    <row r="125" spans="3:9" x14ac:dyDescent="0.2">
      <c r="C125" s="14" t="str">
        <f t="shared" si="18"/>
        <v/>
      </c>
      <c r="D125" s="152">
        <f t="shared" ref="D125:I125" si="24">D69+D97</f>
        <v>0</v>
      </c>
      <c r="E125" s="152">
        <f t="shared" si="24"/>
        <v>0</v>
      </c>
      <c r="F125" s="152">
        <f t="shared" si="24"/>
        <v>0</v>
      </c>
      <c r="G125" s="152">
        <f t="shared" si="24"/>
        <v>0</v>
      </c>
      <c r="H125" s="152">
        <f t="shared" si="24"/>
        <v>0</v>
      </c>
      <c r="I125" s="152">
        <f t="shared" si="24"/>
        <v>0</v>
      </c>
    </row>
    <row r="126" spans="3:9" x14ac:dyDescent="0.2">
      <c r="C126" s="14" t="str">
        <f t="shared" si="18"/>
        <v/>
      </c>
      <c r="D126" s="152">
        <f t="shared" ref="D126:I126" si="25">D70+D98</f>
        <v>0</v>
      </c>
      <c r="E126" s="152">
        <f t="shared" si="25"/>
        <v>0</v>
      </c>
      <c r="F126" s="152">
        <f t="shared" si="25"/>
        <v>0</v>
      </c>
      <c r="G126" s="152">
        <f t="shared" si="25"/>
        <v>0</v>
      </c>
      <c r="H126" s="152">
        <f t="shared" si="25"/>
        <v>0</v>
      </c>
      <c r="I126" s="152">
        <f t="shared" si="25"/>
        <v>0</v>
      </c>
    </row>
    <row r="127" spans="3:9" x14ac:dyDescent="0.2">
      <c r="C127" s="14" t="str">
        <f t="shared" si="18"/>
        <v/>
      </c>
      <c r="D127" s="152">
        <f t="shared" ref="D127:I127" si="26">D71+D99</f>
        <v>0</v>
      </c>
      <c r="E127" s="152">
        <f t="shared" si="26"/>
        <v>0</v>
      </c>
      <c r="F127" s="152">
        <f t="shared" si="26"/>
        <v>0</v>
      </c>
      <c r="G127" s="152">
        <f t="shared" si="26"/>
        <v>0</v>
      </c>
      <c r="H127" s="152">
        <f t="shared" si="26"/>
        <v>0</v>
      </c>
      <c r="I127" s="152">
        <f t="shared" si="26"/>
        <v>0</v>
      </c>
    </row>
    <row r="128" spans="3:9" x14ac:dyDescent="0.2">
      <c r="C128" s="14" t="str">
        <f t="shared" si="18"/>
        <v/>
      </c>
      <c r="D128" s="152">
        <f t="shared" ref="D128:I128" si="27">D72+D100</f>
        <v>0</v>
      </c>
      <c r="E128" s="152">
        <f t="shared" si="27"/>
        <v>0</v>
      </c>
      <c r="F128" s="152">
        <f t="shared" si="27"/>
        <v>0</v>
      </c>
      <c r="G128" s="152">
        <f t="shared" si="27"/>
        <v>0</v>
      </c>
      <c r="H128" s="152">
        <f t="shared" si="27"/>
        <v>0</v>
      </c>
      <c r="I128" s="152">
        <f t="shared" si="27"/>
        <v>0</v>
      </c>
    </row>
    <row r="129" spans="2:21" x14ac:dyDescent="0.2">
      <c r="C129" s="14" t="str">
        <f t="shared" si="18"/>
        <v/>
      </c>
      <c r="D129" s="152">
        <f t="shared" ref="D129:I129" si="28">D73+D101</f>
        <v>0</v>
      </c>
      <c r="E129" s="152">
        <f t="shared" si="28"/>
        <v>0</v>
      </c>
      <c r="F129" s="152">
        <f t="shared" si="28"/>
        <v>0</v>
      </c>
      <c r="G129" s="152">
        <f t="shared" si="28"/>
        <v>0</v>
      </c>
      <c r="H129" s="152">
        <f t="shared" si="28"/>
        <v>0</v>
      </c>
      <c r="I129" s="152">
        <f t="shared" si="28"/>
        <v>0</v>
      </c>
    </row>
    <row r="130" spans="2:21" x14ac:dyDescent="0.2">
      <c r="C130" s="14" t="str">
        <f t="shared" si="18"/>
        <v/>
      </c>
      <c r="D130" s="152">
        <f t="shared" ref="D130:I130" si="29">D74+D102</f>
        <v>0</v>
      </c>
      <c r="E130" s="152">
        <f t="shared" si="29"/>
        <v>0</v>
      </c>
      <c r="F130" s="152">
        <f t="shared" si="29"/>
        <v>0</v>
      </c>
      <c r="G130" s="152">
        <f t="shared" si="29"/>
        <v>0</v>
      </c>
      <c r="H130" s="152">
        <f t="shared" si="29"/>
        <v>0</v>
      </c>
      <c r="I130" s="152">
        <f t="shared" si="29"/>
        <v>0</v>
      </c>
    </row>
    <row r="131" spans="2:21" x14ac:dyDescent="0.2">
      <c r="C131" s="14" t="str">
        <f t="shared" si="18"/>
        <v/>
      </c>
      <c r="D131" s="152">
        <f t="shared" ref="D131:I131" si="30">D75+D103</f>
        <v>0</v>
      </c>
      <c r="E131" s="152">
        <f t="shared" si="30"/>
        <v>0</v>
      </c>
      <c r="F131" s="152">
        <f t="shared" si="30"/>
        <v>0</v>
      </c>
      <c r="G131" s="152">
        <f t="shared" si="30"/>
        <v>0</v>
      </c>
      <c r="H131" s="152">
        <f t="shared" si="30"/>
        <v>0</v>
      </c>
      <c r="I131" s="152">
        <f t="shared" si="30"/>
        <v>0</v>
      </c>
    </row>
    <row r="132" spans="2:21" x14ac:dyDescent="0.2">
      <c r="C132" s="14" t="str">
        <f t="shared" si="18"/>
        <v/>
      </c>
      <c r="D132" s="152">
        <f t="shared" ref="D132:I132" si="31">D76+D104</f>
        <v>0</v>
      </c>
      <c r="E132" s="152">
        <f t="shared" si="31"/>
        <v>0</v>
      </c>
      <c r="F132" s="152">
        <f t="shared" si="31"/>
        <v>0</v>
      </c>
      <c r="G132" s="152">
        <f t="shared" si="31"/>
        <v>0</v>
      </c>
      <c r="H132" s="152">
        <f t="shared" si="31"/>
        <v>0</v>
      </c>
      <c r="I132" s="152">
        <f t="shared" si="31"/>
        <v>0</v>
      </c>
    </row>
    <row r="133" spans="2:21" ht="15" x14ac:dyDescent="0.2">
      <c r="C133" s="77" t="s">
        <v>117</v>
      </c>
      <c r="D133" s="77">
        <f>+SUM(D109:D132)</f>
        <v>3185205.0090000005</v>
      </c>
      <c r="E133" s="77">
        <f t="shared" ref="E133" si="32">+SUM(E109:E132)</f>
        <v>5547163.9309999999</v>
      </c>
      <c r="F133" s="77">
        <f t="shared" ref="F133" si="33">+SUM(F109:F132)</f>
        <v>1743384.0259374999</v>
      </c>
      <c r="G133" s="77">
        <f t="shared" ref="G133" si="34">+SUM(G109:G132)</f>
        <v>4105790.1753359376</v>
      </c>
      <c r="H133" s="77">
        <f t="shared" ref="H133" si="35">+SUM(H109:H132)</f>
        <v>4222554.7433193363</v>
      </c>
      <c r="I133" s="77">
        <f t="shared" ref="I133" si="36">+SUM(I109:I132)</f>
        <v>3888401.1</v>
      </c>
    </row>
    <row r="134" spans="2:21" x14ac:dyDescent="0.2"/>
    <row r="135" spans="2:21" x14ac:dyDescent="0.2"/>
    <row r="136" spans="2:21" x14ac:dyDescent="0.2"/>
    <row r="137" spans="2:21" x14ac:dyDescent="0.2"/>
    <row r="138" spans="2:21" x14ac:dyDescent="0.2"/>
    <row r="139" spans="2:21" ht="15" x14ac:dyDescent="0.25">
      <c r="B139" s="119" t="s">
        <v>13</v>
      </c>
      <c r="C139" s="118"/>
      <c r="D139" s="117"/>
      <c r="E139" s="117"/>
      <c r="F139" s="117"/>
      <c r="G139" s="117"/>
      <c r="H139" s="117"/>
      <c r="I139" s="117"/>
      <c r="J139" s="117"/>
      <c r="K139" s="117"/>
      <c r="L139" s="117"/>
      <c r="M139" s="117"/>
      <c r="N139" s="117"/>
      <c r="O139" s="117"/>
      <c r="P139" s="117"/>
      <c r="Q139" s="117"/>
      <c r="R139" s="117"/>
      <c r="S139" s="117"/>
      <c r="T139" s="117"/>
      <c r="U139" s="117"/>
    </row>
    <row r="140" spans="2:21" x14ac:dyDescent="0.2"/>
    <row r="141" spans="2:21" x14ac:dyDescent="0.2"/>
    <row r="142" spans="2:21" x14ac:dyDescent="0.2"/>
    <row r="143" spans="2:21" x14ac:dyDescent="0.2"/>
    <row r="144" spans="2:21" x14ac:dyDescent="0.2"/>
    <row r="145" x14ac:dyDescent="0.2"/>
    <row r="146" x14ac:dyDescent="0.2"/>
  </sheetData>
  <sheetProtection algorithmName="SHA-512" hashValue="zrbDDX++qKdrr7vQl4OnwU7s5RtYSJFbx7Erl2pac6OhyXaONbJCoQQNjxaaRkW86ZZ3JcYL5NwI6RmfzdVzUA==" saltValue="rZ1wSpjmXZ2d+RmVKlbOGA==" spinCount="100000" sheet="1" objects="1" scenarios="1" insertRows="0"/>
  <mergeCells count="16">
    <mergeCell ref="D17:I17"/>
    <mergeCell ref="D18:I18"/>
    <mergeCell ref="D19:I19"/>
    <mergeCell ref="D30:I30"/>
    <mergeCell ref="C36:C37"/>
    <mergeCell ref="D16:I16"/>
    <mergeCell ref="A1:A2"/>
    <mergeCell ref="D7:I7"/>
    <mergeCell ref="D8:I8"/>
    <mergeCell ref="D9:I9"/>
    <mergeCell ref="D10:I10"/>
    <mergeCell ref="D11:I11"/>
    <mergeCell ref="D12:I12"/>
    <mergeCell ref="D13:I13"/>
    <mergeCell ref="D14:I14"/>
    <mergeCell ref="D15:I15"/>
  </mergeCells>
  <pageMargins left="0.7" right="0.7" top="0.75" bottom="0.75" header="0.3" footer="0.3"/>
  <pageSetup paperSize="9" orientation="portrait" r:id="rId1"/>
  <headerFooter>
    <oddHeader>&amp;C&amp;"Calibri"&amp;12&amp;KFF0000 OFFICIAL&amp;1#_x000D_</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A914-721E-49A6-B71A-08B34D371F26}">
  <sheetPr>
    <tabColor theme="4" tint="0.79998168889431442"/>
  </sheetPr>
  <dimension ref="A1:Z67"/>
  <sheetViews>
    <sheetView showGridLines="0" topLeftCell="B1" zoomScale="85" zoomScaleNormal="85" workbookViewId="0">
      <pane ySplit="2" topLeftCell="A36" activePane="bottomLeft" state="frozen"/>
      <selection activeCell="C38" sqref="C38"/>
      <selection pane="bottomLeft" activeCell="D8" sqref="D8"/>
    </sheetView>
  </sheetViews>
  <sheetFormatPr defaultRowHeight="14.25" zeroHeight="1" outlineLevelCol="1" x14ac:dyDescent="0.2"/>
  <cols>
    <col min="1" max="1" width="92.375" hidden="1" customWidth="1" outlineLevel="1"/>
    <col min="2" max="2" width="9.875" style="12" customWidth="1" collapsed="1"/>
    <col min="3" max="3" width="53" customWidth="1"/>
    <col min="4" max="16" width="17.875" customWidth="1"/>
    <col min="17" max="18" width="10.125" customWidth="1"/>
    <col min="19" max="26" width="23.625" hidden="1" customWidth="1"/>
    <col min="27" max="16383" width="0" hidden="1" customWidth="1"/>
  </cols>
  <sheetData>
    <row r="1" spans="1:26" s="15" customFormat="1" ht="50.1" customHeight="1" x14ac:dyDescent="0.2">
      <c r="A1" s="209" t="s">
        <v>10</v>
      </c>
      <c r="B1" s="3"/>
      <c r="C1" s="3" t="str">
        <f>+title</f>
        <v>Higher cap information template</v>
      </c>
      <c r="D1" s="3"/>
      <c r="E1" s="3"/>
      <c r="F1" s="3"/>
      <c r="G1" s="3"/>
      <c r="H1" s="3"/>
      <c r="I1" s="3"/>
      <c r="J1" s="3"/>
      <c r="K1" s="3"/>
      <c r="L1" s="3"/>
      <c r="M1" s="3"/>
      <c r="N1" s="3"/>
      <c r="O1" s="3"/>
      <c r="P1" s="3"/>
      <c r="Q1" s="3"/>
      <c r="R1" s="3"/>
      <c r="S1" s="3"/>
      <c r="T1" s="3"/>
      <c r="U1" s="3"/>
      <c r="V1" s="3"/>
      <c r="W1" s="3"/>
      <c r="X1" s="3"/>
      <c r="Y1" s="3"/>
      <c r="Z1" s="3"/>
    </row>
    <row r="2" spans="1:26" s="15" customFormat="1" ht="30" customHeight="1" x14ac:dyDescent="0.2">
      <c r="A2" s="210"/>
      <c r="B2" s="2">
        <f ca="1">_xlfn.SHEET()</f>
        <v>9</v>
      </c>
      <c r="C2" s="1" t="s">
        <v>421</v>
      </c>
      <c r="D2" s="1"/>
      <c r="E2" s="1"/>
      <c r="F2" s="1"/>
      <c r="G2" s="1"/>
      <c r="H2" s="1"/>
      <c r="I2" s="1"/>
      <c r="J2" s="1"/>
      <c r="K2" s="1"/>
      <c r="L2" s="1"/>
      <c r="M2" s="1"/>
      <c r="N2" s="1"/>
      <c r="O2" s="1"/>
      <c r="P2" s="1"/>
      <c r="Q2" s="1"/>
      <c r="R2" s="1"/>
      <c r="S2" s="1"/>
      <c r="T2" s="1"/>
      <c r="U2" s="1"/>
      <c r="V2" s="1"/>
      <c r="W2" s="1"/>
      <c r="X2" s="1"/>
      <c r="Y2" s="1"/>
      <c r="Z2" s="1"/>
    </row>
    <row r="3" spans="1:26" x14ac:dyDescent="0.2">
      <c r="B3"/>
    </row>
    <row r="4" spans="1:26" ht="16.5" thickBot="1" x14ac:dyDescent="0.25">
      <c r="A4" s="16" t="s">
        <v>11</v>
      </c>
      <c r="B4" s="4">
        <f ca="1">MAX(B$2:B3)+0.1</f>
        <v>9.1</v>
      </c>
      <c r="C4" s="5" t="s">
        <v>360</v>
      </c>
      <c r="D4" s="5"/>
      <c r="E4" s="5"/>
      <c r="F4" s="5"/>
      <c r="G4" s="5"/>
      <c r="H4" s="5"/>
      <c r="I4" s="5"/>
      <c r="J4" s="5"/>
      <c r="K4" s="5"/>
      <c r="L4" s="5"/>
      <c r="M4" s="5"/>
      <c r="N4" s="5"/>
      <c r="O4" s="5"/>
      <c r="P4" s="5"/>
      <c r="Q4" s="5"/>
      <c r="R4" s="5"/>
      <c r="S4" s="5"/>
      <c r="T4" s="5"/>
      <c r="U4" s="5"/>
      <c r="V4" s="5"/>
      <c r="W4" s="5"/>
      <c r="X4" s="5"/>
      <c r="Y4" s="5"/>
      <c r="Z4" s="5"/>
    </row>
    <row r="5" spans="1:26" ht="15" x14ac:dyDescent="0.2">
      <c r="C5" s="77"/>
      <c r="D5" s="77"/>
      <c r="E5" s="77"/>
      <c r="F5" s="77"/>
      <c r="G5" s="77"/>
      <c r="H5" s="77"/>
      <c r="I5" s="77"/>
    </row>
    <row r="6" spans="1:26" ht="15" x14ac:dyDescent="0.2">
      <c r="C6" s="77" t="s">
        <v>356</v>
      </c>
      <c r="D6" s="77"/>
      <c r="E6" s="77"/>
      <c r="F6" s="77"/>
      <c r="G6" s="77"/>
      <c r="H6" s="77"/>
      <c r="I6" s="77"/>
    </row>
    <row r="7" spans="1:26" ht="15" x14ac:dyDescent="0.2">
      <c r="C7" s="77"/>
      <c r="D7" s="19" t="s">
        <v>16</v>
      </c>
      <c r="E7" s="19" t="s">
        <v>17</v>
      </c>
      <c r="F7" s="19" t="s">
        <v>18</v>
      </c>
      <c r="G7" s="19" t="s">
        <v>19</v>
      </c>
      <c r="H7" s="19" t="s">
        <v>20</v>
      </c>
      <c r="I7" s="19" t="s">
        <v>21</v>
      </c>
      <c r="J7" s="19" t="s">
        <v>22</v>
      </c>
      <c r="K7" s="19" t="s">
        <v>23</v>
      </c>
      <c r="L7" s="19" t="s">
        <v>24</v>
      </c>
      <c r="M7" s="19" t="s">
        <v>25</v>
      </c>
      <c r="N7" s="19" t="s">
        <v>354</v>
      </c>
    </row>
    <row r="8" spans="1:26" x14ac:dyDescent="0.2">
      <c r="C8" t="s">
        <v>353</v>
      </c>
      <c r="D8" s="48">
        <f>'8. Supp_waste - detailed'!H39</f>
        <v>254109.75</v>
      </c>
      <c r="E8" s="48">
        <f>'8. Supp_waste - detailed'!I39</f>
        <v>631503.1</v>
      </c>
      <c r="F8" s="18">
        <v>965489</v>
      </c>
      <c r="G8" s="18">
        <v>989626</v>
      </c>
      <c r="H8" s="18">
        <v>1014367</v>
      </c>
      <c r="I8" s="18">
        <v>1039726</v>
      </c>
      <c r="J8" s="18">
        <v>1065719</v>
      </c>
      <c r="K8" s="18">
        <v>1092362</v>
      </c>
      <c r="L8" s="18">
        <v>1119671</v>
      </c>
      <c r="M8" s="18">
        <v>1147663</v>
      </c>
      <c r="N8" s="18">
        <v>1176355</v>
      </c>
    </row>
    <row r="9" spans="1:26" x14ac:dyDescent="0.2">
      <c r="C9" t="s">
        <v>33</v>
      </c>
      <c r="D9" s="48">
        <f>'8. Supp_waste - detailed'!H40</f>
        <v>3704280.64</v>
      </c>
      <c r="E9" s="48">
        <f>'8. Supp_waste - detailed'!I40</f>
        <v>3013784</v>
      </c>
      <c r="F9" s="18">
        <v>3089129</v>
      </c>
      <c r="G9" s="18">
        <v>3166357</v>
      </c>
      <c r="H9" s="18">
        <v>3245516</v>
      </c>
      <c r="I9" s="18">
        <v>3326654</v>
      </c>
      <c r="J9" s="18">
        <v>3409820</v>
      </c>
      <c r="K9" s="18">
        <v>3495066</v>
      </c>
      <c r="L9" s="18">
        <v>3582443</v>
      </c>
      <c r="M9" s="18">
        <v>3672004</v>
      </c>
      <c r="N9" s="18">
        <v>3763804</v>
      </c>
    </row>
    <row r="10" spans="1:26" x14ac:dyDescent="0.2">
      <c r="C10" t="s">
        <v>123</v>
      </c>
      <c r="D10" s="48">
        <f>+SUM('8. Supp_waste - detailed'!H41:H44)</f>
        <v>237238.35000000015</v>
      </c>
      <c r="E10" s="48">
        <f>+SUM('8. Supp_waste - detailed'!I41:I44)</f>
        <v>243114</v>
      </c>
      <c r="F10" s="18">
        <v>249192</v>
      </c>
      <c r="G10" s="18">
        <v>255422</v>
      </c>
      <c r="H10" s="18">
        <v>261808</v>
      </c>
      <c r="I10" s="18">
        <v>268353</v>
      </c>
      <c r="J10" s="18">
        <v>275062</v>
      </c>
      <c r="K10" s="18">
        <v>281939</v>
      </c>
      <c r="L10" s="18">
        <v>288987</v>
      </c>
      <c r="M10" s="18">
        <v>296212</v>
      </c>
      <c r="N10" s="18">
        <v>303617</v>
      </c>
    </row>
    <row r="11" spans="1:26" ht="15" x14ac:dyDescent="0.2">
      <c r="C11" s="77" t="s">
        <v>366</v>
      </c>
      <c r="D11" s="48">
        <f>+'8. Supp_waste - detailed'!H45</f>
        <v>4195628.74</v>
      </c>
      <c r="E11" s="48">
        <f>+'8. Supp_waste - detailed'!I45</f>
        <v>3888401.1</v>
      </c>
      <c r="F11" s="18">
        <v>4303810</v>
      </c>
      <c r="G11" s="18">
        <v>4411405</v>
      </c>
      <c r="H11" s="18">
        <v>4521691</v>
      </c>
      <c r="I11" s="18">
        <v>4634733</v>
      </c>
      <c r="J11" s="18">
        <v>4750601</v>
      </c>
      <c r="K11" s="18">
        <v>4869367</v>
      </c>
      <c r="L11" s="18">
        <v>4991101</v>
      </c>
      <c r="M11" s="18">
        <v>5115879</v>
      </c>
      <c r="N11" s="18">
        <v>5243776</v>
      </c>
    </row>
    <row r="12" spans="1:26" x14ac:dyDescent="0.2"/>
    <row r="13" spans="1:26" ht="15" x14ac:dyDescent="0.2">
      <c r="C13" s="77" t="s">
        <v>368</v>
      </c>
      <c r="D13" s="48">
        <f>+'8. Supp_waste - detailed'!H133</f>
        <v>4222554.7433193363</v>
      </c>
      <c r="E13" s="48">
        <f>+'8. Supp_waste - detailed'!I133</f>
        <v>3888401.1</v>
      </c>
      <c r="F13" s="18">
        <v>4303809</v>
      </c>
      <c r="G13" s="18">
        <v>4411404</v>
      </c>
      <c r="H13" s="18">
        <v>4521689</v>
      </c>
      <c r="I13" s="18">
        <v>4634731</v>
      </c>
      <c r="J13" s="18">
        <v>4750599</v>
      </c>
      <c r="K13" s="18">
        <v>4869364</v>
      </c>
      <c r="L13" s="18">
        <v>4991098</v>
      </c>
      <c r="M13" s="18">
        <v>5115875</v>
      </c>
      <c r="N13" s="18">
        <v>5243772</v>
      </c>
    </row>
    <row r="14" spans="1:26" ht="15" x14ac:dyDescent="0.2">
      <c r="C14" s="77"/>
      <c r="D14" s="77"/>
      <c r="E14" s="77"/>
    </row>
    <row r="15" spans="1:26" ht="15" x14ac:dyDescent="0.2">
      <c r="C15" s="77"/>
      <c r="F15" s="77"/>
      <c r="G15" s="77"/>
      <c r="H15" s="77"/>
      <c r="I15" s="77"/>
    </row>
    <row r="16" spans="1:26" x14ac:dyDescent="0.2">
      <c r="C16" s="154" t="s">
        <v>129</v>
      </c>
      <c r="D16" s="154">
        <f>+D11-D13</f>
        <v>-26926.003319336101</v>
      </c>
      <c r="E16" s="154">
        <f>+E11-E13</f>
        <v>0</v>
      </c>
      <c r="F16" s="154">
        <f t="shared" ref="F16:N16" si="0">+F12-F13</f>
        <v>-4303809</v>
      </c>
      <c r="G16" s="154">
        <f t="shared" si="0"/>
        <v>-4411404</v>
      </c>
      <c r="H16" s="154">
        <f t="shared" si="0"/>
        <v>-4521689</v>
      </c>
      <c r="I16" s="154">
        <f t="shared" si="0"/>
        <v>-4634731</v>
      </c>
      <c r="J16" s="154">
        <f t="shared" si="0"/>
        <v>-4750599</v>
      </c>
      <c r="K16" s="154">
        <f t="shared" si="0"/>
        <v>-4869364</v>
      </c>
      <c r="L16" s="154">
        <f t="shared" si="0"/>
        <v>-4991098</v>
      </c>
      <c r="M16" s="154">
        <f t="shared" si="0"/>
        <v>-5115875</v>
      </c>
      <c r="N16" s="154">
        <f t="shared" si="0"/>
        <v>-5243772</v>
      </c>
    </row>
    <row r="17" spans="1:26" x14ac:dyDescent="0.2">
      <c r="D17" s="154"/>
      <c r="E17" s="154"/>
      <c r="F17" s="154"/>
      <c r="G17" s="154"/>
      <c r="H17" s="154"/>
      <c r="I17" s="154"/>
      <c r="J17" s="154"/>
      <c r="K17" s="154"/>
      <c r="L17" s="154"/>
      <c r="M17" s="154"/>
      <c r="N17" s="154"/>
    </row>
    <row r="18" spans="1:26" ht="16.5" thickBot="1" x14ac:dyDescent="0.25">
      <c r="A18" s="16" t="s">
        <v>11</v>
      </c>
      <c r="B18" s="4">
        <f ca="1">MAX(B$2:B16)+0.1</f>
        <v>9.1999999999999993</v>
      </c>
      <c r="C18" s="5" t="s">
        <v>370</v>
      </c>
      <c r="D18" s="5"/>
      <c r="E18" s="5"/>
      <c r="F18" s="5"/>
      <c r="G18" s="5"/>
      <c r="H18" s="5"/>
      <c r="I18" s="5"/>
      <c r="J18" s="5"/>
      <c r="K18" s="5"/>
      <c r="L18" s="5"/>
      <c r="M18" s="5"/>
      <c r="N18" s="5"/>
      <c r="O18" s="5"/>
      <c r="P18" s="5"/>
      <c r="Q18" s="5"/>
      <c r="R18" s="5"/>
      <c r="S18" s="5"/>
      <c r="T18" s="5"/>
      <c r="U18" s="5"/>
      <c r="V18" s="5"/>
      <c r="W18" s="5"/>
      <c r="X18" s="5"/>
      <c r="Y18" s="5"/>
      <c r="Z18" s="5"/>
    </row>
    <row r="19" spans="1:26" x14ac:dyDescent="0.2"/>
    <row r="20" spans="1:26" ht="15" x14ac:dyDescent="0.2">
      <c r="C20" s="13" t="s">
        <v>423</v>
      </c>
    </row>
    <row r="21" spans="1:26" ht="15" x14ac:dyDescent="0.2">
      <c r="D21" s="19" t="s">
        <v>16</v>
      </c>
      <c r="E21" s="19" t="s">
        <v>17</v>
      </c>
      <c r="F21" s="19" t="s">
        <v>18</v>
      </c>
      <c r="G21" s="19" t="s">
        <v>19</v>
      </c>
      <c r="H21" s="19" t="s">
        <v>20</v>
      </c>
      <c r="I21" s="19" t="s">
        <v>21</v>
      </c>
      <c r="J21" s="19" t="s">
        <v>22</v>
      </c>
      <c r="K21" s="19" t="s">
        <v>23</v>
      </c>
      <c r="L21" s="19" t="s">
        <v>24</v>
      </c>
      <c r="M21" s="19" t="s">
        <v>25</v>
      </c>
      <c r="N21" s="19" t="s">
        <v>354</v>
      </c>
    </row>
    <row r="22" spans="1:26" ht="29.25" customHeight="1" x14ac:dyDescent="0.2">
      <c r="C22" s="148" t="s">
        <v>362</v>
      </c>
      <c r="D22" s="48">
        <f>'2. LTFP'!D262</f>
        <v>0</v>
      </c>
      <c r="E22" s="48">
        <f>'2. LTFP'!E262</f>
        <v>801623.8200000003</v>
      </c>
      <c r="F22" s="48">
        <f>'2. LTFP'!F262</f>
        <v>821664.41550000012</v>
      </c>
      <c r="G22" s="48">
        <f>'2. LTFP'!G262</f>
        <v>842206.02588749677</v>
      </c>
      <c r="H22" s="48">
        <f>'2. LTFP'!H262</f>
        <v>863261.17653468624</v>
      </c>
      <c r="I22" s="48">
        <f>'2. LTFP'!I262</f>
        <v>884842.70594805479</v>
      </c>
      <c r="J22" s="48">
        <f>'2. LTFP'!J262</f>
        <v>906963.77359675616</v>
      </c>
      <c r="K22" s="48">
        <f>'2. LTFP'!K262</f>
        <v>929637.86793667451</v>
      </c>
      <c r="L22" s="48">
        <f>'2. LTFP'!L262</f>
        <v>952878.81463509053</v>
      </c>
      <c r="M22" s="48">
        <f>'2. LTFP'!M262</f>
        <v>976700.78500096872</v>
      </c>
      <c r="N22" s="48">
        <f>'2. LTFP'!N262</f>
        <v>1001118.3046259917</v>
      </c>
    </row>
    <row r="23" spans="1:26" x14ac:dyDescent="0.2"/>
    <row r="24" spans="1:26" x14ac:dyDescent="0.2">
      <c r="C24" s="142" t="s">
        <v>361</v>
      </c>
      <c r="D24" s="45">
        <v>0</v>
      </c>
      <c r="E24" s="45">
        <v>0</v>
      </c>
      <c r="F24" s="45">
        <v>0</v>
      </c>
      <c r="G24" s="45">
        <v>0</v>
      </c>
      <c r="H24" s="45">
        <v>0</v>
      </c>
      <c r="I24" s="45">
        <v>0</v>
      </c>
      <c r="J24" s="45">
        <v>0</v>
      </c>
      <c r="K24" s="45">
        <v>0</v>
      </c>
      <c r="L24" s="45">
        <v>0</v>
      </c>
      <c r="M24" s="45">
        <v>0</v>
      </c>
      <c r="N24" s="45">
        <v>0</v>
      </c>
      <c r="O24" s="215" t="s">
        <v>357</v>
      </c>
      <c r="P24" s="215"/>
      <c r="Q24" s="215"/>
      <c r="R24" s="215"/>
    </row>
    <row r="25" spans="1:26" x14ac:dyDescent="0.2">
      <c r="O25" s="215"/>
      <c r="P25" s="215"/>
      <c r="Q25" s="215"/>
      <c r="R25" s="215"/>
    </row>
    <row r="26" spans="1:26" x14ac:dyDescent="0.2">
      <c r="C26" t="s">
        <v>355</v>
      </c>
      <c r="D26" s="48">
        <f>+D22-D24</f>
        <v>0</v>
      </c>
      <c r="E26" s="48">
        <f t="shared" ref="E26:N26" si="1">+E22-E24</f>
        <v>801623.8200000003</v>
      </c>
      <c r="F26" s="48">
        <f t="shared" si="1"/>
        <v>821664.41550000012</v>
      </c>
      <c r="G26" s="48">
        <f t="shared" si="1"/>
        <v>842206.02588749677</v>
      </c>
      <c r="H26" s="48">
        <f t="shared" si="1"/>
        <v>863261.17653468624</v>
      </c>
      <c r="I26" s="48">
        <f t="shared" si="1"/>
        <v>884842.70594805479</v>
      </c>
      <c r="J26" s="48">
        <f t="shared" si="1"/>
        <v>906963.77359675616</v>
      </c>
      <c r="K26" s="48">
        <f t="shared" si="1"/>
        <v>929637.86793667451</v>
      </c>
      <c r="L26" s="48">
        <f t="shared" si="1"/>
        <v>952878.81463509053</v>
      </c>
      <c r="M26" s="48">
        <f t="shared" si="1"/>
        <v>976700.78500096872</v>
      </c>
      <c r="N26" s="48">
        <f t="shared" si="1"/>
        <v>1001118.3046259917</v>
      </c>
      <c r="O26" s="215"/>
      <c r="P26" s="215"/>
      <c r="Q26" s="215"/>
      <c r="R26" s="215"/>
    </row>
    <row r="27" spans="1:26" x14ac:dyDescent="0.2"/>
    <row r="28" spans="1:26" ht="15" x14ac:dyDescent="0.2">
      <c r="C28" s="13" t="s">
        <v>371</v>
      </c>
      <c r="J28" s="149"/>
    </row>
    <row r="29" spans="1:26" ht="15" x14ac:dyDescent="0.2">
      <c r="C29" s="77" t="s">
        <v>127</v>
      </c>
      <c r="D29" s="19" t="s">
        <v>16</v>
      </c>
      <c r="E29" s="19" t="s">
        <v>17</v>
      </c>
      <c r="F29" s="19" t="s">
        <v>18</v>
      </c>
      <c r="G29" s="19" t="s">
        <v>19</v>
      </c>
      <c r="H29" s="19" t="s">
        <v>20</v>
      </c>
      <c r="I29" s="19" t="s">
        <v>21</v>
      </c>
      <c r="J29" s="19" t="s">
        <v>22</v>
      </c>
      <c r="K29" s="19" t="s">
        <v>23</v>
      </c>
      <c r="L29" s="19" t="s">
        <v>24</v>
      </c>
      <c r="M29" s="19" t="s">
        <v>25</v>
      </c>
      <c r="N29" s="19" t="s">
        <v>354</v>
      </c>
      <c r="O29" s="137" t="s">
        <v>299</v>
      </c>
      <c r="P29" s="133" t="s">
        <v>300</v>
      </c>
    </row>
    <row r="30" spans="1:26" x14ac:dyDescent="0.2">
      <c r="C30" t="s">
        <v>372</v>
      </c>
      <c r="D30" s="121">
        <f>+'5. Financial indicators'!D7</f>
        <v>-0.17274947157237389</v>
      </c>
      <c r="E30" s="121">
        <f>+'5. Financial indicators'!E7</f>
        <v>-0.19425577253893855</v>
      </c>
      <c r="F30" s="121">
        <f>+'5. Financial indicators'!F7</f>
        <v>-0.18995942665199064</v>
      </c>
      <c r="G30" s="121">
        <f>+'5. Financial indicators'!G7</f>
        <v>-0.18310231969472587</v>
      </c>
      <c r="H30" s="121">
        <f>+'5. Financial indicators'!H7</f>
        <v>-0.17794709021954064</v>
      </c>
      <c r="I30" s="121">
        <f>+'5. Financial indicators'!I7</f>
        <v>-0.16937457305137998</v>
      </c>
      <c r="J30" s="121">
        <f>+'5. Financial indicators'!J7</f>
        <v>-0.16288689509445786</v>
      </c>
      <c r="K30" s="121">
        <f>+'5. Financial indicators'!K7</f>
        <v>-0.15526910950322545</v>
      </c>
      <c r="L30" s="121">
        <f>+'5. Financial indicators'!L7</f>
        <v>-0.14775681888397585</v>
      </c>
      <c r="M30" s="121">
        <f>+'5. Financial indicators'!M7</f>
        <v>-0.14022008723628826</v>
      </c>
      <c r="N30" s="134">
        <f>+'5. Financial indicators'!N7</f>
        <v>-0.13998526861400828</v>
      </c>
      <c r="O30" s="138">
        <f>+IFERROR(AVERAGE(E30:H30),"")</f>
        <v>-0.18631615227629894</v>
      </c>
      <c r="P30" s="130">
        <f>+IFERROR(AVERAGE(E30:N30),"")</f>
        <v>-0.16607573614885313</v>
      </c>
    </row>
    <row r="31" spans="1:26" x14ac:dyDescent="0.2">
      <c r="C31" t="s">
        <v>369</v>
      </c>
      <c r="D31" s="121">
        <f>IFERROR(('2. LTFP'!D181-'2. LTFP'!D156-'2. LTFP'!D159-'2. LTFP'!D160-D26)/('2. LTFP'!D165-'2. LTFP'!D156-'2. LTFP'!D159-'2. LTFP'!D160-D26),"")</f>
        <v>-0.17274947157237389</v>
      </c>
      <c r="E31" s="121">
        <f>IFERROR(('2. LTFP'!E181-'2. LTFP'!E156-'2. LTFP'!E159-'2. LTFP'!E160-E26)/('2. LTFP'!E165-'2. LTFP'!E156-'2. LTFP'!E159-'2. LTFP'!E160-E26),"")</f>
        <v>-0.21977026641110675</v>
      </c>
      <c r="F31" s="121">
        <f>IFERROR(('2. LTFP'!F181-'2. LTFP'!F156-'2. LTFP'!F159-'2. LTFP'!F160-F26)/('2. LTFP'!F165-'2. LTFP'!F156-'2. LTFP'!F159-'2. LTFP'!F160-F26),"")</f>
        <v>-0.21619124059844999</v>
      </c>
      <c r="G31" s="121">
        <f>IFERROR(('2. LTFP'!G181-'2. LTFP'!G156-'2. LTFP'!G159-'2. LTFP'!G160-G26)/('2. LTFP'!G165-'2. LTFP'!G156-'2. LTFP'!G159-'2. LTFP'!G160-G26),"")</f>
        <v>-0.20924818603022532</v>
      </c>
      <c r="H31" s="121">
        <f>IFERROR(('2. LTFP'!H181-'2. LTFP'!H156-'2. LTFP'!H159-'2. LTFP'!H160-H26)/('2. LTFP'!H165-'2. LTFP'!H156-'2. LTFP'!H159-'2. LTFP'!H160-H26),"")</f>
        <v>-0.20401670984652659</v>
      </c>
      <c r="I31" s="121">
        <f>IFERROR(('2. LTFP'!I181-'2. LTFP'!I156-'2. LTFP'!I159-'2. LTFP'!I160-I26)/('2. LTFP'!I165-'2. LTFP'!I156-'2. LTFP'!I159-'2. LTFP'!I160-I26),"")</f>
        <v>-0.19530307542136607</v>
      </c>
      <c r="J31" s="121">
        <f>IFERROR(('2. LTFP'!J181-'2. LTFP'!J156-'2. LTFP'!J159-'2. LTFP'!J160-J26)/('2. LTFP'!J165-'2. LTFP'!J156-'2. LTFP'!J159-'2. LTFP'!J160-J26),"")</f>
        <v>-0.18876458664737064</v>
      </c>
      <c r="K31" s="121">
        <f>IFERROR(('2. LTFP'!K181-'2. LTFP'!K156-'2. LTFP'!K159-'2. LTFP'!K160-K26)/('2. LTFP'!K165-'2. LTFP'!K156-'2. LTFP'!K159-'2. LTFP'!K160-K26),"")</f>
        <v>-0.1810421002480832</v>
      </c>
      <c r="L31" s="121">
        <f>IFERROR(('2. LTFP'!L181-'2. LTFP'!L156-'2. LTFP'!L159-'2. LTFP'!L160-L26)/('2. LTFP'!L165-'2. LTFP'!L156-'2. LTFP'!L159-'2. LTFP'!L160-L26),"")</f>
        <v>-0.17342610954270421</v>
      </c>
      <c r="M31" s="121">
        <f>IFERROR(('2. LTFP'!M181-'2. LTFP'!M156-'2. LTFP'!M159-'2. LTFP'!M160-M26)/('2. LTFP'!M165-'2. LTFP'!M156-'2. LTFP'!M159-'2. LTFP'!M160-M26),"")</f>
        <v>-0.16578264584416411</v>
      </c>
      <c r="N31" s="121">
        <f>IFERROR(('2. LTFP'!N181-'2. LTFP'!N156-'2. LTFP'!N159-'2. LTFP'!N160-N26)/('2. LTFP'!N165-'2. LTFP'!N156-'2. LTFP'!N159-'2. LTFP'!N160-O26),"")</f>
        <v>-0.16191501177812045</v>
      </c>
      <c r="O31" s="139">
        <f t="shared" ref="O31:O32" si="2">+IFERROR(AVERAGE(E31:H31),"")</f>
        <v>-0.21230660072157714</v>
      </c>
      <c r="P31" s="130">
        <f t="shared" ref="P31:P32" si="3">+IFERROR(AVERAGE(E31:N31),"")</f>
        <v>-0.19154599323681173</v>
      </c>
    </row>
    <row r="32" spans="1:26" x14ac:dyDescent="0.2">
      <c r="C32" t="s">
        <v>373</v>
      </c>
      <c r="D32" s="121">
        <f>+IFERROR(D30-D31,"")</f>
        <v>0</v>
      </c>
      <c r="E32" s="121">
        <f t="shared" ref="E32:N32" si="4">+IFERROR(E30-E31,"")</f>
        <v>2.5514493872168198E-2</v>
      </c>
      <c r="F32" s="121">
        <f t="shared" si="4"/>
        <v>2.6231813946459348E-2</v>
      </c>
      <c r="G32" s="121">
        <f t="shared" si="4"/>
        <v>2.6145866335499451E-2</v>
      </c>
      <c r="H32" s="121">
        <f t="shared" si="4"/>
        <v>2.6069619626985951E-2</v>
      </c>
      <c r="I32" s="121">
        <f t="shared" si="4"/>
        <v>2.5928502369986089E-2</v>
      </c>
      <c r="J32" s="121">
        <f t="shared" si="4"/>
        <v>2.5877691552912779E-2</v>
      </c>
      <c r="K32" s="121">
        <f t="shared" si="4"/>
        <v>2.5772990744857754E-2</v>
      </c>
      <c r="L32" s="121">
        <f t="shared" si="4"/>
        <v>2.5669290658728361E-2</v>
      </c>
      <c r="M32" s="121">
        <f t="shared" si="4"/>
        <v>2.5562558607875846E-2</v>
      </c>
      <c r="N32" s="121">
        <f t="shared" si="4"/>
        <v>2.192974316411217E-2</v>
      </c>
      <c r="O32" s="139">
        <f t="shared" si="2"/>
        <v>2.5990448445278237E-2</v>
      </c>
      <c r="P32" s="130">
        <f t="shared" si="3"/>
        <v>2.5470257087958591E-2</v>
      </c>
    </row>
    <row r="33" spans="3:16" x14ac:dyDescent="0.2"/>
    <row r="34" spans="3:16" ht="15" x14ac:dyDescent="0.2">
      <c r="C34" s="77" t="s">
        <v>132</v>
      </c>
      <c r="D34" s="19" t="s">
        <v>16</v>
      </c>
      <c r="E34" s="19" t="s">
        <v>17</v>
      </c>
      <c r="F34" s="19" t="s">
        <v>18</v>
      </c>
      <c r="G34" s="19" t="s">
        <v>19</v>
      </c>
      <c r="H34" s="19" t="s">
        <v>20</v>
      </c>
      <c r="I34" s="19" t="s">
        <v>21</v>
      </c>
      <c r="J34" s="19" t="s">
        <v>22</v>
      </c>
      <c r="K34" s="19" t="s">
        <v>23</v>
      </c>
      <c r="L34" s="19" t="s">
        <v>24</v>
      </c>
      <c r="M34" s="132" t="s">
        <v>25</v>
      </c>
      <c r="N34" s="40" t="s">
        <v>354</v>
      </c>
      <c r="O34" s="137" t="s">
        <v>299</v>
      </c>
      <c r="P34" s="133" t="s">
        <v>300</v>
      </c>
    </row>
    <row r="35" spans="3:16" x14ac:dyDescent="0.2">
      <c r="C35" t="s">
        <v>128</v>
      </c>
      <c r="D35" s="121">
        <f>+'5. Financial indicators'!D18</f>
        <v>0.98947604417374213</v>
      </c>
      <c r="E35" s="121">
        <f>+'5. Financial indicators'!E18</f>
        <v>1.3469322852247247</v>
      </c>
      <c r="F35" s="121">
        <f>+'5. Financial indicators'!F18</f>
        <v>1.3555959285479044</v>
      </c>
      <c r="G35" s="121">
        <f>+'5. Financial indicators'!G18</f>
        <v>1.3637360342562972</v>
      </c>
      <c r="H35" s="121">
        <f>+'5. Financial indicators'!H18</f>
        <v>1.3776151206784168</v>
      </c>
      <c r="I35" s="121">
        <f>+'5. Financial indicators'!I18</f>
        <v>1.389874178906809</v>
      </c>
      <c r="J35" s="121">
        <f>+'5. Financial indicators'!J18</f>
        <v>1.4022381271704776</v>
      </c>
      <c r="K35" s="121">
        <f>+'5. Financial indicators'!K18</f>
        <v>1.4334053879498359</v>
      </c>
      <c r="L35" s="121">
        <f>+'5. Financial indicators'!L18</f>
        <v>1.4496413967255961</v>
      </c>
      <c r="M35" s="121">
        <f>+'5. Financial indicators'!M18</f>
        <v>1.4820057614236402</v>
      </c>
      <c r="N35" s="134">
        <f>+'5. Financial indicators'!N18</f>
        <v>1.4975151834959817</v>
      </c>
      <c r="O35" s="138">
        <f>+IFERROR(AVERAGE(E35:H35),"")</f>
        <v>1.3609698421768357</v>
      </c>
      <c r="P35" s="130">
        <f>+IFERROR(AVERAGE(E35:N35),"")</f>
        <v>1.4098559404379682</v>
      </c>
    </row>
    <row r="36" spans="3:16" x14ac:dyDescent="0.2">
      <c r="C36" t="s">
        <v>369</v>
      </c>
      <c r="D36" s="121">
        <f>IFERROR(('2. LTFP'!D199-D26)/'2. LTFP'!D219,"")</f>
        <v>0.98947604417374213</v>
      </c>
      <c r="E36" s="121">
        <f>IFERROR(('2. LTFP'!E199-E26)/'2. LTFP'!E219,"")</f>
        <v>1.2428330222966024</v>
      </c>
      <c r="F36" s="121">
        <f>IFERROR(('2. LTFP'!F199-F26)/'2. LTFP'!F219,"")</f>
        <v>1.2529945167085479</v>
      </c>
      <c r="G36" s="121">
        <f>IFERROR(('2. LTFP'!G199-G26)/'2. LTFP'!G219,"")</f>
        <v>1.2626725289340002</v>
      </c>
      <c r="H36" s="121">
        <f>IFERROR(('2. LTFP'!H199-H26)/'2. LTFP'!H219,"")</f>
        <v>1.2776734983819611</v>
      </c>
      <c r="I36" s="121">
        <f>IFERROR(('2. LTFP'!I199-I26)/'2. LTFP'!I219,"")</f>
        <v>1.2910691103915473</v>
      </c>
      <c r="J36" s="121">
        <f>IFERROR(('2. LTFP'!J199-J26)/'2. LTFP'!J219,"")</f>
        <v>1.3045834727450081</v>
      </c>
      <c r="K36" s="121">
        <f>IFERROR(('2. LTFP'!K199-K26)/'2. LTFP'!K219,"")</f>
        <v>1.3356401502331536</v>
      </c>
      <c r="L36" s="121">
        <f>IFERROR(('2. LTFP'!L199-L26)/'2. LTFP'!L219,"")</f>
        <v>1.3528376869853107</v>
      </c>
      <c r="M36" s="121">
        <f>IFERROR(('2. LTFP'!M199-M26)/'2. LTFP'!M219,"")</f>
        <v>1.3851413437175759</v>
      </c>
      <c r="N36" s="135">
        <f>IFERROR(('2. LTFP'!N199-N26)/'2. LTFP'!N219,"")</f>
        <v>1.3995393312803903</v>
      </c>
      <c r="O36" s="139">
        <f t="shared" ref="O36:O37" si="5">+IFERROR(AVERAGE(E36:H36),"")</f>
        <v>1.2590433915802777</v>
      </c>
      <c r="P36" s="130">
        <f t="shared" ref="P36:P37" si="6">+IFERROR(AVERAGE(E36:N36),"")</f>
        <v>1.3104984661674097</v>
      </c>
    </row>
    <row r="37" spans="3:16" x14ac:dyDescent="0.2">
      <c r="C37" t="s">
        <v>373</v>
      </c>
      <c r="D37" s="121">
        <f>+IFERROR(D35-D36,"")</f>
        <v>0</v>
      </c>
      <c r="E37" s="121">
        <f t="shared" ref="E37:N37" si="7">+IFERROR(E35-E36,"")</f>
        <v>0.10409926292812233</v>
      </c>
      <c r="F37" s="121">
        <f t="shared" si="7"/>
        <v>0.10260141183935656</v>
      </c>
      <c r="G37" s="121">
        <f t="shared" si="7"/>
        <v>0.10106350532229702</v>
      </c>
      <c r="H37" s="121">
        <f t="shared" si="7"/>
        <v>9.9941622296455757E-2</v>
      </c>
      <c r="I37" s="121">
        <f t="shared" si="7"/>
        <v>9.8805068515261718E-2</v>
      </c>
      <c r="J37" s="121">
        <f t="shared" si="7"/>
        <v>9.76546544254695E-2</v>
      </c>
      <c r="K37" s="121">
        <f t="shared" si="7"/>
        <v>9.7765237716682218E-2</v>
      </c>
      <c r="L37" s="121">
        <f t="shared" si="7"/>
        <v>9.6803709740285404E-2</v>
      </c>
      <c r="M37" s="121">
        <f t="shared" si="7"/>
        <v>9.6864417706064243E-2</v>
      </c>
      <c r="N37" s="121">
        <f t="shared" si="7"/>
        <v>9.7975852215591352E-2</v>
      </c>
      <c r="O37" s="139">
        <f t="shared" si="5"/>
        <v>0.10192645059655792</v>
      </c>
      <c r="P37" s="130">
        <f t="shared" si="6"/>
        <v>9.9357474270558604E-2</v>
      </c>
    </row>
    <row r="38" spans="3:16" x14ac:dyDescent="0.2"/>
    <row r="39" spans="3:16" x14ac:dyDescent="0.2">
      <c r="C39" s="125"/>
    </row>
    <row r="40" spans="3:16" x14ac:dyDescent="0.2"/>
    <row r="41" spans="3:16" x14ac:dyDescent="0.2"/>
    <row r="42" spans="3:16" x14ac:dyDescent="0.2"/>
    <row r="43" spans="3:16" x14ac:dyDescent="0.2"/>
    <row r="44" spans="3:16" x14ac:dyDescent="0.2"/>
    <row r="45" spans="3:16" x14ac:dyDescent="0.2"/>
    <row r="46" spans="3:16" x14ac:dyDescent="0.2"/>
    <row r="47" spans="3:16" x14ac:dyDescent="0.2"/>
    <row r="48" spans="3:16" x14ac:dyDescent="0.2"/>
    <row r="49" spans="2:21" x14ac:dyDescent="0.2"/>
    <row r="50" spans="2:21" x14ac:dyDescent="0.2"/>
    <row r="51" spans="2:21" x14ac:dyDescent="0.2"/>
    <row r="52" spans="2:21" x14ac:dyDescent="0.2"/>
    <row r="53" spans="2:21" x14ac:dyDescent="0.2"/>
    <row r="54" spans="2:21" x14ac:dyDescent="0.2"/>
    <row r="55" spans="2:21" x14ac:dyDescent="0.2"/>
    <row r="56" spans="2:21" x14ac:dyDescent="0.2"/>
    <row r="57" spans="2:21" x14ac:dyDescent="0.2"/>
    <row r="58" spans="2:21" x14ac:dyDescent="0.2"/>
    <row r="59" spans="2:21" x14ac:dyDescent="0.2"/>
    <row r="60" spans="2:21" x14ac:dyDescent="0.2"/>
    <row r="61" spans="2:21" x14ac:dyDescent="0.2"/>
    <row r="62" spans="2:21" x14ac:dyDescent="0.2"/>
    <row r="63" spans="2:21" x14ac:dyDescent="0.2"/>
    <row r="64" spans="2:21" ht="15" x14ac:dyDescent="0.25">
      <c r="B64" s="119" t="s">
        <v>13</v>
      </c>
      <c r="C64" s="118"/>
      <c r="D64" s="117"/>
      <c r="E64" s="117"/>
      <c r="F64" s="117"/>
      <c r="G64" s="117"/>
      <c r="H64" s="117"/>
      <c r="I64" s="117"/>
      <c r="J64" s="117"/>
      <c r="K64" s="117"/>
      <c r="L64" s="117"/>
      <c r="M64" s="117"/>
      <c r="N64" s="117"/>
      <c r="O64" s="117"/>
      <c r="P64" s="117"/>
      <c r="Q64" s="117"/>
      <c r="R64" s="117"/>
      <c r="S64" s="117"/>
      <c r="T64" s="117"/>
      <c r="U64" s="117"/>
    </row>
    <row r="65" x14ac:dyDescent="0.2"/>
    <row r="66" x14ac:dyDescent="0.2"/>
    <row r="67" x14ac:dyDescent="0.2"/>
  </sheetData>
  <sheetProtection algorithmName="SHA-512" hashValue="Nzdmad9gU7s3QWtVFdUsO96TdDE7gKQ+wqF0T71JhI+TI2JS4XpG3Yd7Nv8xgD1biNcHVL/lqfj4/hO9ovm83Q==" saltValue="gfbrDCOiRICfcbMA7FD8mA==" spinCount="100000" sheet="1" objects="1" scenarios="1"/>
  <mergeCells count="2">
    <mergeCell ref="O24:R26"/>
    <mergeCell ref="A1:A2"/>
  </mergeCells>
  <pageMargins left="0.7" right="0.7" top="0.75" bottom="0.75" header="0.3" footer="0.3"/>
  <pageSetup paperSize="9" orientation="portrait" r:id="rId1"/>
  <headerFooter>
    <oddHeader>&amp;C&amp;"Calibri"&amp;12&amp;KFF0000 OFFICIAL&amp;1#_x000D_</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c880ff-b0fa-47d3-b92b-f6d7d9066fa2" xsi:nil="true"/>
    <lcf76f155ced4ddcb4097134ff3c332f xmlns="657b8f37-b903-4f8a-ab5d-41999190f96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83F515FA0828146AFD33B45268774E5" ma:contentTypeVersion="17" ma:contentTypeDescription="Create a new document." ma:contentTypeScope="" ma:versionID="a729f4a7acd67a7cf4c4872ae83d4749">
  <xsd:schema xmlns:xsd="http://www.w3.org/2001/XMLSchema" xmlns:xs="http://www.w3.org/2001/XMLSchema" xmlns:p="http://schemas.microsoft.com/office/2006/metadata/properties" xmlns:ns2="657b8f37-b903-4f8a-ab5d-41999190f966" xmlns:ns3="d0c880ff-b0fa-47d3-b92b-f6d7d9066fa2" targetNamespace="http://schemas.microsoft.com/office/2006/metadata/properties" ma:root="true" ma:fieldsID="28782049ccca4d559822cf98e5211994" ns2:_="" ns3:_="">
    <xsd:import namespace="657b8f37-b903-4f8a-ab5d-41999190f966"/>
    <xsd:import namespace="d0c880ff-b0fa-47d3-b92b-f6d7d9066fa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7b8f37-b903-4f8a-ab5d-41999190f9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f688115-0302-4e1f-a4da-adfe537ad005"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c880ff-b0fa-47d3-b92b-f6d7d9066fa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628cbcc-27db-443b-b0e2-9cf6f4ddd42c}" ma:internalName="TaxCatchAll" ma:showField="CatchAllData" ma:web="d0c880ff-b0fa-47d3-b92b-f6d7d9066f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726A74-60A3-45CA-B1AB-A5109955FB17}">
  <ds:schemaRef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d0c880ff-b0fa-47d3-b92b-f6d7d9066fa2"/>
    <ds:schemaRef ds:uri="657b8f37-b903-4f8a-ab5d-41999190f966"/>
  </ds:schemaRefs>
</ds:datastoreItem>
</file>

<file path=customXml/itemProps2.xml><?xml version="1.0" encoding="utf-8"?>
<ds:datastoreItem xmlns:ds="http://schemas.openxmlformats.org/officeDocument/2006/customXml" ds:itemID="{69747869-F979-4BC4-8F8B-B30885C36C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7b8f37-b903-4f8a-ab5d-41999190f966"/>
    <ds:schemaRef ds:uri="d0c880ff-b0fa-47d3-b92b-f6d7d9066f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E8DB4F-D40D-429F-BD3B-51720DA35D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1. Coversheet and instructions</vt:lpstr>
      <vt:lpstr>2. LTFP</vt:lpstr>
      <vt:lpstr>3. Service impacts</vt:lpstr>
      <vt:lpstr>4. Higher cap calculation</vt:lpstr>
      <vt:lpstr>5. Financial indicators</vt:lpstr>
      <vt:lpstr>6. Summary</vt:lpstr>
      <vt:lpstr>7. Charts</vt:lpstr>
      <vt:lpstr>8. Supp_waste - detailed</vt:lpstr>
      <vt:lpstr>9. Supp_waste - Long term</vt:lpstr>
      <vt:lpstr>A. Ref_hidden</vt:lpstr>
      <vt:lpstr>Information &amp; Instructions</vt:lpstr>
      <vt:lpstr>App_years</vt:lpstr>
      <vt:lpstr>Capex_cat</vt:lpstr>
      <vt:lpstr>Council</vt:lpstr>
      <vt:lpstr>period</vt:lpstr>
      <vt:lpstr>Select_Council</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Murry Greasley (ESC)</dc:creator>
  <cp:lastModifiedBy>Patrick Ho (ESC)</cp:lastModifiedBy>
  <cp:lastPrinted>2024-11-28T00:34:06Z</cp:lastPrinted>
  <dcterms:created xsi:type="dcterms:W3CDTF">2017-05-10T14:46:39Z</dcterms:created>
  <dcterms:modified xsi:type="dcterms:W3CDTF">2025-05-07T05:11:51Z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0x010100883F515FA0828146AFD33B45268774E5</vt:lpwstr>
  </property>
  <property fmtid="{D5CDD505-2E9C-101B-9397-08002B2CF9AE}" pid="3" name="MediaServiceImageTags">
    <vt:lpwstr/>
  </property>
  <property fmtid="{D5CDD505-2E9C-101B-9397-08002B2CF9AE}" pid="4" name="MSIP_Label_c62a3d98-e4c9-4917-991a-0f0276b71296_Enabled">
    <vt:lpwstr>true</vt:lpwstr>
  </property>
  <property fmtid="{D5CDD505-2E9C-101B-9397-08002B2CF9AE}" pid="5" name="MSIP_Label_c62a3d98-e4c9-4917-991a-0f0276b71296_SetDate">
    <vt:lpwstr>2025-05-02T01:10:13Z</vt:lpwstr>
  </property>
  <property fmtid="{D5CDD505-2E9C-101B-9397-08002B2CF9AE}" pid="6" name="MSIP_Label_c62a3d98-e4c9-4917-991a-0f0276b71296_Method">
    <vt:lpwstr>Standard</vt:lpwstr>
  </property>
  <property fmtid="{D5CDD505-2E9C-101B-9397-08002B2CF9AE}" pid="7" name="MSIP_Label_c62a3d98-e4c9-4917-991a-0f0276b71296_Name">
    <vt:lpwstr>OFFICIAL</vt:lpwstr>
  </property>
  <property fmtid="{D5CDD505-2E9C-101B-9397-08002B2CF9AE}" pid="8" name="MSIP_Label_c62a3d98-e4c9-4917-991a-0f0276b71296_SiteId">
    <vt:lpwstr>5f894de5-5651-487a-aaff-5a8c899b254d</vt:lpwstr>
  </property>
  <property fmtid="{D5CDD505-2E9C-101B-9397-08002B2CF9AE}" pid="9" name="MSIP_Label_c62a3d98-e4c9-4917-991a-0f0276b71296_ActionId">
    <vt:lpwstr>5b1afa2a-6771-43e5-a8f5-e8a427ebe0ec</vt:lpwstr>
  </property>
  <property fmtid="{D5CDD505-2E9C-101B-9397-08002B2CF9AE}" pid="10" name="MSIP_Label_c62a3d98-e4c9-4917-991a-0f0276b71296_ContentBits">
    <vt:lpwstr>1</vt:lpwstr>
  </property>
  <property fmtid="{D5CDD505-2E9C-101B-9397-08002B2CF9AE}" pid="11" name="MSIP_Label_c62a3d98-e4c9-4917-991a-0f0276b71296_Tag">
    <vt:lpwstr>10, 3, 0, 1</vt:lpwstr>
  </property>
</Properties>
</file>