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queryTables/queryTable1.xml" ContentType="application/vnd.openxmlformats-officedocument.spreadsheetml.query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hidePivotFieldList="1" defaultThemeVersion="166925"/>
  <mc:AlternateContent xmlns:mc="http://schemas.openxmlformats.org/markup-compatibility/2006">
    <mc:Choice Requires="x15">
      <x15ac:absPath xmlns:x15ac="http://schemas.microsoft.com/office/spreadsheetml/2010/11/ac" url="https://escvic-my.sharepoint.com/personal/jonathan_roberts_esc_vic_gov_au/Documents/Desktop/VDO/2021/DD/"/>
    </mc:Choice>
  </mc:AlternateContent>
  <xr:revisionPtr revIDLastSave="0" documentId="8_{C8B2F75C-6624-4CF8-8038-2084D4079923}" xr6:coauthVersionLast="47" xr6:coauthVersionMax="47" xr10:uidLastSave="{00000000-0000-0000-0000-000000000000}"/>
  <workbookProtection workbookAlgorithmName="SHA-512" workbookHashValue="nmVwgzKd4/YkYLr4gRaPjeNALmY1dJi7fK1+NzoSeCrlFcktwVUDpeIlNsxGRAsId2pXJ84h+W7a7Yu1Qxpogg==" workbookSaltValue="UnrHnfrF5SvaMrtVPLf/Pg==" workbookSpinCount="100000" lockStructure="1"/>
  <bookViews>
    <workbookView xWindow="-120" yWindow="-120" windowWidth="29040" windowHeight="15840" tabRatio="843" xr2:uid="{7D2DFC98-FAB5-43BC-B4E4-A25601635F0E}"/>
  </bookViews>
  <sheets>
    <sheet name="Disclaimer" sheetId="46" r:id="rId1"/>
    <sheet name="Contents" sheetId="4" r:id="rId2"/>
    <sheet name="User Guide" sheetId="74" r:id="rId3"/>
    <sheet name="Inputs" sheetId="42" r:id="rId4"/>
    <sheet name="General Assumptions" sheetId="39" r:id="rId5"/>
    <sheet name="CPI" sheetId="48" r:id="rId6"/>
    <sheet name="Calc_Rates" sheetId="44" r:id="rId7"/>
    <sheet name="Calc_TU_values" sheetId="49" r:id="rId8"/>
    <sheet name="Calc_TU_rates" sheetId="63" r:id="rId9"/>
    <sheet name="OP_Rates" sheetId="51" r:id="rId10"/>
    <sheet name="OP_CMAB" sheetId="50" r:id="rId11"/>
  </sheets>
  <externalReferences>
    <externalReference r:id="rId12"/>
    <externalReference r:id="rId13"/>
  </externalReferences>
  <definedNames>
    <definedName name="AUD">'General Assumptions'!$D$12</definedName>
    <definedName name="DiY" localSheetId="2">'[1]General Assumptions'!$D$7</definedName>
    <definedName name="DiY">'General Assumptions'!$D$7</definedName>
    <definedName name="ExternalData_1" localSheetId="4" hidden="1">'General Assumptions'!$C$22:$D$27</definedName>
    <definedName name="FM_Prop" localSheetId="2">'[1]CH_Bill impacts 4 monthly'!$D$39</definedName>
    <definedName name="FM_Prop">#REF!</definedName>
    <definedName name="GST" localSheetId="2">'[1]General Assumptions'!$D$15</definedName>
    <definedName name="GST">'General Assumptions'!$D$15</definedName>
    <definedName name="H1_Prop" localSheetId="2">'[1]CH_Bill impacts half year'!$D$39</definedName>
    <definedName name="H1_Prop">#REF!</definedName>
    <definedName name="H2_Prop" localSheetId="2">'[1]CH_Bill impacts half year'!$E$39</definedName>
    <definedName name="H2_Prop">#REF!</definedName>
    <definedName name="HistUsage_JulAug_RES">#REF!</definedName>
    <definedName name="HistUsage_JulAug_SME">#REF!</definedName>
    <definedName name="M4_Prop" localSheetId="2">'[1]CH_CY bills 2020 vs 2021'!$E$110</definedName>
    <definedName name="M4_Prop">#REF!</definedName>
    <definedName name="M8_Prop" localSheetId="2">'[1]CH_CY bills 2020 vs 2021'!$D$110</definedName>
    <definedName name="M8_Prop">#REF!</definedName>
    <definedName name="MiQ">'General Assumptions'!$D$9</definedName>
    <definedName name="MiY" localSheetId="2">'[1]General Assumptions'!$D$8</definedName>
    <definedName name="MiY">'General Assumptions'!$D$8</definedName>
    <definedName name="One">[2]Gen_A!$J$39</definedName>
    <definedName name="Sht">[2]Gen_A!$J$44</definedName>
    <definedName name="Sxn">[2]Gen_A!$J$45</definedName>
    <definedName name="TU_Days">Inputs!$D$240</definedName>
    <definedName name="TU_ENV_CostMths" localSheetId="2">[1]Inputs!$D$246</definedName>
    <definedName name="TU_ENV_CostMths">Inputs!$D$246</definedName>
    <definedName name="TU_ENV_RateMths" localSheetId="2">[1]Inputs!$D$248</definedName>
    <definedName name="TU_ENV_RateMths">Inputs!$D$248</definedName>
    <definedName name="TU_NET_CostMths" localSheetId="2">[1]Inputs!$D$232</definedName>
    <definedName name="TU_NET_CostMths">Inputs!$D$232</definedName>
    <definedName name="TU_NET_RateMths" localSheetId="2">[1]Inputs!$D$234</definedName>
    <definedName name="TU_NET_RateMths">Inputs!$D$234</definedName>
    <definedName name="TU_Prop" localSheetId="2">'[1]CH_CY bills 2020 vs 2021'!$D$111</definedName>
    <definedName name="TU_Prop">#REF!</definedName>
    <definedName name="TUC_EndDate" localSheetId="2">[1]Inputs!$D$238</definedName>
    <definedName name="TUC_EndDate">Inputs!$D$238</definedName>
    <definedName name="TUC_StartDate" localSheetId="2">[1]Inputs!$D$236</definedName>
    <definedName name="TUC_StartDate">Inputs!$D$236</definedName>
    <definedName name="TUProp_Days_1" localSheetId="2">[1]Calc_TU_values!$D$79</definedName>
    <definedName name="TUProp_Days_1">Calc_TU_values!$D$79</definedName>
    <definedName name="TUProp_Days_2" localSheetId="2">[1]Calc_TU_values!$D$310</definedName>
    <definedName name="TUProp_Days_2">Calc_TU_values!$D$310</definedName>
    <definedName name="TUR_Days">Calc_TU_rates!$E$141</definedName>
    <definedName name="TUR_EndDate" localSheetId="2">[1]Inputs!$D$244</definedName>
    <definedName name="TUR_EndDate">Inputs!$D$244</definedName>
    <definedName name="TUR_StartDate" localSheetId="2">[1]Inputs!$D$242</definedName>
    <definedName name="TUR_StartDate">Inputs!$D$242</definedName>
    <definedName name="WACC" localSheetId="2">[1]Inputs!$D$230</definedName>
    <definedName name="WACC">Inputs!$D$230</definedName>
    <definedName name="WACC_adj_1" localSheetId="2">[1]Calc_TU_values!$D$82</definedName>
    <definedName name="WACC_adj_1">Calc_TU_values!$D$82</definedName>
    <definedName name="WACC_adj_2" localSheetId="2">[1]Calc_TU_values!$D$312</definedName>
    <definedName name="WACC_adj_2">Calc_TU_values!$D$312</definedName>
    <definedName name="WiY" localSheetId="2">'[1]General Assumptions'!$D$10</definedName>
    <definedName name="WiY">'General Assumptions'!$D$10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4" l="1"/>
  <c r="B6" i="4" s="1"/>
  <c r="B7" i="4" s="1"/>
  <c r="B8" i="4" s="1"/>
  <c r="B9" i="4" s="1"/>
  <c r="B10" i="4" s="1"/>
  <c r="B11" i="4" s="1"/>
  <c r="B12" i="4" s="1"/>
  <c r="B13" i="4" s="1"/>
  <c r="B14" i="4" s="1"/>
  <c r="C2" i="74"/>
  <c r="B3" i="74"/>
  <c r="B5" i="74" l="1"/>
  <c r="B39" i="74" l="1"/>
  <c r="B69" i="74" s="1"/>
  <c r="L43" i="50" l="1" a="1"/>
  <c r="L43" i="50" s="1"/>
  <c r="K43" i="50" a="1"/>
  <c r="K43" i="50" s="1"/>
  <c r="O456" i="49" l="1"/>
  <c r="N456" i="49"/>
  <c r="M456" i="49"/>
  <c r="L456" i="49"/>
  <c r="K456" i="49"/>
  <c r="O442" i="49"/>
  <c r="N442" i="49"/>
  <c r="M442" i="49"/>
  <c r="L442" i="49"/>
  <c r="K442" i="49"/>
  <c r="O428" i="49"/>
  <c r="N428" i="49"/>
  <c r="M428" i="49"/>
  <c r="L428" i="49"/>
  <c r="K428" i="49"/>
  <c r="O414" i="49"/>
  <c r="N414" i="49"/>
  <c r="M414" i="49"/>
  <c r="L414" i="49"/>
  <c r="K414" i="49"/>
  <c r="O399" i="49"/>
  <c r="N399" i="49"/>
  <c r="M399" i="49"/>
  <c r="L399" i="49"/>
  <c r="K399" i="49"/>
  <c r="O384" i="49"/>
  <c r="N384" i="49"/>
  <c r="M384" i="49"/>
  <c r="L384" i="49"/>
  <c r="K384" i="49"/>
  <c r="O344" i="49"/>
  <c r="N344" i="49"/>
  <c r="M344" i="49"/>
  <c r="L344" i="49"/>
  <c r="K344" i="49"/>
  <c r="K359" i="49"/>
  <c r="L359" i="49"/>
  <c r="M359" i="49"/>
  <c r="N359" i="49"/>
  <c r="O359" i="49"/>
  <c r="O370" i="49"/>
  <c r="N370" i="49"/>
  <c r="M370" i="49"/>
  <c r="L370" i="49"/>
  <c r="K370" i="49"/>
  <c r="U112" i="51" a="1"/>
  <c r="U112" i="51" s="1"/>
  <c r="T112" i="51" a="1"/>
  <c r="T112" i="51" s="1"/>
  <c r="S112" i="51" a="1"/>
  <c r="S112" i="51" s="1"/>
  <c r="R112" i="51" a="1"/>
  <c r="R112" i="51" s="1"/>
  <c r="Q112" i="51" a="1"/>
  <c r="Q112" i="51" s="1"/>
  <c r="U106" i="51" a="1"/>
  <c r="U106" i="51" s="1"/>
  <c r="U141" i="51" s="1" a="1"/>
  <c r="U141" i="51" s="1"/>
  <c r="T106" i="51" a="1"/>
  <c r="T106" i="51" s="1"/>
  <c r="T141" i="51" s="1" a="1"/>
  <c r="T141" i="51" s="1"/>
  <c r="S106" i="51" a="1"/>
  <c r="S106" i="51" s="1"/>
  <c r="S141" i="51" s="1" a="1"/>
  <c r="S141" i="51" s="1"/>
  <c r="R106" i="51" a="1"/>
  <c r="R106" i="51" s="1"/>
  <c r="R141" i="51" s="1" a="1"/>
  <c r="R141" i="51" s="1"/>
  <c r="Q106" i="51" a="1"/>
  <c r="Q106" i="51" s="1"/>
  <c r="Q141" i="51" s="1" a="1"/>
  <c r="Q141" i="51" s="1"/>
  <c r="U89" i="51" a="1"/>
  <c r="U89" i="51" s="1"/>
  <c r="T89" i="51" a="1"/>
  <c r="T89" i="51" s="1"/>
  <c r="S89" i="51" a="1"/>
  <c r="S89" i="51" s="1"/>
  <c r="R89" i="51" a="1"/>
  <c r="R89" i="51" s="1"/>
  <c r="Q89" i="51" a="1"/>
  <c r="Q89" i="51" s="1"/>
  <c r="L198" i="63" a="1"/>
  <c r="L198" i="63" s="1"/>
  <c r="L234" i="63" s="1"/>
  <c r="K198" i="63" a="1"/>
  <c r="K198" i="63" s="1"/>
  <c r="K234" i="63" s="1"/>
  <c r="J198" i="63" a="1"/>
  <c r="J198" i="63" s="1"/>
  <c r="J234" i="63" s="1"/>
  <c r="I198" i="63" a="1"/>
  <c r="I198" i="63" s="1"/>
  <c r="I234" i="63" s="1"/>
  <c r="L197" i="63" a="1"/>
  <c r="L197" i="63" s="1"/>
  <c r="L233" i="63" s="1"/>
  <c r="K197" i="63" a="1"/>
  <c r="K197" i="63" s="1"/>
  <c r="K233" i="63" s="1"/>
  <c r="J197" i="63" a="1"/>
  <c r="J197" i="63" s="1"/>
  <c r="J233" i="63" s="1"/>
  <c r="I197" i="63" a="1"/>
  <c r="I197" i="63" s="1"/>
  <c r="I233" i="63" s="1"/>
  <c r="L195" i="63" a="1"/>
  <c r="L195" i="63" s="1"/>
  <c r="L231" i="63" s="1"/>
  <c r="K195" i="63" a="1"/>
  <c r="K195" i="63" s="1"/>
  <c r="K231" i="63" s="1"/>
  <c r="J195" i="63" a="1"/>
  <c r="J195" i="63" s="1"/>
  <c r="J231" i="63" s="1"/>
  <c r="I195" i="63" a="1"/>
  <c r="I195" i="63" s="1"/>
  <c r="I231" i="63" s="1"/>
  <c r="L194" i="63" a="1"/>
  <c r="L194" i="63" s="1"/>
  <c r="L230" i="63" s="1"/>
  <c r="K194" i="63" a="1"/>
  <c r="K194" i="63" s="1"/>
  <c r="K230" i="63" s="1"/>
  <c r="J194" i="63" a="1"/>
  <c r="J194" i="63" s="1"/>
  <c r="J230" i="63" s="1"/>
  <c r="I194" i="63" a="1"/>
  <c r="I194" i="63" s="1"/>
  <c r="I230" i="63" s="1"/>
  <c r="H193" i="63" a="1"/>
  <c r="H193" i="63" s="1"/>
  <c r="H229" i="63" s="1"/>
  <c r="H192" i="63" a="1"/>
  <c r="H192" i="63" s="1"/>
  <c r="H228" i="63" s="1"/>
  <c r="L186" i="63" a="1"/>
  <c r="L186" i="63" s="1"/>
  <c r="L222" i="63" s="1"/>
  <c r="K186" i="63" a="1"/>
  <c r="K186" i="63" s="1"/>
  <c r="K222" i="63" s="1"/>
  <c r="J186" i="63" a="1"/>
  <c r="J186" i="63" s="1"/>
  <c r="J222" i="63" s="1"/>
  <c r="I186" i="63" a="1"/>
  <c r="I186" i="63" s="1"/>
  <c r="I222" i="63" s="1"/>
  <c r="L185" i="63" a="1"/>
  <c r="L185" i="63" s="1"/>
  <c r="L221" i="63" s="1"/>
  <c r="K185" i="63" a="1"/>
  <c r="K185" i="63" s="1"/>
  <c r="K221" i="63" s="1"/>
  <c r="J185" i="63" a="1"/>
  <c r="J185" i="63" s="1"/>
  <c r="J221" i="63" s="1"/>
  <c r="I185" i="63" a="1"/>
  <c r="I185" i="63" s="1"/>
  <c r="I221" i="63" s="1"/>
  <c r="L184" i="63" a="1"/>
  <c r="L184" i="63" s="1"/>
  <c r="L220" i="63" s="1"/>
  <c r="K184" i="63" a="1"/>
  <c r="K184" i="63" s="1"/>
  <c r="K220" i="63" s="1"/>
  <c r="J184" i="63" a="1"/>
  <c r="J184" i="63" s="1"/>
  <c r="J220" i="63" s="1"/>
  <c r="I184" i="63" a="1"/>
  <c r="I184" i="63" s="1"/>
  <c r="I220" i="63" s="1"/>
  <c r="L183" i="63" a="1"/>
  <c r="L183" i="63" s="1"/>
  <c r="L219" i="63" s="1"/>
  <c r="K183" i="63" a="1"/>
  <c r="K183" i="63" s="1"/>
  <c r="K219" i="63" s="1"/>
  <c r="J183" i="63" a="1"/>
  <c r="J183" i="63" s="1"/>
  <c r="J219" i="63" s="1"/>
  <c r="I183" i="63" a="1"/>
  <c r="I183" i="63" s="1"/>
  <c r="I219" i="63" s="1"/>
  <c r="H182" i="63" a="1"/>
  <c r="H182" i="63" s="1"/>
  <c r="H218" i="63" s="1"/>
  <c r="H181" i="63" a="1"/>
  <c r="H181" i="63" s="1"/>
  <c r="H217" i="63" s="1"/>
  <c r="L175" i="63" a="1"/>
  <c r="L175" i="63" s="1"/>
  <c r="K175" i="63" a="1"/>
  <c r="K175" i="63" s="1"/>
  <c r="J175" i="63" a="1"/>
  <c r="J175" i="63" s="1"/>
  <c r="I175" i="63" a="1"/>
  <c r="I175" i="63" s="1"/>
  <c r="L174" i="63" a="1"/>
  <c r="L174" i="63" s="1"/>
  <c r="K174" i="63" a="1"/>
  <c r="K174" i="63" s="1"/>
  <c r="J174" i="63" a="1"/>
  <c r="J174" i="63" s="1"/>
  <c r="I174" i="63" a="1"/>
  <c r="I174" i="63" s="1"/>
  <c r="L173" i="63" a="1"/>
  <c r="L173" i="63" s="1"/>
  <c r="K173" i="63" a="1"/>
  <c r="K173" i="63" s="1"/>
  <c r="J173" i="63" a="1"/>
  <c r="J173" i="63" s="1"/>
  <c r="I173" i="63" a="1"/>
  <c r="I173" i="63" s="1"/>
  <c r="L172" i="63" a="1"/>
  <c r="L172" i="63" s="1"/>
  <c r="K172" i="63" a="1"/>
  <c r="K172" i="63" s="1"/>
  <c r="J172" i="63" a="1"/>
  <c r="J172" i="63" s="1"/>
  <c r="I172" i="63" a="1"/>
  <c r="I172" i="63" s="1"/>
  <c r="H171" i="63" a="1"/>
  <c r="H171" i="63" s="1"/>
  <c r="H170" i="63" a="1"/>
  <c r="H170" i="63" s="1"/>
  <c r="C166" i="63"/>
  <c r="L166" i="63" s="1" a="1"/>
  <c r="L166" i="63" s="1"/>
  <c r="C165" i="63"/>
  <c r="C164" i="63"/>
  <c r="C137" i="63"/>
  <c r="C136" i="63"/>
  <c r="C135" i="63"/>
  <c r="C134" i="63"/>
  <c r="C133" i="63"/>
  <c r="C132" i="63"/>
  <c r="C131" i="63"/>
  <c r="C130" i="63"/>
  <c r="C129" i="63"/>
  <c r="U107" i="51" l="1" a="1"/>
  <c r="U107" i="51" s="1"/>
  <c r="H166" i="63" a="1"/>
  <c r="H166" i="63" s="1"/>
  <c r="J166" i="63" a="1"/>
  <c r="J166" i="63" s="1"/>
  <c r="L209" i="63"/>
  <c r="K200" i="63" a="1"/>
  <c r="K200" i="63" s="1"/>
  <c r="K236" i="63" s="1"/>
  <c r="I166" i="63" a="1"/>
  <c r="I166" i="63" s="1"/>
  <c r="U108" i="51" a="1"/>
  <c r="U108" i="51" s="1"/>
  <c r="I107" i="51" a="1"/>
  <c r="I107" i="51" s="1"/>
  <c r="J208" i="63"/>
  <c r="H207" i="63"/>
  <c r="Q109" i="51" a="1"/>
  <c r="Q109" i="51" s="1"/>
  <c r="R108" i="51" a="1"/>
  <c r="R108" i="51" s="1"/>
  <c r="I211" i="63"/>
  <c r="K166" i="63" a="1"/>
  <c r="K166" i="63" s="1"/>
  <c r="J107" i="51" a="1"/>
  <c r="J107" i="51" s="1"/>
  <c r="K208" i="63"/>
  <c r="I193" i="63" a="1"/>
  <c r="I193" i="63" s="1"/>
  <c r="I229" i="63" s="1"/>
  <c r="L211" i="63"/>
  <c r="K107" i="51" a="1"/>
  <c r="K107" i="51" s="1"/>
  <c r="L208" i="63"/>
  <c r="H108" i="51" a="1"/>
  <c r="H108" i="51" s="1"/>
  <c r="I210" i="63"/>
  <c r="S108" i="51" a="1"/>
  <c r="S108" i="51" s="1"/>
  <c r="J211" i="63"/>
  <c r="H206" i="63"/>
  <c r="G109" i="51" a="1"/>
  <c r="G109" i="51" s="1"/>
  <c r="I108" i="51" a="1"/>
  <c r="I108" i="51" s="1"/>
  <c r="J210" i="63"/>
  <c r="T108" i="51" a="1"/>
  <c r="T108" i="51" s="1"/>
  <c r="K211" i="63"/>
  <c r="K199" i="63" a="1"/>
  <c r="K199" i="63" s="1"/>
  <c r="K235" i="63" s="1"/>
  <c r="I209" i="63"/>
  <c r="R107" i="51" a="1"/>
  <c r="R107" i="51" s="1"/>
  <c r="S107" i="51" a="1"/>
  <c r="S107" i="51" s="1"/>
  <c r="J209" i="63"/>
  <c r="J108" i="51" a="1"/>
  <c r="J108" i="51" s="1"/>
  <c r="K210" i="63"/>
  <c r="H196" i="63" a="1"/>
  <c r="H196" i="63" s="1"/>
  <c r="H232" i="63" s="1"/>
  <c r="K201" i="63" a="1"/>
  <c r="K201" i="63" s="1"/>
  <c r="K237" i="63" s="1"/>
  <c r="J200" i="63" a="1"/>
  <c r="J200" i="63" s="1"/>
  <c r="J236" i="63" s="1"/>
  <c r="T107" i="51" a="1"/>
  <c r="T107" i="51" s="1"/>
  <c r="K209" i="63"/>
  <c r="L210" i="63"/>
  <c r="K108" i="51" a="1"/>
  <c r="K108" i="51" s="1"/>
  <c r="K202" i="63" a="1"/>
  <c r="K202" i="63" s="1"/>
  <c r="K238" i="63" s="1"/>
  <c r="H107" i="51" a="1"/>
  <c r="H107" i="51" s="1"/>
  <c r="I208" i="63"/>
  <c r="J192" i="63" a="1"/>
  <c r="J192" i="63" s="1"/>
  <c r="J228" i="63" s="1"/>
  <c r="J193" i="63" a="1"/>
  <c r="J193" i="63" s="1"/>
  <c r="J229" i="63" s="1"/>
  <c r="H197" i="63" a="1"/>
  <c r="H197" i="63" s="1"/>
  <c r="H233" i="63" s="1"/>
  <c r="L199" i="63" a="1"/>
  <c r="L199" i="63" s="1"/>
  <c r="L235" i="63" s="1"/>
  <c r="L202" i="63" a="1"/>
  <c r="L202" i="63" s="1"/>
  <c r="L238" i="63" s="1"/>
  <c r="K192" i="63" a="1"/>
  <c r="K192" i="63" s="1"/>
  <c r="K228" i="63" s="1"/>
  <c r="I196" i="63" a="1"/>
  <c r="I196" i="63" s="1"/>
  <c r="I232" i="63" s="1"/>
  <c r="H198" i="63" a="1"/>
  <c r="H198" i="63" s="1"/>
  <c r="H234" i="63" s="1"/>
  <c r="H199" i="63" a="1"/>
  <c r="H199" i="63" s="1"/>
  <c r="H235" i="63" s="1"/>
  <c r="L200" i="63" a="1"/>
  <c r="L200" i="63" s="1"/>
  <c r="L236" i="63" s="1"/>
  <c r="L201" i="63" a="1"/>
  <c r="L201" i="63" s="1"/>
  <c r="L237" i="63" s="1"/>
  <c r="K193" i="63" a="1"/>
  <c r="K193" i="63" s="1"/>
  <c r="K229" i="63" s="1"/>
  <c r="H200" i="63" a="1"/>
  <c r="H200" i="63" s="1"/>
  <c r="H236" i="63" s="1"/>
  <c r="H202" i="63" a="1"/>
  <c r="H202" i="63" s="1"/>
  <c r="H238" i="63" s="1"/>
  <c r="L192" i="63" a="1"/>
  <c r="L192" i="63" s="1"/>
  <c r="L228" i="63" s="1"/>
  <c r="J196" i="63" a="1"/>
  <c r="J196" i="63" s="1"/>
  <c r="J232" i="63" s="1"/>
  <c r="I199" i="63" a="1"/>
  <c r="I199" i="63" s="1"/>
  <c r="I235" i="63" s="1"/>
  <c r="H201" i="63" a="1"/>
  <c r="H201" i="63" s="1"/>
  <c r="H237" i="63" s="1"/>
  <c r="I202" i="63" a="1"/>
  <c r="I202" i="63" s="1"/>
  <c r="I238" i="63" s="1"/>
  <c r="L193" i="63" a="1"/>
  <c r="L193" i="63" s="1"/>
  <c r="L229" i="63" s="1"/>
  <c r="K196" i="63" a="1"/>
  <c r="K196" i="63" s="1"/>
  <c r="K232" i="63" s="1"/>
  <c r="I200" i="63" a="1"/>
  <c r="I200" i="63" s="1"/>
  <c r="I236" i="63" s="1"/>
  <c r="I201" i="63" a="1"/>
  <c r="I201" i="63" s="1"/>
  <c r="I237" i="63" s="1"/>
  <c r="J199" i="63" a="1"/>
  <c r="J199" i="63" s="1"/>
  <c r="J235" i="63" s="1"/>
  <c r="J201" i="63" a="1"/>
  <c r="J201" i="63" s="1"/>
  <c r="J237" i="63" s="1"/>
  <c r="J202" i="63" a="1"/>
  <c r="J202" i="63" s="1"/>
  <c r="J238" i="63" s="1"/>
  <c r="I192" i="63" a="1"/>
  <c r="I192" i="63" s="1"/>
  <c r="I228" i="63" s="1"/>
  <c r="H194" i="63" a="1"/>
  <c r="H194" i="63" s="1"/>
  <c r="H230" i="63" s="1"/>
  <c r="H195" i="63" a="1"/>
  <c r="H195" i="63" s="1"/>
  <c r="H231" i="63" s="1"/>
  <c r="L196" i="63" a="1"/>
  <c r="L196" i="63" s="1"/>
  <c r="L232" i="63" s="1"/>
  <c r="U142" i="51" l="1" a="1"/>
  <c r="U142" i="51" s="1"/>
  <c r="U143" i="51" a="1"/>
  <c r="U143" i="51" s="1"/>
  <c r="T142" i="51" a="1"/>
  <c r="T142" i="51" s="1"/>
  <c r="J143" i="51" a="1"/>
  <c r="J143" i="51" s="1"/>
  <c r="T143" i="51" a="1"/>
  <c r="T143" i="51" s="1"/>
  <c r="K142" i="51" a="1"/>
  <c r="K142" i="51" s="1"/>
  <c r="I142" i="51" a="1"/>
  <c r="I142" i="51" s="1"/>
  <c r="G144" i="51" a="1"/>
  <c r="G144" i="51" s="1"/>
  <c r="J142" i="51" a="1"/>
  <c r="J142" i="51" s="1"/>
  <c r="S143" i="51" a="1"/>
  <c r="S143" i="51" s="1"/>
  <c r="S142" i="51" a="1"/>
  <c r="S142" i="51" s="1"/>
  <c r="K143" i="51" a="1"/>
  <c r="K143" i="51" s="1"/>
  <c r="H142" i="51" a="1"/>
  <c r="H142" i="51" s="1"/>
  <c r="H143" i="51" a="1"/>
  <c r="H143" i="51" s="1"/>
  <c r="R143" i="51" a="1"/>
  <c r="R143" i="51" s="1"/>
  <c r="I143" i="51" a="1"/>
  <c r="I143" i="51" s="1"/>
  <c r="R142" i="51" a="1"/>
  <c r="R142" i="51" s="1"/>
  <c r="Q144" i="51" a="1"/>
  <c r="Q144" i="51" s="1"/>
  <c r="R16" i="51" l="1" a="1"/>
  <c r="R16" i="51" s="1"/>
  <c r="S16" i="51" a="1"/>
  <c r="S16" i="51" s="1"/>
  <c r="T16" i="51" a="1"/>
  <c r="T16" i="51" s="1"/>
  <c r="U16" i="51" a="1"/>
  <c r="U16" i="51" s="1"/>
  <c r="Q16" i="51" a="1"/>
  <c r="Q16" i="51" s="1"/>
  <c r="D240" i="42"/>
  <c r="F392" i="44"/>
  <c r="E392" i="44"/>
  <c r="O226" i="49"/>
  <c r="N226" i="49"/>
  <c r="M226" i="49"/>
  <c r="L226" i="49"/>
  <c r="K226" i="49"/>
  <c r="O212" i="49"/>
  <c r="N212" i="49"/>
  <c r="M212" i="49"/>
  <c r="L212" i="49"/>
  <c r="K212" i="49"/>
  <c r="O198" i="49"/>
  <c r="N198" i="49"/>
  <c r="M198" i="49"/>
  <c r="L198" i="49"/>
  <c r="K198" i="49"/>
  <c r="O184" i="49"/>
  <c r="N184" i="49"/>
  <c r="M184" i="49"/>
  <c r="L184" i="49"/>
  <c r="K184" i="49"/>
  <c r="O169" i="49"/>
  <c r="N169" i="49"/>
  <c r="M169" i="49"/>
  <c r="L169" i="49"/>
  <c r="K169" i="49"/>
  <c r="O154" i="49"/>
  <c r="N154" i="49"/>
  <c r="M154" i="49"/>
  <c r="L154" i="49"/>
  <c r="K154" i="49"/>
  <c r="O140" i="49"/>
  <c r="N140" i="49"/>
  <c r="M140" i="49"/>
  <c r="L140" i="49"/>
  <c r="K140" i="49"/>
  <c r="O129" i="49"/>
  <c r="N129" i="49"/>
  <c r="M129" i="49"/>
  <c r="L129" i="49"/>
  <c r="K129" i="49"/>
  <c r="O114" i="49"/>
  <c r="N114" i="49"/>
  <c r="M114" i="49"/>
  <c r="L114" i="49"/>
  <c r="K114" i="49"/>
  <c r="K256" i="49" l="1"/>
  <c r="D242" i="49"/>
  <c r="D240" i="49"/>
  <c r="D12" i="49"/>
  <c r="K26" i="49"/>
  <c r="D80" i="49"/>
  <c r="D82" i="49"/>
  <c r="D10" i="49"/>
  <c r="D145" i="44"/>
  <c r="D389" i="44"/>
  <c r="C115" i="51" l="1"/>
  <c r="C126" i="51"/>
  <c r="C137" i="51"/>
  <c r="M137" i="51"/>
  <c r="M126" i="51"/>
  <c r="M115" i="51"/>
  <c r="M64" i="51"/>
  <c r="M53" i="51"/>
  <c r="M42" i="51"/>
  <c r="R33" i="51" a="1"/>
  <c r="R33" i="51" s="1"/>
  <c r="R68" i="51" s="1" a="1"/>
  <c r="R68" i="51" s="1"/>
  <c r="S33" i="51" a="1"/>
  <c r="S33" i="51" s="1"/>
  <c r="S68" i="51" s="1" a="1"/>
  <c r="S68" i="51" s="1"/>
  <c r="T33" i="51" a="1"/>
  <c r="T33" i="51" s="1"/>
  <c r="T68" i="51" s="1" a="1"/>
  <c r="T68" i="51" s="1"/>
  <c r="U33" i="51" a="1"/>
  <c r="U33" i="51" s="1"/>
  <c r="U68" i="51" s="1" a="1"/>
  <c r="U68" i="51" s="1"/>
  <c r="R39" i="51" a="1"/>
  <c r="R39" i="51" s="1"/>
  <c r="S39" i="51" a="1"/>
  <c r="S39" i="51" s="1"/>
  <c r="T39" i="51" a="1"/>
  <c r="T39" i="51" s="1"/>
  <c r="U39" i="51" a="1"/>
  <c r="U39" i="51" s="1"/>
  <c r="Q39" i="51" a="1"/>
  <c r="Q39" i="51" s="1"/>
  <c r="Q33" i="51" a="1"/>
  <c r="Q33" i="51" s="1"/>
  <c r="Q68" i="51" s="1" a="1"/>
  <c r="Q68" i="51" s="1"/>
  <c r="D23" i="48" l="1"/>
  <c r="D235" i="49"/>
  <c r="K54" i="49"/>
  <c r="O54" i="49"/>
  <c r="N54" i="49"/>
  <c r="M54" i="49"/>
  <c r="L54" i="49"/>
  <c r="O40" i="49"/>
  <c r="N40" i="49"/>
  <c r="M40" i="49"/>
  <c r="L40" i="49"/>
  <c r="K40" i="49"/>
  <c r="L26" i="49"/>
  <c r="M26" i="49"/>
  <c r="N26" i="49"/>
  <c r="O26" i="49"/>
  <c r="O284" i="49"/>
  <c r="N284" i="49"/>
  <c r="M284" i="49"/>
  <c r="L284" i="49"/>
  <c r="K284" i="49"/>
  <c r="K270" i="49"/>
  <c r="O270" i="49"/>
  <c r="N270" i="49"/>
  <c r="M270" i="49"/>
  <c r="L270" i="49"/>
  <c r="L256" i="49"/>
  <c r="M256" i="49"/>
  <c r="N256" i="49"/>
  <c r="O256" i="49"/>
  <c r="J221" i="42"/>
  <c r="I221" i="42"/>
  <c r="H221" i="42"/>
  <c r="G221" i="42"/>
  <c r="F221" i="42"/>
  <c r="C15" i="63"/>
  <c r="C19" i="63"/>
  <c r="C18" i="63"/>
  <c r="C17" i="63"/>
  <c r="C16" i="63"/>
  <c r="C14" i="63"/>
  <c r="C13" i="63"/>
  <c r="C12" i="63"/>
  <c r="C11" i="63"/>
  <c r="H11" i="63" s="1"/>
  <c r="D280" i="49" l="1"/>
  <c r="F205" i="42" l="1" a="1"/>
  <c r="F205" i="42" s="1"/>
  <c r="G205" i="42" a="1"/>
  <c r="G205" i="42" s="1"/>
  <c r="H205" i="42" a="1"/>
  <c r="H205" i="42" s="1"/>
  <c r="I205" i="42" a="1"/>
  <c r="I205" i="42" s="1"/>
  <c r="J205" i="42" a="1"/>
  <c r="J205" i="42" s="1"/>
  <c r="F206" i="42" a="1"/>
  <c r="F206" i="42" s="1"/>
  <c r="G206" i="42" a="1"/>
  <c r="G206" i="42" s="1"/>
  <c r="H206" i="42" a="1"/>
  <c r="H206" i="42" s="1"/>
  <c r="I206" i="42" a="1"/>
  <c r="I206" i="42" s="1"/>
  <c r="J206" i="42" a="1"/>
  <c r="J206" i="42" s="1"/>
  <c r="F207" i="42" a="1"/>
  <c r="F207" i="42" s="1"/>
  <c r="G207" i="42" a="1"/>
  <c r="G207" i="42" s="1"/>
  <c r="H207" i="42" a="1"/>
  <c r="H207" i="42" s="1"/>
  <c r="I207" i="42" a="1"/>
  <c r="I207" i="42" s="1"/>
  <c r="J207" i="42" a="1"/>
  <c r="J207" i="42" s="1"/>
  <c r="F208" i="42" a="1"/>
  <c r="F208" i="42" s="1"/>
  <c r="G208" i="42" a="1"/>
  <c r="G208" i="42" s="1"/>
  <c r="H208" i="42" a="1"/>
  <c r="H208" i="42" s="1"/>
  <c r="I208" i="42" a="1"/>
  <c r="I208" i="42" s="1"/>
  <c r="J208" i="42" a="1"/>
  <c r="J208" i="42" s="1"/>
  <c r="F209" i="42" a="1"/>
  <c r="F209" i="42" s="1"/>
  <c r="G209" i="42" a="1"/>
  <c r="G209" i="42" s="1"/>
  <c r="H209" i="42" a="1"/>
  <c r="H209" i="42" s="1"/>
  <c r="I209" i="42" a="1"/>
  <c r="I209" i="42" s="1"/>
  <c r="J209" i="42" a="1"/>
  <c r="J209" i="42" s="1"/>
  <c r="F210" i="42" a="1"/>
  <c r="F210" i="42" s="1"/>
  <c r="G210" i="42" a="1"/>
  <c r="G210" i="42" s="1"/>
  <c r="H210" i="42" a="1"/>
  <c r="H210" i="42" s="1"/>
  <c r="I210" i="42" a="1"/>
  <c r="I210" i="42" s="1"/>
  <c r="J210" i="42" a="1"/>
  <c r="J210" i="42" s="1"/>
  <c r="F211" i="42" a="1"/>
  <c r="F211" i="42" s="1"/>
  <c r="G211" i="42" a="1"/>
  <c r="G211" i="42" s="1"/>
  <c r="H211" i="42" a="1"/>
  <c r="H211" i="42" s="1"/>
  <c r="I211" i="42" a="1"/>
  <c r="I211" i="42" s="1"/>
  <c r="J211" i="42" a="1"/>
  <c r="J211" i="42" s="1"/>
  <c r="F212" i="42" a="1"/>
  <c r="F212" i="42" s="1"/>
  <c r="G212" i="42" a="1"/>
  <c r="G212" i="42" s="1"/>
  <c r="H212" i="42" a="1"/>
  <c r="H212" i="42" s="1"/>
  <c r="I212" i="42" a="1"/>
  <c r="I212" i="42" s="1"/>
  <c r="J212" i="42" a="1"/>
  <c r="J212" i="42" s="1"/>
  <c r="F213" i="42" a="1"/>
  <c r="F213" i="42" s="1"/>
  <c r="G213" i="42" a="1"/>
  <c r="G213" i="42" s="1"/>
  <c r="H213" i="42" a="1"/>
  <c r="H213" i="42" s="1"/>
  <c r="I213" i="42" a="1"/>
  <c r="I213" i="42" s="1"/>
  <c r="J213" i="42" a="1"/>
  <c r="J213" i="42" s="1"/>
  <c r="G204" i="42" a="1"/>
  <c r="G204" i="42" s="1"/>
  <c r="H204" i="42" a="1"/>
  <c r="H204" i="42" s="1"/>
  <c r="I204" i="42" a="1"/>
  <c r="I204" i="42" s="1"/>
  <c r="J204" i="42" a="1"/>
  <c r="J204" i="42" s="1"/>
  <c r="F204" i="42" a="1"/>
  <c r="F204" i="42" s="1"/>
  <c r="F215" i="42" s="1"/>
  <c r="J201" i="42"/>
  <c r="I201" i="42"/>
  <c r="H201" i="42"/>
  <c r="G201" i="42"/>
  <c r="F201" i="42"/>
  <c r="I215" i="42" l="1"/>
  <c r="G215" i="42"/>
  <c r="H215" i="42"/>
  <c r="J216" i="42"/>
  <c r="H216" i="42"/>
  <c r="G216" i="42"/>
  <c r="F217" i="42"/>
  <c r="J215" i="42"/>
  <c r="I216" i="42"/>
  <c r="J217" i="42"/>
  <c r="I217" i="42"/>
  <c r="F216" i="42"/>
  <c r="H217" i="42"/>
  <c r="G217" i="42"/>
  <c r="I187" i="42"/>
  <c r="M187" i="42"/>
  <c r="L187" i="42"/>
  <c r="K187" i="42"/>
  <c r="J187" i="42"/>
  <c r="C42" i="51" l="1"/>
  <c r="L79" i="63" a="1"/>
  <c r="L79" i="63" s="1"/>
  <c r="L115" i="63" s="1"/>
  <c r="K79" i="63" a="1"/>
  <c r="K79" i="63" s="1"/>
  <c r="K115" i="63" s="1"/>
  <c r="J79" i="63" a="1"/>
  <c r="J79" i="63" s="1"/>
  <c r="J115" i="63" s="1"/>
  <c r="I79" i="63" a="1"/>
  <c r="I79" i="63" s="1"/>
  <c r="I115" i="63" s="1"/>
  <c r="L78" i="63" a="1"/>
  <c r="L78" i="63" s="1"/>
  <c r="L114" i="63" s="1"/>
  <c r="K78" i="63" a="1"/>
  <c r="K78" i="63" s="1"/>
  <c r="K114" i="63" s="1"/>
  <c r="J78" i="63" a="1"/>
  <c r="J78" i="63" s="1"/>
  <c r="J114" i="63" s="1"/>
  <c r="I78" i="63" a="1"/>
  <c r="I78" i="63" s="1"/>
  <c r="I114" i="63" s="1"/>
  <c r="L77" i="63" a="1"/>
  <c r="L77" i="63" s="1"/>
  <c r="L113" i="63" s="1"/>
  <c r="K77" i="63" a="1"/>
  <c r="K77" i="63" s="1"/>
  <c r="K113" i="63" s="1"/>
  <c r="J77" i="63" a="1"/>
  <c r="J77" i="63" s="1"/>
  <c r="J113" i="63" s="1"/>
  <c r="I77" i="63" a="1"/>
  <c r="I77" i="63" s="1"/>
  <c r="I113" i="63" s="1"/>
  <c r="L76" i="63" a="1"/>
  <c r="L76" i="63" s="1"/>
  <c r="L112" i="63" s="1"/>
  <c r="K76" i="63" a="1"/>
  <c r="K76" i="63" s="1"/>
  <c r="K112" i="63" s="1"/>
  <c r="J76" i="63" a="1"/>
  <c r="J76" i="63" s="1"/>
  <c r="J112" i="63" s="1"/>
  <c r="I76" i="63" a="1"/>
  <c r="I76" i="63" s="1"/>
  <c r="I112" i="63" s="1"/>
  <c r="L68" i="63" a="1"/>
  <c r="L68" i="63" s="1"/>
  <c r="L104" i="63" s="1"/>
  <c r="K68" i="63" a="1"/>
  <c r="K68" i="63" s="1"/>
  <c r="K104" i="63" s="1"/>
  <c r="J68" i="63" a="1"/>
  <c r="J68" i="63" s="1"/>
  <c r="J104" i="63" s="1"/>
  <c r="I68" i="63" a="1"/>
  <c r="I68" i="63" s="1"/>
  <c r="I104" i="63" s="1"/>
  <c r="L67" i="63" a="1"/>
  <c r="L67" i="63" s="1"/>
  <c r="L103" i="63" s="1"/>
  <c r="K67" i="63" a="1"/>
  <c r="K67" i="63" s="1"/>
  <c r="K103" i="63" s="1"/>
  <c r="J67" i="63" a="1"/>
  <c r="J67" i="63" s="1"/>
  <c r="J103" i="63" s="1"/>
  <c r="I67" i="63" a="1"/>
  <c r="I67" i="63" s="1"/>
  <c r="I103" i="63" s="1"/>
  <c r="L66" i="63" a="1"/>
  <c r="L66" i="63" s="1"/>
  <c r="L102" i="63" s="1"/>
  <c r="K66" i="63" a="1"/>
  <c r="K66" i="63" s="1"/>
  <c r="K102" i="63" s="1"/>
  <c r="J66" i="63" a="1"/>
  <c r="J66" i="63" s="1"/>
  <c r="J102" i="63" s="1"/>
  <c r="I66" i="63" a="1"/>
  <c r="I66" i="63" s="1"/>
  <c r="I102" i="63" s="1"/>
  <c r="L65" i="63" a="1"/>
  <c r="L65" i="63" s="1"/>
  <c r="L101" i="63" s="1"/>
  <c r="K65" i="63" a="1"/>
  <c r="K65" i="63" s="1"/>
  <c r="K101" i="63" s="1"/>
  <c r="J65" i="63" a="1"/>
  <c r="J65" i="63" s="1"/>
  <c r="J101" i="63" s="1"/>
  <c r="I65" i="63" a="1"/>
  <c r="I65" i="63" s="1"/>
  <c r="I101" i="63" s="1"/>
  <c r="L57" i="63" a="1"/>
  <c r="L57" i="63" s="1"/>
  <c r="K57" i="63" a="1"/>
  <c r="K57" i="63" s="1"/>
  <c r="J57" i="63" a="1"/>
  <c r="J57" i="63" s="1"/>
  <c r="I57" i="63" a="1"/>
  <c r="I57" i="63" s="1"/>
  <c r="L56" i="63" a="1"/>
  <c r="L56" i="63" s="1"/>
  <c r="K56" i="63" a="1"/>
  <c r="K56" i="63" s="1"/>
  <c r="J56" i="63" a="1"/>
  <c r="J56" i="63" s="1"/>
  <c r="I56" i="63" a="1"/>
  <c r="I56" i="63" s="1"/>
  <c r="L55" i="63" a="1"/>
  <c r="L55" i="63" s="1"/>
  <c r="K55" i="63" a="1"/>
  <c r="K55" i="63" s="1"/>
  <c r="J55" i="63" a="1"/>
  <c r="J55" i="63" s="1"/>
  <c r="I55" i="63" a="1"/>
  <c r="I55" i="63" s="1"/>
  <c r="L54" i="63" a="1"/>
  <c r="L54" i="63" s="1"/>
  <c r="K54" i="63" a="1"/>
  <c r="K54" i="63" s="1"/>
  <c r="J54" i="63" a="1"/>
  <c r="J54" i="63" s="1"/>
  <c r="I54" i="63" a="1"/>
  <c r="I54" i="63" s="1"/>
  <c r="H75" i="63" a="1"/>
  <c r="H75" i="63" s="1"/>
  <c r="H111" i="63" s="1"/>
  <c r="H74" i="63" a="1"/>
  <c r="H74" i="63" s="1"/>
  <c r="H110" i="63" s="1"/>
  <c r="H64" i="63" a="1"/>
  <c r="H64" i="63" s="1"/>
  <c r="H100" i="63" s="1"/>
  <c r="H63" i="63" a="1"/>
  <c r="H63" i="63" s="1"/>
  <c r="H99" i="63" s="1"/>
  <c r="H53" i="63" a="1"/>
  <c r="H53" i="63" s="1"/>
  <c r="H52" i="63" a="1"/>
  <c r="H52" i="63" s="1"/>
  <c r="J92" i="63" l="1"/>
  <c r="I35" i="51" a="1"/>
  <c r="I35" i="51" s="1"/>
  <c r="I70" i="51" s="1" a="1"/>
  <c r="I70" i="51" s="1"/>
  <c r="H88" i="63"/>
  <c r="G36" i="51" a="1"/>
  <c r="G36" i="51" s="1"/>
  <c r="G71" i="51" s="1" a="1"/>
  <c r="G71" i="51" s="1"/>
  <c r="K90" i="63"/>
  <c r="J34" i="51" a="1"/>
  <c r="J34" i="51" s="1"/>
  <c r="J69" i="51" s="1" a="1"/>
  <c r="J69" i="51" s="1"/>
  <c r="K92" i="63"/>
  <c r="J35" i="51" a="1"/>
  <c r="J35" i="51" s="1"/>
  <c r="J70" i="51" s="1" a="1"/>
  <c r="J70" i="51" s="1"/>
  <c r="I91" i="63"/>
  <c r="R34" i="51" a="1"/>
  <c r="R34" i="51" s="1"/>
  <c r="R69" i="51" s="1" a="1"/>
  <c r="R69" i="51" s="1"/>
  <c r="I93" i="63"/>
  <c r="R35" i="51" a="1"/>
  <c r="R35" i="51" s="1"/>
  <c r="R70" i="51" s="1" a="1"/>
  <c r="R70" i="51" s="1"/>
  <c r="L92" i="63"/>
  <c r="K35" i="51" a="1"/>
  <c r="K35" i="51" s="1"/>
  <c r="K70" i="51" s="1" a="1"/>
  <c r="K70" i="51" s="1"/>
  <c r="J91" i="63"/>
  <c r="S34" i="51" a="1"/>
  <c r="S34" i="51" s="1"/>
  <c r="S69" i="51" s="1" a="1"/>
  <c r="S69" i="51" s="1"/>
  <c r="J93" i="63"/>
  <c r="S35" i="51" a="1"/>
  <c r="S35" i="51" s="1"/>
  <c r="S70" i="51" s="1" a="1"/>
  <c r="S70" i="51" s="1"/>
  <c r="H89" i="63"/>
  <c r="Q36" i="51" a="1"/>
  <c r="Q36" i="51" s="1"/>
  <c r="Q71" i="51" s="1" a="1"/>
  <c r="Q71" i="51" s="1"/>
  <c r="K91" i="63"/>
  <c r="T34" i="51" a="1"/>
  <c r="T34" i="51" s="1"/>
  <c r="T69" i="51" s="1" a="1"/>
  <c r="T69" i="51" s="1"/>
  <c r="L91" i="63"/>
  <c r="U34" i="51" a="1"/>
  <c r="U34" i="51" s="1"/>
  <c r="U69" i="51" s="1" a="1"/>
  <c r="U69" i="51" s="1"/>
  <c r="L93" i="63"/>
  <c r="U35" i="51" a="1"/>
  <c r="U35" i="51" s="1"/>
  <c r="U70" i="51" s="1" a="1"/>
  <c r="U70" i="51" s="1"/>
  <c r="J90" i="63"/>
  <c r="I34" i="51" a="1"/>
  <c r="I34" i="51" s="1"/>
  <c r="I69" i="51" s="1" a="1"/>
  <c r="I69" i="51" s="1"/>
  <c r="L90" i="63"/>
  <c r="K34" i="51" a="1"/>
  <c r="K34" i="51" s="1"/>
  <c r="K69" i="51" s="1" a="1"/>
  <c r="K69" i="51" s="1"/>
  <c r="K93" i="63"/>
  <c r="T35" i="51" a="1"/>
  <c r="T35" i="51" s="1"/>
  <c r="T70" i="51" s="1" a="1"/>
  <c r="T70" i="51" s="1"/>
  <c r="I90" i="63"/>
  <c r="H34" i="51" a="1"/>
  <c r="H34" i="51" s="1"/>
  <c r="H69" i="51" s="1" a="1"/>
  <c r="H69" i="51" s="1"/>
  <c r="I92" i="63"/>
  <c r="H35" i="51" a="1"/>
  <c r="H35" i="51" s="1"/>
  <c r="H70" i="51" s="1" a="1"/>
  <c r="H70" i="51" s="1"/>
  <c r="E158" i="42"/>
  <c r="C64" i="51"/>
  <c r="C65" i="44"/>
  <c r="C48" i="63" l="1"/>
  <c r="C47" i="63"/>
  <c r="C46" i="63"/>
  <c r="J53" i="63" l="1" a="1"/>
  <c r="J53" i="63" s="1"/>
  <c r="I84" i="63" a="1"/>
  <c r="I84" i="63" s="1"/>
  <c r="I120" i="63" s="1"/>
  <c r="I83" i="63" a="1"/>
  <c r="I83" i="63" s="1"/>
  <c r="I119" i="63" s="1"/>
  <c r="I82" i="63" a="1"/>
  <c r="I82" i="63" s="1"/>
  <c r="I118" i="63" s="1"/>
  <c r="I81" i="63" a="1"/>
  <c r="I81" i="63" s="1"/>
  <c r="I117" i="63" s="1"/>
  <c r="I80" i="63" a="1"/>
  <c r="I80" i="63" s="1"/>
  <c r="I116" i="63" s="1"/>
  <c r="I75" i="63" a="1"/>
  <c r="I75" i="63" s="1"/>
  <c r="I111" i="63" s="1"/>
  <c r="I74" i="63" a="1"/>
  <c r="I74" i="63" s="1"/>
  <c r="I110" i="63" s="1"/>
  <c r="I73" i="63" a="1"/>
  <c r="I73" i="63" s="1"/>
  <c r="I109" i="63" s="1"/>
  <c r="I72" i="63" a="1"/>
  <c r="I72" i="63" s="1"/>
  <c r="I108" i="63" s="1"/>
  <c r="I71" i="63" a="1"/>
  <c r="I71" i="63" s="1"/>
  <c r="I107" i="63" s="1"/>
  <c r="I70" i="63" a="1"/>
  <c r="I70" i="63" s="1"/>
  <c r="I106" i="63" s="1"/>
  <c r="I69" i="63" a="1"/>
  <c r="I69" i="63" s="1"/>
  <c r="I105" i="63" s="1"/>
  <c r="I64" i="63" a="1"/>
  <c r="I64" i="63" s="1"/>
  <c r="I100" i="63" s="1"/>
  <c r="I63" i="63" a="1"/>
  <c r="I63" i="63" s="1"/>
  <c r="I99" i="63" s="1"/>
  <c r="I62" i="63" a="1"/>
  <c r="I62" i="63" s="1"/>
  <c r="I61" i="63" a="1"/>
  <c r="I61" i="63" s="1"/>
  <c r="I60" i="63" a="1"/>
  <c r="I60" i="63" s="1"/>
  <c r="I59" i="63" a="1"/>
  <c r="I59" i="63" s="1"/>
  <c r="I58" i="63" a="1"/>
  <c r="I58" i="63" s="1"/>
  <c r="L52" i="63" a="1"/>
  <c r="L52" i="63" s="1"/>
  <c r="H84" i="63" a="1"/>
  <c r="H84" i="63" s="1"/>
  <c r="H120" i="63" s="1"/>
  <c r="H80" i="63" a="1"/>
  <c r="H80" i="63" s="1"/>
  <c r="H116" i="63" s="1"/>
  <c r="H76" i="63" a="1"/>
  <c r="H76" i="63" s="1"/>
  <c r="H112" i="63" s="1"/>
  <c r="H72" i="63" a="1"/>
  <c r="H72" i="63" s="1"/>
  <c r="H108" i="63" s="1"/>
  <c r="H68" i="63" a="1"/>
  <c r="H68" i="63" s="1"/>
  <c r="H104" i="63" s="1"/>
  <c r="H60" i="63" a="1"/>
  <c r="H60" i="63" s="1"/>
  <c r="H56" i="63" a="1"/>
  <c r="H56" i="63" s="1"/>
  <c r="H59" i="63" a="1"/>
  <c r="H59" i="63" s="1"/>
  <c r="K58" i="63" a="1"/>
  <c r="K58" i="63" s="1"/>
  <c r="K53" i="63" a="1"/>
  <c r="K53" i="63" s="1"/>
  <c r="H82" i="63" a="1"/>
  <c r="H82" i="63" s="1"/>
  <c r="H118" i="63" s="1"/>
  <c r="H70" i="63" a="1"/>
  <c r="H70" i="63" s="1"/>
  <c r="H106" i="63" s="1"/>
  <c r="H62" i="63" a="1"/>
  <c r="H62" i="63" s="1"/>
  <c r="H54" i="63" a="1"/>
  <c r="H54" i="63" s="1"/>
  <c r="J84" i="63" a="1"/>
  <c r="J84" i="63" s="1"/>
  <c r="J120" i="63" s="1"/>
  <c r="J82" i="63" a="1"/>
  <c r="J82" i="63" s="1"/>
  <c r="J118" i="63" s="1"/>
  <c r="J81" i="63" a="1"/>
  <c r="J81" i="63" s="1"/>
  <c r="J117" i="63" s="1"/>
  <c r="J75" i="63" a="1"/>
  <c r="J75" i="63" s="1"/>
  <c r="J111" i="63" s="1"/>
  <c r="J72" i="63" a="1"/>
  <c r="J72" i="63" s="1"/>
  <c r="J108" i="63" s="1"/>
  <c r="J69" i="63" a="1"/>
  <c r="J69" i="63" s="1"/>
  <c r="J105" i="63" s="1"/>
  <c r="J64" i="63" a="1"/>
  <c r="J64" i="63" s="1"/>
  <c r="J100" i="63" s="1"/>
  <c r="J61" i="63" a="1"/>
  <c r="J61" i="63" s="1"/>
  <c r="J58" i="63" a="1"/>
  <c r="J58" i="63" s="1"/>
  <c r="H81" i="63" a="1"/>
  <c r="H81" i="63" s="1"/>
  <c r="H117" i="63" s="1"/>
  <c r="H69" i="63" a="1"/>
  <c r="H69" i="63" s="1"/>
  <c r="H105" i="63" s="1"/>
  <c r="H57" i="63" a="1"/>
  <c r="H57" i="63" s="1"/>
  <c r="L84" i="63" a="1"/>
  <c r="L84" i="63" s="1"/>
  <c r="L120" i="63" s="1"/>
  <c r="L83" i="63" a="1"/>
  <c r="L83" i="63" s="1"/>
  <c r="L119" i="63" s="1"/>
  <c r="L82" i="63" a="1"/>
  <c r="L82" i="63" s="1"/>
  <c r="L118" i="63" s="1"/>
  <c r="L81" i="63" a="1"/>
  <c r="L81" i="63" s="1"/>
  <c r="L117" i="63" s="1"/>
  <c r="L80" i="63" a="1"/>
  <c r="L80" i="63" s="1"/>
  <c r="L116" i="63" s="1"/>
  <c r="L75" i="63" a="1"/>
  <c r="L75" i="63" s="1"/>
  <c r="L111" i="63" s="1"/>
  <c r="L74" i="63" a="1"/>
  <c r="L74" i="63" s="1"/>
  <c r="L110" i="63" s="1"/>
  <c r="L73" i="63" a="1"/>
  <c r="L73" i="63" s="1"/>
  <c r="L109" i="63" s="1"/>
  <c r="L72" i="63" a="1"/>
  <c r="L72" i="63" s="1"/>
  <c r="L108" i="63" s="1"/>
  <c r="L71" i="63" a="1"/>
  <c r="L71" i="63" s="1"/>
  <c r="L107" i="63" s="1"/>
  <c r="L70" i="63" a="1"/>
  <c r="L70" i="63" s="1"/>
  <c r="L106" i="63" s="1"/>
  <c r="L69" i="63" a="1"/>
  <c r="L69" i="63" s="1"/>
  <c r="L105" i="63" s="1"/>
  <c r="L64" i="63" a="1"/>
  <c r="L64" i="63" s="1"/>
  <c r="L100" i="63" s="1"/>
  <c r="L63" i="63" a="1"/>
  <c r="L63" i="63" s="1"/>
  <c r="L99" i="63" s="1"/>
  <c r="L62" i="63" a="1"/>
  <c r="L62" i="63" s="1"/>
  <c r="L61" i="63" a="1"/>
  <c r="L61" i="63" s="1"/>
  <c r="L60" i="63" a="1"/>
  <c r="L60" i="63" s="1"/>
  <c r="L59" i="63" a="1"/>
  <c r="L59" i="63" s="1"/>
  <c r="L58" i="63" a="1"/>
  <c r="L58" i="63" s="1"/>
  <c r="L53" i="63" a="1"/>
  <c r="L53" i="63" s="1"/>
  <c r="K52" i="63" a="1"/>
  <c r="K52" i="63" s="1"/>
  <c r="H83" i="63" a="1"/>
  <c r="H83" i="63" s="1"/>
  <c r="H119" i="63" s="1"/>
  <c r="H79" i="63" a="1"/>
  <c r="H79" i="63" s="1"/>
  <c r="H115" i="63" s="1"/>
  <c r="H71" i="63" a="1"/>
  <c r="H71" i="63" s="1"/>
  <c r="H107" i="63" s="1"/>
  <c r="H67" i="63" a="1"/>
  <c r="H67" i="63" s="1"/>
  <c r="H103" i="63" s="1"/>
  <c r="H55" i="63" a="1"/>
  <c r="H55" i="63" s="1"/>
  <c r="J52" i="63" a="1"/>
  <c r="J52" i="63" s="1"/>
  <c r="H78" i="63" a="1"/>
  <c r="H78" i="63" s="1"/>
  <c r="H114" i="63" s="1"/>
  <c r="H66" i="63" a="1"/>
  <c r="H66" i="63" s="1"/>
  <c r="H102" i="63" s="1"/>
  <c r="H58" i="63" a="1"/>
  <c r="H58" i="63" s="1"/>
  <c r="J83" i="63" a="1"/>
  <c r="J83" i="63" s="1"/>
  <c r="J119" i="63" s="1"/>
  <c r="J80" i="63" a="1"/>
  <c r="J80" i="63" s="1"/>
  <c r="J116" i="63" s="1"/>
  <c r="J73" i="63" a="1"/>
  <c r="J73" i="63" s="1"/>
  <c r="J109" i="63" s="1"/>
  <c r="J70" i="63" a="1"/>
  <c r="J70" i="63" s="1"/>
  <c r="J106" i="63" s="1"/>
  <c r="J62" i="63" a="1"/>
  <c r="J62" i="63" s="1"/>
  <c r="J59" i="63" a="1"/>
  <c r="J59" i="63" s="1"/>
  <c r="I53" i="63" a="1"/>
  <c r="I53" i="63" s="1"/>
  <c r="H77" i="63" a="1"/>
  <c r="H77" i="63" s="1"/>
  <c r="H113" i="63" s="1"/>
  <c r="H65" i="63" a="1"/>
  <c r="H65" i="63" s="1"/>
  <c r="H101" i="63" s="1"/>
  <c r="K84" i="63" a="1"/>
  <c r="K84" i="63" s="1"/>
  <c r="K120" i="63" s="1"/>
  <c r="K83" i="63" a="1"/>
  <c r="K83" i="63" s="1"/>
  <c r="K119" i="63" s="1"/>
  <c r="K82" i="63" a="1"/>
  <c r="K82" i="63" s="1"/>
  <c r="K118" i="63" s="1"/>
  <c r="K81" i="63" a="1"/>
  <c r="K81" i="63" s="1"/>
  <c r="K117" i="63" s="1"/>
  <c r="K80" i="63" a="1"/>
  <c r="K80" i="63" s="1"/>
  <c r="K116" i="63" s="1"/>
  <c r="K75" i="63" a="1"/>
  <c r="K75" i="63" s="1"/>
  <c r="K111" i="63" s="1"/>
  <c r="K74" i="63" a="1"/>
  <c r="K74" i="63" s="1"/>
  <c r="K110" i="63" s="1"/>
  <c r="K73" i="63" a="1"/>
  <c r="K73" i="63" s="1"/>
  <c r="K109" i="63" s="1"/>
  <c r="K72" i="63" a="1"/>
  <c r="K72" i="63" s="1"/>
  <c r="K108" i="63" s="1"/>
  <c r="K71" i="63" a="1"/>
  <c r="K71" i="63" s="1"/>
  <c r="K107" i="63" s="1"/>
  <c r="K70" i="63" a="1"/>
  <c r="K70" i="63" s="1"/>
  <c r="K106" i="63" s="1"/>
  <c r="K69" i="63" a="1"/>
  <c r="K69" i="63" s="1"/>
  <c r="K105" i="63" s="1"/>
  <c r="K64" i="63" a="1"/>
  <c r="K64" i="63" s="1"/>
  <c r="K100" i="63" s="1"/>
  <c r="K63" i="63" a="1"/>
  <c r="K63" i="63" s="1"/>
  <c r="K99" i="63" s="1"/>
  <c r="K62" i="63" a="1"/>
  <c r="K62" i="63" s="1"/>
  <c r="K61" i="63" a="1"/>
  <c r="K61" i="63" s="1"/>
  <c r="K60" i="63" a="1"/>
  <c r="K60" i="63" s="1"/>
  <c r="K59" i="63" a="1"/>
  <c r="K59" i="63" s="1"/>
  <c r="J74" i="63" a="1"/>
  <c r="J74" i="63" s="1"/>
  <c r="J110" i="63" s="1"/>
  <c r="J71" i="63" a="1"/>
  <c r="J71" i="63" s="1"/>
  <c r="J107" i="63" s="1"/>
  <c r="J63" i="63" a="1"/>
  <c r="J63" i="63" s="1"/>
  <c r="J99" i="63" s="1"/>
  <c r="J60" i="63" a="1"/>
  <c r="J60" i="63" s="1"/>
  <c r="I52" i="63" a="1"/>
  <c r="I52" i="63" s="1"/>
  <c r="H73" i="63" a="1"/>
  <c r="H73" i="63" s="1"/>
  <c r="H109" i="63" s="1"/>
  <c r="H61" i="63" a="1"/>
  <c r="H61" i="63" s="1"/>
  <c r="L46" i="63" a="1"/>
  <c r="L46" i="63" s="1"/>
  <c r="K47" i="63" a="1"/>
  <c r="K47" i="63" s="1"/>
  <c r="L48" i="63" a="1"/>
  <c r="L48" i="63" s="1"/>
  <c r="C53" i="51"/>
  <c r="D123" i="63"/>
  <c r="D5" i="63"/>
  <c r="B3" i="63"/>
  <c r="C2" i="63"/>
  <c r="H97" i="63" l="1"/>
  <c r="G38" i="51" a="1"/>
  <c r="G38" i="51" s="1"/>
  <c r="G73" i="51" s="1" a="1"/>
  <c r="G73" i="51" s="1"/>
  <c r="K96" i="63"/>
  <c r="T37" i="51" a="1"/>
  <c r="T37" i="51" s="1"/>
  <c r="T72" i="51" s="1" a="1"/>
  <c r="T72" i="51" s="1"/>
  <c r="L97" i="63"/>
  <c r="K38" i="51" a="1"/>
  <c r="K38" i="51" s="1"/>
  <c r="K73" i="51" s="1" a="1"/>
  <c r="K73" i="51" s="1"/>
  <c r="H93" i="63"/>
  <c r="Q35" i="51" a="1"/>
  <c r="Q35" i="51" s="1"/>
  <c r="Q70" i="51" s="1" a="1"/>
  <c r="Q70" i="51" s="1"/>
  <c r="K89" i="63"/>
  <c r="T36" i="51" a="1"/>
  <c r="T36" i="51" s="1"/>
  <c r="T71" i="51" s="1" a="1"/>
  <c r="T71" i="51" s="1"/>
  <c r="K97" i="63"/>
  <c r="J38" i="51" a="1"/>
  <c r="J38" i="51" s="1"/>
  <c r="J73" i="51" s="1" a="1"/>
  <c r="J73" i="51" s="1"/>
  <c r="L98" i="63"/>
  <c r="U38" i="51" a="1"/>
  <c r="U38" i="51" s="1"/>
  <c r="U73" i="51" s="1" a="1"/>
  <c r="U73" i="51" s="1"/>
  <c r="K94" i="63"/>
  <c r="J39" i="51" a="1"/>
  <c r="J39" i="51" s="1"/>
  <c r="J74" i="51" s="1" a="1"/>
  <c r="J74" i="51" s="1"/>
  <c r="L96" i="63"/>
  <c r="U37" i="51" a="1"/>
  <c r="U37" i="51" s="1"/>
  <c r="U72" i="51" s="1" a="1"/>
  <c r="U72" i="51" s="1"/>
  <c r="I88" i="63"/>
  <c r="H36" i="51" a="1"/>
  <c r="H36" i="51" s="1"/>
  <c r="H71" i="51" s="1" a="1"/>
  <c r="H71" i="51" s="1"/>
  <c r="K98" i="63"/>
  <c r="T38" i="51" a="1"/>
  <c r="T38" i="51" s="1"/>
  <c r="T73" i="51" s="1" a="1"/>
  <c r="T73" i="51" s="1"/>
  <c r="H94" i="63"/>
  <c r="G39" i="51" a="1"/>
  <c r="G39" i="51" s="1"/>
  <c r="G74" i="51" s="1" a="1"/>
  <c r="G74" i="51" s="1"/>
  <c r="H95" i="63"/>
  <c r="G37" i="51" a="1"/>
  <c r="G37" i="51" s="1"/>
  <c r="G72" i="51" s="1" a="1"/>
  <c r="G72" i="51" s="1"/>
  <c r="L88" i="63"/>
  <c r="K36" i="51" a="1"/>
  <c r="K36" i="51" s="1"/>
  <c r="K71" i="51" s="1" a="1"/>
  <c r="K71" i="51" s="1"/>
  <c r="K95" i="63"/>
  <c r="J37" i="51" a="1"/>
  <c r="J37" i="51" s="1"/>
  <c r="J72" i="51" s="1" a="1"/>
  <c r="J72" i="51" s="1"/>
  <c r="I98" i="63"/>
  <c r="R38" i="51" a="1"/>
  <c r="R38" i="51" s="1"/>
  <c r="R73" i="51" s="1" a="1"/>
  <c r="R73" i="51" s="1"/>
  <c r="J96" i="63"/>
  <c r="S37" i="51" a="1"/>
  <c r="S37" i="51" s="1"/>
  <c r="S72" i="51" s="1" a="1"/>
  <c r="S72" i="51" s="1"/>
  <c r="I89" i="63"/>
  <c r="R36" i="51" a="1"/>
  <c r="R36" i="51" s="1"/>
  <c r="R71" i="51" s="1" a="1"/>
  <c r="R71" i="51" s="1"/>
  <c r="K88" i="63"/>
  <c r="J36" i="51" a="1"/>
  <c r="J36" i="51" s="1"/>
  <c r="J71" i="51" s="1" a="1"/>
  <c r="J71" i="51" s="1"/>
  <c r="J94" i="63"/>
  <c r="I39" i="51" a="1"/>
  <c r="I39" i="51" s="1"/>
  <c r="I74" i="51" s="1" a="1"/>
  <c r="I74" i="51" s="1"/>
  <c r="H92" i="63"/>
  <c r="G35" i="51" a="1"/>
  <c r="G35" i="51" s="1"/>
  <c r="G70" i="51" s="1" a="1"/>
  <c r="G70" i="51" s="1"/>
  <c r="I94" i="63"/>
  <c r="H39" i="51" a="1"/>
  <c r="H39" i="51" s="1"/>
  <c r="H74" i="51" s="1" a="1"/>
  <c r="H74" i="51" s="1"/>
  <c r="J95" i="63"/>
  <c r="I37" i="51" a="1"/>
  <c r="I37" i="51" s="1"/>
  <c r="I72" i="51" s="1" a="1"/>
  <c r="I72" i="51" s="1"/>
  <c r="L89" i="63"/>
  <c r="U36" i="51" a="1"/>
  <c r="U36" i="51" s="1"/>
  <c r="U71" i="51" s="1" a="1"/>
  <c r="U71" i="51" s="1"/>
  <c r="J97" i="63"/>
  <c r="I38" i="51" a="1"/>
  <c r="I38" i="51" s="1"/>
  <c r="I73" i="51" s="1" a="1"/>
  <c r="I73" i="51" s="1"/>
  <c r="H90" i="63"/>
  <c r="G34" i="51" a="1"/>
  <c r="G34" i="51" s="1"/>
  <c r="G69" i="51" s="1" a="1"/>
  <c r="G69" i="51" s="1"/>
  <c r="H96" i="63"/>
  <c r="Q37" i="51" a="1"/>
  <c r="Q37" i="51" s="1"/>
  <c r="Q72" i="51" s="1" a="1"/>
  <c r="Q72" i="51" s="1"/>
  <c r="I95" i="63"/>
  <c r="H37" i="51" a="1"/>
  <c r="H37" i="51" s="1"/>
  <c r="H72" i="51" s="1" a="1"/>
  <c r="H72" i="51" s="1"/>
  <c r="J98" i="63"/>
  <c r="S38" i="51" a="1"/>
  <c r="S38" i="51" s="1"/>
  <c r="S73" i="51" s="1" a="1"/>
  <c r="S73" i="51" s="1"/>
  <c r="J88" i="63"/>
  <c r="I36" i="51" a="1"/>
  <c r="I36" i="51" s="1"/>
  <c r="I71" i="51" s="1" a="1"/>
  <c r="I71" i="51" s="1"/>
  <c r="L94" i="63"/>
  <c r="K39" i="51" a="1"/>
  <c r="K39" i="51" s="1"/>
  <c r="K74" i="51" s="1" a="1"/>
  <c r="K74" i="51" s="1"/>
  <c r="H98" i="63"/>
  <c r="Q38" i="51" a="1"/>
  <c r="Q38" i="51" s="1"/>
  <c r="Q73" i="51" s="1" a="1"/>
  <c r="Q73" i="51" s="1"/>
  <c r="I96" i="63"/>
  <c r="R37" i="51" a="1"/>
  <c r="R37" i="51" s="1"/>
  <c r="R72" i="51" s="1" a="1"/>
  <c r="R72" i="51" s="1"/>
  <c r="H91" i="63"/>
  <c r="Q34" i="51" a="1"/>
  <c r="Q34" i="51" s="1"/>
  <c r="L95" i="63"/>
  <c r="K37" i="51" a="1"/>
  <c r="K37" i="51" s="1"/>
  <c r="K72" i="51" s="1" a="1"/>
  <c r="K72" i="51" s="1"/>
  <c r="I97" i="63"/>
  <c r="H38" i="51" a="1"/>
  <c r="H38" i="51" s="1"/>
  <c r="H73" i="51" s="1" a="1"/>
  <c r="H73" i="51" s="1"/>
  <c r="J89" i="63"/>
  <c r="S36" i="51" a="1"/>
  <c r="S36" i="51" s="1"/>
  <c r="S71" i="51" s="1" a="1"/>
  <c r="S71" i="51" s="1"/>
  <c r="D2" i="63"/>
  <c r="H47" i="63" a="1"/>
  <c r="H47" i="63" s="1"/>
  <c r="I46" i="63" a="1"/>
  <c r="I46" i="63" s="1"/>
  <c r="K46" i="63" a="1"/>
  <c r="K46" i="63" s="1"/>
  <c r="J47" i="63" a="1"/>
  <c r="J47" i="63" s="1"/>
  <c r="L47" i="63" a="1"/>
  <c r="L47" i="63" s="1"/>
  <c r="I48" i="63" a="1"/>
  <c r="I48" i="63" s="1"/>
  <c r="K48" i="63" a="1"/>
  <c r="K48" i="63" s="1"/>
  <c r="H46" i="63" a="1"/>
  <c r="H46" i="63" s="1"/>
  <c r="J46" i="63" a="1"/>
  <c r="J46" i="63" s="1"/>
  <c r="I47" i="63" a="1"/>
  <c r="I47" i="63" s="1"/>
  <c r="H48" i="63" a="1"/>
  <c r="H48" i="63" s="1"/>
  <c r="J48" i="63" a="1"/>
  <c r="J48" i="63" s="1"/>
  <c r="B7" i="63"/>
  <c r="B42" i="63" s="1"/>
  <c r="E2" i="63"/>
  <c r="Q69" i="51" l="1" a="1"/>
  <c r="Q69" i="51" s="1"/>
  <c r="I175" i="42" l="1"/>
  <c r="J8" i="42"/>
  <c r="K8" i="42"/>
  <c r="H8" i="42"/>
  <c r="D5" i="49"/>
  <c r="D312" i="49"/>
  <c r="E152" i="42"/>
  <c r="E153" i="42"/>
  <c r="E154" i="42"/>
  <c r="E155" i="42"/>
  <c r="E156" i="42"/>
  <c r="E157" i="42"/>
  <c r="E159" i="42"/>
  <c r="E160" i="42"/>
  <c r="E161" i="42"/>
  <c r="E162" i="42"/>
  <c r="E163" i="42"/>
  <c r="E164" i="42"/>
  <c r="E165" i="42"/>
  <c r="E166" i="42"/>
  <c r="E167" i="42"/>
  <c r="E168" i="42"/>
  <c r="E169" i="42"/>
  <c r="E170" i="42"/>
  <c r="M175" i="42"/>
  <c r="L175" i="42"/>
  <c r="K175" i="42"/>
  <c r="J175" i="42"/>
  <c r="M11" i="49" l="1"/>
  <c r="K12" i="49"/>
  <c r="N11" i="49"/>
  <c r="K10" i="49"/>
  <c r="O11" i="49"/>
  <c r="L10" i="49"/>
  <c r="L12" i="49"/>
  <c r="M10" i="49"/>
  <c r="M12" i="49"/>
  <c r="N10" i="49"/>
  <c r="N12" i="49"/>
  <c r="O10" i="49"/>
  <c r="O12" i="49"/>
  <c r="L11" i="49"/>
  <c r="K11" i="49"/>
  <c r="D41" i="49"/>
  <c r="D22" i="49"/>
  <c r="D213" i="49"/>
  <c r="D193" i="49"/>
  <c r="D165" i="49"/>
  <c r="D137" i="49"/>
  <c r="D111" i="49"/>
  <c r="D32" i="49"/>
  <c r="D205" i="49"/>
  <c r="D162" i="49"/>
  <c r="D123" i="49"/>
  <c r="D39" i="49"/>
  <c r="D21" i="49"/>
  <c r="D210" i="49"/>
  <c r="D185" i="49"/>
  <c r="D164" i="49"/>
  <c r="D130" i="49"/>
  <c r="D107" i="49"/>
  <c r="D20" i="49"/>
  <c r="D192" i="49"/>
  <c r="D161" i="49"/>
  <c r="D122" i="49"/>
  <c r="D35" i="49"/>
  <c r="D47" i="49"/>
  <c r="D179" i="49"/>
  <c r="D194" i="49"/>
  <c r="D112" i="49"/>
  <c r="D135" i="49"/>
  <c r="D37" i="49"/>
  <c r="D110" i="49"/>
  <c r="D209" i="49"/>
  <c r="D182" i="49"/>
  <c r="D155" i="49"/>
  <c r="D127" i="49"/>
  <c r="D18" i="49"/>
  <c r="D19" i="49"/>
  <c r="D191" i="49"/>
  <c r="D160" i="49"/>
  <c r="D121" i="49"/>
  <c r="D224" i="49"/>
  <c r="D125" i="49"/>
  <c r="D148" i="49"/>
  <c r="D221" i="49"/>
  <c r="D33" i="49"/>
  <c r="D55" i="49"/>
  <c r="D36" i="49"/>
  <c r="D227" i="49"/>
  <c r="D208" i="49"/>
  <c r="D181" i="49"/>
  <c r="D152" i="49"/>
  <c r="D126" i="49"/>
  <c r="D48" i="49"/>
  <c r="D220" i="49"/>
  <c r="D190" i="49"/>
  <c r="D149" i="49"/>
  <c r="D120" i="49"/>
  <c r="D53" i="49"/>
  <c r="D180" i="49"/>
  <c r="D151" i="49"/>
  <c r="D219" i="49"/>
  <c r="D23" i="49"/>
  <c r="D138" i="49"/>
  <c r="D199" i="49"/>
  <c r="D109" i="49"/>
  <c r="D49" i="49"/>
  <c r="D166" i="49"/>
  <c r="D206" i="49"/>
  <c r="D51" i="49"/>
  <c r="D27" i="49"/>
  <c r="D223" i="49"/>
  <c r="D196" i="49"/>
  <c r="D170" i="49"/>
  <c r="D150" i="49"/>
  <c r="D124" i="49"/>
  <c r="D46" i="49"/>
  <c r="D218" i="49"/>
  <c r="D178" i="49"/>
  <c r="D147" i="49"/>
  <c r="D108" i="49"/>
  <c r="D163" i="49"/>
  <c r="D50" i="49"/>
  <c r="D25" i="49"/>
  <c r="D222" i="49"/>
  <c r="D195" i="49"/>
  <c r="D167" i="49"/>
  <c r="D141" i="49"/>
  <c r="D115" i="49"/>
  <c r="D34" i="49"/>
  <c r="D207" i="49"/>
  <c r="D177" i="49"/>
  <c r="D136" i="49"/>
  <c r="D338" i="49"/>
  <c r="D448" i="49"/>
  <c r="D407" i="49"/>
  <c r="D366" i="49"/>
  <c r="D337" i="49"/>
  <c r="D249" i="49"/>
  <c r="D391" i="49"/>
  <c r="D276" i="49"/>
  <c r="D339" i="49"/>
  <c r="D408" i="49"/>
  <c r="D437" i="49"/>
  <c r="D393" i="49"/>
  <c r="D365" i="49"/>
  <c r="D278" i="49"/>
  <c r="D248" i="49"/>
  <c r="D352" i="49"/>
  <c r="D378" i="49"/>
  <c r="D449" i="49"/>
  <c r="D250" i="49"/>
  <c r="D436" i="49"/>
  <c r="D392" i="49"/>
  <c r="D353" i="49"/>
  <c r="D277" i="49"/>
  <c r="D435" i="49"/>
  <c r="D450" i="49"/>
  <c r="D409" i="49"/>
  <c r="D262" i="49"/>
  <c r="D377" i="49"/>
  <c r="D422" i="49"/>
  <c r="D390" i="49"/>
  <c r="D351" i="49"/>
  <c r="D264" i="49"/>
  <c r="D421" i="49"/>
  <c r="D420" i="49"/>
  <c r="D379" i="49"/>
  <c r="D350" i="49"/>
  <c r="D263" i="49"/>
  <c r="D271" i="49"/>
  <c r="D252" i="49"/>
  <c r="D457" i="49"/>
  <c r="D438" i="49"/>
  <c r="D411" i="49"/>
  <c r="D382" i="49"/>
  <c r="D356" i="49"/>
  <c r="D269" i="49"/>
  <c r="D251" i="49"/>
  <c r="D454" i="49"/>
  <c r="D429" i="49"/>
  <c r="D410" i="49"/>
  <c r="D381" i="49"/>
  <c r="D355" i="49"/>
  <c r="D267" i="49"/>
  <c r="D453" i="49"/>
  <c r="D426" i="49"/>
  <c r="D400" i="49"/>
  <c r="D380" i="49"/>
  <c r="D354" i="49"/>
  <c r="D285" i="49"/>
  <c r="D266" i="49"/>
  <c r="D452" i="49"/>
  <c r="D425" i="49"/>
  <c r="D397" i="49"/>
  <c r="D371" i="49"/>
  <c r="D345" i="49"/>
  <c r="D283" i="49"/>
  <c r="D265" i="49"/>
  <c r="D451" i="49"/>
  <c r="D424" i="49"/>
  <c r="D396" i="49"/>
  <c r="D368" i="49"/>
  <c r="D342" i="49"/>
  <c r="D281" i="49"/>
  <c r="D257" i="49"/>
  <c r="D443" i="49"/>
  <c r="D423" i="49"/>
  <c r="D395" i="49"/>
  <c r="D367" i="49"/>
  <c r="D341" i="49"/>
  <c r="D255" i="49"/>
  <c r="D440" i="49"/>
  <c r="D415" i="49"/>
  <c r="D394" i="49"/>
  <c r="D360" i="49"/>
  <c r="D340" i="49"/>
  <c r="D279" i="49"/>
  <c r="D253" i="49"/>
  <c r="D439" i="49"/>
  <c r="D412" i="49"/>
  <c r="D385" i="49"/>
  <c r="D357" i="49"/>
  <c r="P11" i="49" l="1"/>
  <c r="P10" i="49"/>
  <c r="P12" i="49"/>
  <c r="B125" i="63"/>
  <c r="B160" i="63" s="1"/>
  <c r="D43" i="50" l="1" a="1"/>
  <c r="D43" i="50" s="1"/>
  <c r="C43" i="50" a="1"/>
  <c r="C43" i="50" s="1"/>
  <c r="G2" i="50"/>
  <c r="H2" i="50"/>
  <c r="F2" i="51"/>
  <c r="G2" i="51"/>
  <c r="C291" i="44" l="1"/>
  <c r="C283" i="44"/>
  <c r="C274" i="44"/>
  <c r="E13" i="48"/>
  <c r="C266" i="44"/>
  <c r="C47" i="44"/>
  <c r="C39" i="44"/>
  <c r="C30" i="44"/>
  <c r="C22" i="44"/>
  <c r="P8" i="42" l="1"/>
  <c r="N8" i="42"/>
  <c r="L8" i="42"/>
  <c r="Q8" i="42"/>
  <c r="O8" i="42"/>
  <c r="M8" i="42"/>
  <c r="I8" i="42"/>
  <c r="K131" i="42"/>
  <c r="J131" i="42"/>
  <c r="M131" i="42"/>
  <c r="L131" i="42"/>
  <c r="I131" i="42"/>
  <c r="J483" i="44" l="1" a="1"/>
  <c r="J483" i="44" s="1"/>
  <c r="K447" i="44" a="1"/>
  <c r="K447" i="44" s="1"/>
  <c r="I483" i="44" a="1"/>
  <c r="I483" i="44" s="1"/>
  <c r="J447" i="44" a="1"/>
  <c r="J447" i="44" s="1"/>
  <c r="G432" i="44" a="1"/>
  <c r="G432" i="44" s="1"/>
  <c r="J477" i="44" a="1"/>
  <c r="J477" i="44" s="1"/>
  <c r="K445" i="44" a="1"/>
  <c r="K445" i="44" s="1"/>
  <c r="K341" i="44" s="1"/>
  <c r="H425" i="44" a="1"/>
  <c r="H425" i="44" s="1"/>
  <c r="G457" i="44" a="1"/>
  <c r="G457" i="44" s="1"/>
  <c r="H436" i="44" a="1"/>
  <c r="H436" i="44" s="1"/>
  <c r="H477" i="44" a="1"/>
  <c r="H477" i="44" s="1"/>
  <c r="J482" i="44" a="1"/>
  <c r="J482" i="44" s="1"/>
  <c r="J484" i="44" s="1"/>
  <c r="K446" i="44" a="1"/>
  <c r="K446" i="44" s="1"/>
  <c r="J421" i="44" a="1"/>
  <c r="J421" i="44" s="1"/>
  <c r="K476" i="44" a="1"/>
  <c r="K476" i="44" s="1"/>
  <c r="G445" i="44" a="1"/>
  <c r="G445" i="44" s="1"/>
  <c r="G341" i="44" s="1"/>
  <c r="I421" i="44" a="1"/>
  <c r="I421" i="44" s="1"/>
  <c r="J476" i="44" a="1"/>
  <c r="J476" i="44" s="1"/>
  <c r="K444" i="44" a="1"/>
  <c r="K444" i="44" s="1"/>
  <c r="K334" i="44" s="1"/>
  <c r="H421" i="44" a="1"/>
  <c r="H421" i="44" s="1"/>
  <c r="H233" i="44" a="1"/>
  <c r="H233" i="44" s="1"/>
  <c r="I239" i="44" a="1"/>
  <c r="I239" i="44" s="1"/>
  <c r="G151" i="44"/>
  <c r="D307" i="49"/>
  <c r="E307" i="49" s="1"/>
  <c r="D99" i="49"/>
  <c r="G482" i="44" a="1"/>
  <c r="G482" i="44" s="1"/>
  <c r="H446" i="44" a="1"/>
  <c r="H446" i="44" s="1"/>
  <c r="K477" i="44" a="1"/>
  <c r="K477" i="44" s="1"/>
  <c r="G446" i="44" a="1"/>
  <c r="G446" i="44" s="1"/>
  <c r="I425" i="44" a="1"/>
  <c r="I425" i="44" s="1"/>
  <c r="G476" i="44" a="1"/>
  <c r="G476" i="44" s="1"/>
  <c r="H444" i="44" a="1"/>
  <c r="H444" i="44" s="1"/>
  <c r="H334" i="44" s="1"/>
  <c r="K402" i="44" a="1"/>
  <c r="K402" i="44" s="1"/>
  <c r="I450" i="44" a="1"/>
  <c r="I450" i="44" s="1"/>
  <c r="I379" i="44" s="1"/>
  <c r="J434" i="44" a="1"/>
  <c r="J434" i="44" s="1"/>
  <c r="J269" i="44" s="1"/>
  <c r="J471" i="44" a="1"/>
  <c r="J471" i="44" s="1"/>
  <c r="G477" i="44" a="1"/>
  <c r="G477" i="44" s="1"/>
  <c r="H445" i="44" a="1"/>
  <c r="H445" i="44" s="1"/>
  <c r="H341" i="44" s="1"/>
  <c r="K403" i="44" a="1"/>
  <c r="K403" i="44" s="1"/>
  <c r="H471" i="44" a="1"/>
  <c r="H471" i="44" s="1"/>
  <c r="I443" i="44" a="1"/>
  <c r="I443" i="44" s="1"/>
  <c r="I327" i="44" s="1"/>
  <c r="J403" i="44" a="1"/>
  <c r="J403" i="44" s="1"/>
  <c r="G471" i="44" a="1"/>
  <c r="G471" i="44" s="1"/>
  <c r="H443" i="44" a="1"/>
  <c r="H443" i="44" s="1"/>
  <c r="H327" i="44" s="1"/>
  <c r="I403" i="44" a="1"/>
  <c r="I403" i="44" s="1"/>
  <c r="K233" i="44" a="1"/>
  <c r="K233" i="44" s="1"/>
  <c r="G150" i="44"/>
  <c r="G398" i="44"/>
  <c r="D308" i="49"/>
  <c r="E308" i="49" s="1"/>
  <c r="D309" i="49" s="1"/>
  <c r="D310" i="49" s="1"/>
  <c r="D87" i="49"/>
  <c r="F87" i="49" s="1"/>
  <c r="I476" i="44" a="1"/>
  <c r="I476" i="44" s="1"/>
  <c r="J444" i="44" a="1"/>
  <c r="J444" i="44" s="1"/>
  <c r="J334" i="44" s="1"/>
  <c r="H476" i="44" a="1"/>
  <c r="H476" i="44" s="1"/>
  <c r="H478" i="44" s="1"/>
  <c r="I444" i="44" a="1"/>
  <c r="I444" i="44" s="1"/>
  <c r="I334" i="44" s="1"/>
  <c r="K408" i="44" a="1"/>
  <c r="K408" i="44" s="1"/>
  <c r="I470" i="44" a="1"/>
  <c r="I470" i="44" s="1"/>
  <c r="J442" i="44" a="1"/>
  <c r="J442" i="44" s="1"/>
  <c r="K443" i="44" a="1"/>
  <c r="K443" i="44" s="1"/>
  <c r="K327" i="44" s="1"/>
  <c r="K448" i="44" a="1"/>
  <c r="K448" i="44" s="1"/>
  <c r="H433" i="44" a="1"/>
  <c r="H433" i="44" s="1"/>
  <c r="G470" i="44" a="1"/>
  <c r="G470" i="44" s="1"/>
  <c r="I471" i="44" a="1"/>
  <c r="I471" i="44" s="1"/>
  <c r="J443" i="44" a="1"/>
  <c r="J443" i="44" s="1"/>
  <c r="J327" i="44" s="1"/>
  <c r="H402" i="44" a="1"/>
  <c r="H402" i="44" s="1"/>
  <c r="J463" i="44" a="1"/>
  <c r="J463" i="44" s="1"/>
  <c r="K441" i="44" a="1"/>
  <c r="K441" i="44" s="1"/>
  <c r="G402" i="44" a="1"/>
  <c r="G402" i="44" s="1"/>
  <c r="I463" i="44" a="1"/>
  <c r="I463" i="44" s="1"/>
  <c r="J441" i="44" a="1"/>
  <c r="J441" i="44" s="1"/>
  <c r="G408" i="44" a="1"/>
  <c r="G408" i="44" s="1"/>
  <c r="G239" i="44" a="1"/>
  <c r="G239" i="44" s="1"/>
  <c r="G395" i="44"/>
  <c r="G152" i="44"/>
  <c r="D325" i="49"/>
  <c r="D77" i="49"/>
  <c r="E77" i="49" s="1"/>
  <c r="D86" i="49"/>
  <c r="K470" i="44" a="1"/>
  <c r="K470" i="44" s="1"/>
  <c r="G443" i="44" a="1"/>
  <c r="G443" i="44" s="1"/>
  <c r="G327" i="44" s="1"/>
  <c r="J470" i="44" a="1"/>
  <c r="J470" i="44" s="1"/>
  <c r="K442" i="44" a="1"/>
  <c r="K442" i="44" s="1"/>
  <c r="G403" i="44" a="1"/>
  <c r="G403" i="44" s="1"/>
  <c r="K462" i="44" a="1"/>
  <c r="K462" i="44" s="1"/>
  <c r="G441" i="44" a="1"/>
  <c r="G441" i="44" s="1"/>
  <c r="G483" i="44" a="1"/>
  <c r="G483" i="44" s="1"/>
  <c r="H447" i="44" a="1"/>
  <c r="H447" i="44" s="1"/>
  <c r="J426" i="44" a="1"/>
  <c r="J426" i="44" s="1"/>
  <c r="I462" i="44" a="1"/>
  <c r="I462" i="44" s="1"/>
  <c r="K463" i="44" a="1"/>
  <c r="K463" i="44" s="1"/>
  <c r="G442" i="44" a="1"/>
  <c r="G442" i="44" s="1"/>
  <c r="H435" i="44" a="1"/>
  <c r="H435" i="44" s="1"/>
  <c r="H286" i="44" s="1"/>
  <c r="G462" i="44" a="1"/>
  <c r="G462" i="44" s="1"/>
  <c r="H440" i="44" a="1"/>
  <c r="H440" i="44" s="1"/>
  <c r="H432" i="44" a="1"/>
  <c r="H432" i="44" s="1"/>
  <c r="K457" i="44" a="1"/>
  <c r="K457" i="44" s="1"/>
  <c r="G440" i="44" a="1"/>
  <c r="G440" i="44" s="1"/>
  <c r="K433" i="44" a="1"/>
  <c r="K433" i="44" s="1"/>
  <c r="I233" i="44" a="1"/>
  <c r="I233" i="44" s="1"/>
  <c r="G154" i="44"/>
  <c r="K239" i="44" a="1"/>
  <c r="K239" i="44" s="1"/>
  <c r="D76" i="49"/>
  <c r="E76" i="49" s="1"/>
  <c r="D91" i="49"/>
  <c r="H463" i="44" a="1"/>
  <c r="H463" i="44" s="1"/>
  <c r="I441" i="44" a="1"/>
  <c r="I441" i="44" s="1"/>
  <c r="G463" i="44" a="1"/>
  <c r="G463" i="44" s="1"/>
  <c r="H441" i="44" a="1"/>
  <c r="H441" i="44" s="1"/>
  <c r="I408" i="44" a="1"/>
  <c r="I408" i="44" s="1"/>
  <c r="H457" i="44" a="1"/>
  <c r="H457" i="44" s="1"/>
  <c r="I436" i="44" a="1"/>
  <c r="I436" i="44" s="1"/>
  <c r="I477" i="44" a="1"/>
  <c r="I477" i="44" s="1"/>
  <c r="J445" i="44" a="1"/>
  <c r="J445" i="44" s="1"/>
  <c r="J341" i="44" s="1"/>
  <c r="G425" i="44" a="1"/>
  <c r="G425" i="44" s="1"/>
  <c r="K456" i="44" a="1"/>
  <c r="K456" i="44" s="1"/>
  <c r="H462" i="44" a="1"/>
  <c r="H462" i="44" s="1"/>
  <c r="I440" i="44" a="1"/>
  <c r="I440" i="44" s="1"/>
  <c r="G421" i="44" a="1"/>
  <c r="G421" i="44" s="1"/>
  <c r="I456" i="44" a="1"/>
  <c r="I456" i="44" s="1"/>
  <c r="J435" i="44" a="1"/>
  <c r="J435" i="44" s="1"/>
  <c r="J286" i="44" s="1"/>
  <c r="J448" i="44" a="1"/>
  <c r="J448" i="44" s="1"/>
  <c r="H456" i="44" a="1"/>
  <c r="H456" i="44" s="1"/>
  <c r="I435" i="44" a="1"/>
  <c r="I435" i="44" s="1"/>
  <c r="I286" i="44" s="1"/>
  <c r="H408" i="44" a="1"/>
  <c r="H408" i="44" s="1"/>
  <c r="G233" i="44" a="1"/>
  <c r="G233" i="44" s="1"/>
  <c r="G153" i="44"/>
  <c r="G394" i="44"/>
  <c r="D100" i="49"/>
  <c r="D98" i="49"/>
  <c r="J457" i="44" a="1"/>
  <c r="J457" i="44" s="1"/>
  <c r="K436" i="44" a="1"/>
  <c r="K436" i="44" s="1"/>
  <c r="I457" i="44" a="1"/>
  <c r="I457" i="44" s="1"/>
  <c r="J436" i="44" a="1"/>
  <c r="J436" i="44" s="1"/>
  <c r="J408" i="44" a="1"/>
  <c r="J408" i="44" s="1"/>
  <c r="J450" i="44" a="1"/>
  <c r="J450" i="44" s="1"/>
  <c r="J379" i="44" s="1"/>
  <c r="K434" i="44" a="1"/>
  <c r="K434" i="44" s="1"/>
  <c r="K269" i="44" s="1"/>
  <c r="K471" i="44" a="1"/>
  <c r="K471" i="44" s="1"/>
  <c r="G444" i="44" a="1"/>
  <c r="G444" i="44" s="1"/>
  <c r="G334" i="44" s="1"/>
  <c r="J402" i="44" a="1"/>
  <c r="J402" i="44" s="1"/>
  <c r="H450" i="44" a="1"/>
  <c r="H450" i="44" s="1"/>
  <c r="H379" i="44" s="1"/>
  <c r="J456" i="44" a="1"/>
  <c r="J456" i="44" s="1"/>
  <c r="K435" i="44" a="1"/>
  <c r="K435" i="44" s="1"/>
  <c r="K286" i="44" s="1"/>
  <c r="H403" i="44" a="1"/>
  <c r="H403" i="44" s="1"/>
  <c r="K449" i="44" a="1"/>
  <c r="K449" i="44" s="1"/>
  <c r="K372" i="44" s="1"/>
  <c r="H434" i="44" a="1"/>
  <c r="H434" i="44" s="1"/>
  <c r="H269" i="44" s="1"/>
  <c r="G433" i="44" a="1"/>
  <c r="G433" i="44" s="1"/>
  <c r="J449" i="44" a="1"/>
  <c r="J449" i="44" s="1"/>
  <c r="J372" i="44" s="1"/>
  <c r="G434" i="44" a="1"/>
  <c r="G434" i="44" s="1"/>
  <c r="G269" i="44" s="1"/>
  <c r="G436" i="44" a="1"/>
  <c r="G436" i="44" s="1"/>
  <c r="J233" i="44" a="1"/>
  <c r="J233" i="44" s="1"/>
  <c r="G393" i="44"/>
  <c r="G397" i="44"/>
  <c r="D89" i="49"/>
  <c r="F89" i="49" s="1"/>
  <c r="D95" i="49"/>
  <c r="G456" i="44" a="1"/>
  <c r="G456" i="44" s="1"/>
  <c r="J425" i="44" a="1"/>
  <c r="J425" i="44" s="1"/>
  <c r="K450" i="44" a="1"/>
  <c r="K450" i="44" s="1"/>
  <c r="K379" i="44" s="1"/>
  <c r="G435" i="44" a="1"/>
  <c r="G435" i="44" s="1"/>
  <c r="G286" i="44" s="1"/>
  <c r="I434" i="44" a="1"/>
  <c r="I434" i="44" s="1"/>
  <c r="I269" i="44" s="1"/>
  <c r="G449" i="44" a="1"/>
  <c r="G449" i="44" s="1"/>
  <c r="G372" i="44" s="1"/>
  <c r="I433" i="44" a="1"/>
  <c r="I433" i="44" s="1"/>
  <c r="H470" i="44" a="1"/>
  <c r="H470" i="44" s="1"/>
  <c r="H472" i="44" s="1"/>
  <c r="I442" i="44" a="1"/>
  <c r="I442" i="44" s="1"/>
  <c r="J440" i="44" a="1"/>
  <c r="J440" i="44" s="1"/>
  <c r="G447" i="44" a="1"/>
  <c r="G447" i="44" s="1"/>
  <c r="G450" i="44" a="1"/>
  <c r="G450" i="44" s="1"/>
  <c r="G379" i="44" s="1"/>
  <c r="K432" i="44" a="1"/>
  <c r="K432" i="44" s="1"/>
  <c r="I445" i="44" a="1"/>
  <c r="I445" i="44" s="1"/>
  <c r="I341" i="44" s="1"/>
  <c r="H448" i="44" a="1"/>
  <c r="H448" i="44" s="1"/>
  <c r="J432" i="44" a="1"/>
  <c r="J432" i="44" s="1"/>
  <c r="K483" i="44" a="1"/>
  <c r="K483" i="44" s="1"/>
  <c r="G448" i="44" a="1"/>
  <c r="G448" i="44" s="1"/>
  <c r="I432" i="44" a="1"/>
  <c r="I432" i="44" s="1"/>
  <c r="K421" i="44" a="1"/>
  <c r="K421" i="44" s="1"/>
  <c r="G149" i="44"/>
  <c r="G396" i="44"/>
  <c r="H239" i="44" a="1"/>
  <c r="H239" i="44" s="1"/>
  <c r="D96" i="49"/>
  <c r="D97" i="49"/>
  <c r="I449" i="44" a="1"/>
  <c r="I449" i="44" s="1"/>
  <c r="I372" i="44" s="1"/>
  <c r="H442" i="44" a="1"/>
  <c r="H442" i="44" s="1"/>
  <c r="H449" i="44" a="1"/>
  <c r="H449" i="44" s="1"/>
  <c r="H372" i="44" s="1"/>
  <c r="J433" i="44" a="1"/>
  <c r="J433" i="44" s="1"/>
  <c r="H483" i="44" a="1"/>
  <c r="H483" i="44" s="1"/>
  <c r="I447" i="44" a="1"/>
  <c r="I447" i="44" s="1"/>
  <c r="K426" i="44" a="1"/>
  <c r="K426" i="44" s="1"/>
  <c r="J462" i="44" a="1"/>
  <c r="J462" i="44" s="1"/>
  <c r="K440" i="44" a="1"/>
  <c r="K440" i="44" s="1"/>
  <c r="K482" i="44" a="1"/>
  <c r="K482" i="44" s="1"/>
  <c r="I426" i="44" a="1"/>
  <c r="I426" i="44" s="1"/>
  <c r="I448" i="44" a="1"/>
  <c r="I448" i="44" s="1"/>
  <c r="H426" i="44" a="1"/>
  <c r="H426" i="44" s="1"/>
  <c r="I482" i="44" a="1"/>
  <c r="I482" i="44" s="1"/>
  <c r="I484" i="44" s="1"/>
  <c r="J446" i="44" a="1"/>
  <c r="J446" i="44" s="1"/>
  <c r="G426" i="44" a="1"/>
  <c r="G426" i="44" s="1"/>
  <c r="H482" i="44" a="1"/>
  <c r="H482" i="44" s="1"/>
  <c r="I446" i="44" a="1"/>
  <c r="I446" i="44" s="1"/>
  <c r="K425" i="44" a="1"/>
  <c r="K425" i="44" s="1"/>
  <c r="I402" i="44" a="1"/>
  <c r="I402" i="44" s="1"/>
  <c r="G392" i="44"/>
  <c r="H392" i="44" s="1"/>
  <c r="G148" i="44"/>
  <c r="J239" i="44" a="1"/>
  <c r="J239" i="44" s="1"/>
  <c r="D90" i="49"/>
  <c r="F90" i="49" s="1"/>
  <c r="D329" i="49"/>
  <c r="D328" i="49"/>
  <c r="D330" i="49"/>
  <c r="D326" i="49"/>
  <c r="D327" i="49"/>
  <c r="D139" i="63"/>
  <c r="E139" i="63" s="1"/>
  <c r="D140" i="63"/>
  <c r="E140" i="63" s="1"/>
  <c r="D22" i="63"/>
  <c r="E22" i="63" s="1"/>
  <c r="D21" i="63"/>
  <c r="E21" i="63" s="1"/>
  <c r="F193" i="49"/>
  <c r="O193" i="49" s="1" a="1"/>
  <c r="O193" i="49" s="1"/>
  <c r="D317" i="49"/>
  <c r="F317" i="49" s="1"/>
  <c r="F196" i="49"/>
  <c r="D316" i="49"/>
  <c r="F316" i="49" s="1"/>
  <c r="D88" i="49"/>
  <c r="D321" i="49"/>
  <c r="F185" i="49"/>
  <c r="F165" i="49"/>
  <c r="O165" i="49" s="1" a="1"/>
  <c r="O165" i="49" s="1"/>
  <c r="F111" i="49"/>
  <c r="D320" i="49"/>
  <c r="F320" i="49" s="1"/>
  <c r="F86" i="49"/>
  <c r="D319" i="49"/>
  <c r="F319" i="49" s="1"/>
  <c r="F227" i="49"/>
  <c r="D318" i="49"/>
  <c r="F137" i="49"/>
  <c r="O137" i="49" s="1"/>
  <c r="F164" i="49"/>
  <c r="O164" i="49" s="1" a="1"/>
  <c r="O164" i="49" s="1"/>
  <c r="F147" i="49"/>
  <c r="F167" i="49"/>
  <c r="F135" i="49"/>
  <c r="O135" i="49" s="1" a="1"/>
  <c r="O135" i="49" s="1"/>
  <c r="F112" i="49"/>
  <c r="F148" i="49"/>
  <c r="F125" i="49"/>
  <c r="O125" i="49" s="1" a="1"/>
  <c r="O125" i="49" s="1"/>
  <c r="F163" i="49"/>
  <c r="F115" i="49"/>
  <c r="F223" i="49"/>
  <c r="O223" i="49" s="1" a="1"/>
  <c r="O223" i="49" s="1"/>
  <c r="F178" i="49"/>
  <c r="F192" i="49"/>
  <c r="F123" i="49"/>
  <c r="F127" i="49"/>
  <c r="F155" i="49"/>
  <c r="F170" i="49"/>
  <c r="F108" i="49"/>
  <c r="F138" i="49"/>
  <c r="F220" i="49"/>
  <c r="F136" i="49"/>
  <c r="F213" i="49"/>
  <c r="F194" i="49"/>
  <c r="O194" i="49" s="1" a="1"/>
  <c r="O194" i="49" s="1"/>
  <c r="F179" i="49"/>
  <c r="F109" i="49"/>
  <c r="F199" i="49"/>
  <c r="F190" i="49"/>
  <c r="O190" i="49" s="1" a="1"/>
  <c r="O190" i="49" s="1"/>
  <c r="F191" i="49"/>
  <c r="O191" i="49" s="1" a="1"/>
  <c r="O191" i="49" s="1"/>
  <c r="F222" i="49"/>
  <c r="O222" i="49" s="1" a="1"/>
  <c r="O222" i="49" s="1"/>
  <c r="F177" i="49"/>
  <c r="F107" i="49"/>
  <c r="F130" i="49"/>
  <c r="F120" i="49"/>
  <c r="O120" i="49" s="1" a="1"/>
  <c r="O120" i="49" s="1"/>
  <c r="F149" i="49"/>
  <c r="F160" i="49"/>
  <c r="O160" i="49" s="1" a="1"/>
  <c r="O160" i="49" s="1"/>
  <c r="F161" i="49"/>
  <c r="O161" i="49" s="1" a="1"/>
  <c r="O161" i="49" s="1"/>
  <c r="F206" i="49"/>
  <c r="F124" i="49"/>
  <c r="O124" i="49" s="1" a="1"/>
  <c r="O124" i="49" s="1"/>
  <c r="F162" i="49"/>
  <c r="O162" i="49" s="1" a="1"/>
  <c r="O162" i="49" s="1"/>
  <c r="F205" i="49"/>
  <c r="F208" i="49"/>
  <c r="F121" i="49"/>
  <c r="O121" i="49" s="1" a="1"/>
  <c r="O121" i="49" s="1"/>
  <c r="F110" i="49"/>
  <c r="F195" i="49"/>
  <c r="O195" i="49" s="1" a="1"/>
  <c r="O195" i="49" s="1"/>
  <c r="F151" i="49"/>
  <c r="F166" i="49"/>
  <c r="O166" i="49" s="1" a="1"/>
  <c r="O166" i="49" s="1"/>
  <c r="F207" i="49"/>
  <c r="F224" i="49"/>
  <c r="F209" i="49"/>
  <c r="F122" i="49"/>
  <c r="O122" i="49" s="1" a="1"/>
  <c r="O122" i="49" s="1"/>
  <c r="F218" i="49"/>
  <c r="O218" i="49" s="1" a="1"/>
  <c r="O218" i="49" s="1"/>
  <c r="F126" i="49"/>
  <c r="O126" i="49" s="1" a="1"/>
  <c r="O126" i="49" s="1"/>
  <c r="F180" i="49"/>
  <c r="F150" i="49"/>
  <c r="F182" i="49"/>
  <c r="F141" i="49"/>
  <c r="F210" i="49"/>
  <c r="F219" i="49"/>
  <c r="O219" i="49" s="1" a="1"/>
  <c r="O219" i="49" s="1"/>
  <c r="F221" i="49"/>
  <c r="O221" i="49" s="1" a="1"/>
  <c r="O221" i="49" s="1"/>
  <c r="F152" i="49"/>
  <c r="F181" i="49"/>
  <c r="H202" i="44" a="1"/>
  <c r="H202" i="44" s="1"/>
  <c r="I203" i="44" a="1"/>
  <c r="I203" i="44" s="1"/>
  <c r="G192" i="44" a="1"/>
  <c r="G192" i="44" s="1"/>
  <c r="I196" i="44" a="1"/>
  <c r="I196" i="44" s="1"/>
  <c r="J204" i="44" a="1"/>
  <c r="J204" i="44" s="1"/>
  <c r="H192" i="44" a="1"/>
  <c r="H192" i="44" s="1"/>
  <c r="K206" i="44" a="1"/>
  <c r="K206" i="44" s="1"/>
  <c r="I197" i="44" a="1"/>
  <c r="I197" i="44" s="1"/>
  <c r="K189" i="44" a="1"/>
  <c r="K189" i="44" s="1"/>
  <c r="I188" i="44" a="1"/>
  <c r="I188" i="44" s="1"/>
  <c r="F366" i="49"/>
  <c r="F367" i="49"/>
  <c r="G201" i="44" a="1"/>
  <c r="G201" i="44" s="1"/>
  <c r="J202" i="44" a="1"/>
  <c r="J202" i="44" s="1"/>
  <c r="H204" i="44" a="1"/>
  <c r="H204" i="44" s="1"/>
  <c r="I198" i="44" a="1"/>
  <c r="I198" i="44" s="1"/>
  <c r="G188" i="44" a="1"/>
  <c r="G188" i="44" s="1"/>
  <c r="J206" i="44" a="1"/>
  <c r="J206" i="44" s="1"/>
  <c r="J189" i="44" a="1"/>
  <c r="J189" i="44" s="1"/>
  <c r="G199" i="44" a="1"/>
  <c r="G199" i="44" s="1"/>
  <c r="G205" i="44" a="1"/>
  <c r="G205" i="44" s="1"/>
  <c r="K191" i="44" a="1"/>
  <c r="K191" i="44" s="1"/>
  <c r="I190" i="44" a="1"/>
  <c r="I190" i="44" s="1"/>
  <c r="F365" i="49"/>
  <c r="F368" i="49"/>
  <c r="J190" i="44" a="1"/>
  <c r="J190" i="44" s="1"/>
  <c r="J200" i="44" a="1"/>
  <c r="J200" i="44" s="1"/>
  <c r="J205" i="44" a="1"/>
  <c r="J205" i="44" s="1"/>
  <c r="H191" i="44" a="1"/>
  <c r="H191" i="44" s="1"/>
  <c r="H201" i="44" a="1"/>
  <c r="H201" i="44" s="1"/>
  <c r="K204" i="44" a="1"/>
  <c r="K204" i="44" s="1"/>
  <c r="H206" i="44" a="1"/>
  <c r="H206" i="44" s="1"/>
  <c r="K199" i="44" a="1"/>
  <c r="K199" i="44" s="1"/>
  <c r="I200" i="44" a="1"/>
  <c r="I200" i="44" s="1"/>
  <c r="I189" i="44" a="1"/>
  <c r="I189" i="44" s="1"/>
  <c r="G200" i="44" a="1"/>
  <c r="G200" i="44" s="1"/>
  <c r="I199" i="44" a="1"/>
  <c r="I199" i="44" s="1"/>
  <c r="J191" i="44" a="1"/>
  <c r="J191" i="44" s="1"/>
  <c r="G189" i="44" a="1"/>
  <c r="G189" i="44" s="1"/>
  <c r="I205" i="44" a="1"/>
  <c r="I205" i="44" s="1"/>
  <c r="I192" i="44" a="1"/>
  <c r="I192" i="44" s="1"/>
  <c r="J197" i="44" a="1"/>
  <c r="J197" i="44" s="1"/>
  <c r="F371" i="49"/>
  <c r="H189" i="44" a="1"/>
  <c r="H189" i="44" s="1"/>
  <c r="H190" i="44" a="1"/>
  <c r="H190" i="44" s="1"/>
  <c r="K188" i="44" a="1"/>
  <c r="K188" i="44" s="1"/>
  <c r="G202" i="44" a="1"/>
  <c r="G202" i="44" s="1"/>
  <c r="I202" i="44" a="1"/>
  <c r="I202" i="44" s="1"/>
  <c r="I201" i="44" a="1"/>
  <c r="I201" i="44" s="1"/>
  <c r="I191" i="44" a="1"/>
  <c r="I191" i="44" s="1"/>
  <c r="G197" i="44" a="1"/>
  <c r="G197" i="44" s="1"/>
  <c r="G190" i="44" a="1"/>
  <c r="G190" i="44" s="1"/>
  <c r="K196" i="44" a="1"/>
  <c r="K196" i="44" s="1"/>
  <c r="K205" i="44" a="1"/>
  <c r="K205" i="44" s="1"/>
  <c r="J199" i="44" a="1"/>
  <c r="J199" i="44" s="1"/>
  <c r="J188" i="44" a="1"/>
  <c r="J188" i="44" s="1"/>
  <c r="F21" i="49"/>
  <c r="J201" i="44" a="1"/>
  <c r="J201" i="44" s="1"/>
  <c r="H205" i="44" a="1"/>
  <c r="H205" i="44" s="1"/>
  <c r="G204" i="44" a="1"/>
  <c r="G204" i="44" s="1"/>
  <c r="K190" i="44" a="1"/>
  <c r="K190" i="44" s="1"/>
  <c r="H203" i="44" a="1"/>
  <c r="H203" i="44" s="1"/>
  <c r="I204" i="44" a="1"/>
  <c r="I204" i="44" s="1"/>
  <c r="G191" i="44" a="1"/>
  <c r="G191" i="44" s="1"/>
  <c r="J196" i="44" a="1"/>
  <c r="J196" i="44" s="1"/>
  <c r="K198" i="44" a="1"/>
  <c r="K198" i="44" s="1"/>
  <c r="K201" i="44" a="1"/>
  <c r="K201" i="44" s="1"/>
  <c r="G198" i="44" a="1"/>
  <c r="G198" i="44" s="1"/>
  <c r="H200" i="44" a="1"/>
  <c r="H200" i="44" s="1"/>
  <c r="K197" i="44" a="1"/>
  <c r="K197" i="44" s="1"/>
  <c r="K192" i="44" a="1"/>
  <c r="K192" i="44" s="1"/>
  <c r="H196" i="44" a="1"/>
  <c r="H196" i="44" s="1"/>
  <c r="H188" i="44" a="1"/>
  <c r="H188" i="44" s="1"/>
  <c r="I206" i="44" a="1"/>
  <c r="I206" i="44" s="1"/>
  <c r="G196" i="44" a="1"/>
  <c r="G196" i="44" s="1"/>
  <c r="J198" i="44" a="1"/>
  <c r="J198" i="44" s="1"/>
  <c r="H199" i="44" a="1"/>
  <c r="H199" i="44" s="1"/>
  <c r="K203" i="44" a="1"/>
  <c r="K203" i="44" s="1"/>
  <c r="K200" i="44" a="1"/>
  <c r="K200" i="44" s="1"/>
  <c r="G206" i="44" a="1"/>
  <c r="G206" i="44" s="1"/>
  <c r="H197" i="44" a="1"/>
  <c r="H197" i="44" s="1"/>
  <c r="J203" i="44" a="1"/>
  <c r="J203" i="44" s="1"/>
  <c r="J192" i="44" a="1"/>
  <c r="J192" i="44" s="1"/>
  <c r="H198" i="44" a="1"/>
  <c r="H198" i="44" s="1"/>
  <c r="G203" i="44" a="1"/>
  <c r="G203" i="44" s="1"/>
  <c r="K202" i="44" a="1"/>
  <c r="K202" i="44" s="1"/>
  <c r="F33" i="49"/>
  <c r="F450" i="49"/>
  <c r="F48" i="49"/>
  <c r="F449" i="49"/>
  <c r="F18" i="49"/>
  <c r="K18" i="49" s="1"/>
  <c r="F277" i="49"/>
  <c r="F426" i="49"/>
  <c r="F285" i="49"/>
  <c r="F266" i="49"/>
  <c r="K266" i="49" s="1"/>
  <c r="F457" i="49"/>
  <c r="F438" i="49"/>
  <c r="F400" i="49"/>
  <c r="F269" i="49"/>
  <c r="F53" i="49"/>
  <c r="F393" i="49"/>
  <c r="F350" i="49"/>
  <c r="F408" i="49"/>
  <c r="F397" i="49"/>
  <c r="F267" i="49"/>
  <c r="F429" i="49"/>
  <c r="F439" i="49"/>
  <c r="F385" i="49"/>
  <c r="F381" i="49"/>
  <c r="F251" i="49"/>
  <c r="F407" i="49"/>
  <c r="F436" i="49"/>
  <c r="F391" i="49"/>
  <c r="F263" i="49"/>
  <c r="F357" i="49"/>
  <c r="F253" i="49"/>
  <c r="F411" i="49"/>
  <c r="F412" i="49"/>
  <c r="F345" i="49"/>
  <c r="F354" i="49"/>
  <c r="F46" i="49"/>
  <c r="F32" i="49"/>
  <c r="F422" i="49"/>
  <c r="F262" i="49"/>
  <c r="F339" i="49"/>
  <c r="F392" i="49"/>
  <c r="F440" i="49"/>
  <c r="F415" i="49"/>
  <c r="F382" i="49"/>
  <c r="F394" i="49"/>
  <c r="F280" i="49"/>
  <c r="K280" i="49" s="1"/>
  <c r="F271" i="49"/>
  <c r="F51" i="49"/>
  <c r="F50" i="49"/>
  <c r="F49" i="49"/>
  <c r="F249" i="49"/>
  <c r="F264" i="49"/>
  <c r="F448" i="49"/>
  <c r="F250" i="49"/>
  <c r="F19" i="49"/>
  <c r="K19" i="49" s="1"/>
  <c r="F423" i="49"/>
  <c r="F395" i="49"/>
  <c r="F356" i="49"/>
  <c r="F281" i="49"/>
  <c r="F257" i="49"/>
  <c r="F252" i="49"/>
  <c r="K252" i="49" s="1"/>
  <c r="F55" i="49"/>
  <c r="F35" i="49"/>
  <c r="F41" i="49"/>
  <c r="F39" i="49"/>
  <c r="F27" i="49"/>
  <c r="F420" i="49"/>
  <c r="F409" i="49"/>
  <c r="F437" i="49"/>
  <c r="F47" i="49"/>
  <c r="F352" i="49"/>
  <c r="F341" i="49"/>
  <c r="F355" i="49"/>
  <c r="F451" i="49"/>
  <c r="F435" i="49"/>
  <c r="F337" i="49"/>
  <c r="F351" i="49"/>
  <c r="F248" i="49"/>
  <c r="F34" i="49"/>
  <c r="F338" i="49"/>
  <c r="F20" i="49"/>
  <c r="F396" i="49"/>
  <c r="F360" i="49"/>
  <c r="F452" i="49"/>
  <c r="F265" i="49"/>
  <c r="F425" i="49"/>
  <c r="F443" i="49"/>
  <c r="F25" i="49"/>
  <c r="F353" i="49"/>
  <c r="F276" i="49"/>
  <c r="F454" i="49"/>
  <c r="F283" i="49"/>
  <c r="F453" i="49"/>
  <c r="F342" i="49"/>
  <c r="F23" i="49"/>
  <c r="F379" i="49"/>
  <c r="F378" i="49"/>
  <c r="F278" i="49"/>
  <c r="F377" i="49"/>
  <c r="F421" i="49"/>
  <c r="F390" i="49"/>
  <c r="F380" i="49"/>
  <c r="F340" i="49"/>
  <c r="F410" i="49"/>
  <c r="F255" i="49"/>
  <c r="F279" i="49"/>
  <c r="F424" i="49"/>
  <c r="F36" i="49"/>
  <c r="F37" i="49"/>
  <c r="F22" i="49"/>
  <c r="K22" i="49" s="1"/>
  <c r="J472" i="44" l="1"/>
  <c r="H484" i="44"/>
  <c r="G472" i="44"/>
  <c r="J478" i="44"/>
  <c r="K484" i="44"/>
  <c r="K305" i="44"/>
  <c r="K307" i="44" s="1" a="1"/>
  <c r="K307" i="44" s="1"/>
  <c r="I261" i="44"/>
  <c r="G357" i="44"/>
  <c r="I257" i="44"/>
  <c r="H261" i="44"/>
  <c r="H357" i="44"/>
  <c r="H359" i="44" s="1" a="1"/>
  <c r="H359" i="44" s="1"/>
  <c r="K472" i="44"/>
  <c r="G478" i="44"/>
  <c r="G364" i="44"/>
  <c r="G366" i="44" s="1" a="1"/>
  <c r="G366" i="44" s="1"/>
  <c r="J305" i="44"/>
  <c r="J307" i="44" s="1" a="1"/>
  <c r="J307" i="44" s="1"/>
  <c r="G257" i="44"/>
  <c r="J257" i="44"/>
  <c r="H305" i="44"/>
  <c r="H307" i="44" s="1" a="1"/>
  <c r="H307" i="44" s="1"/>
  <c r="J312" i="44"/>
  <c r="J314" i="44" s="1" a="1"/>
  <c r="J314" i="44" s="1"/>
  <c r="K478" i="44"/>
  <c r="J350" i="44"/>
  <c r="J352" i="44" s="1" a="1"/>
  <c r="J352" i="44" s="1"/>
  <c r="F96" i="49"/>
  <c r="F98" i="49" s="1"/>
  <c r="J96" i="49"/>
  <c r="J98" i="49" s="1"/>
  <c r="I96" i="49"/>
  <c r="I98" i="49" s="1"/>
  <c r="H96" i="49"/>
  <c r="H98" i="49" s="1"/>
  <c r="G96" i="49"/>
  <c r="G98" i="49" s="1"/>
  <c r="I319" i="44"/>
  <c r="I305" i="44"/>
  <c r="I307" i="44" s="1" a="1"/>
  <c r="I307" i="44" s="1"/>
  <c r="G312" i="44"/>
  <c r="D78" i="49"/>
  <c r="D79" i="49" s="1"/>
  <c r="O110" i="49" s="1" a="1"/>
  <c r="O110" i="49" s="1"/>
  <c r="H278" i="44"/>
  <c r="G350" i="44"/>
  <c r="O205" i="49" a="1"/>
  <c r="O205" i="49" s="1"/>
  <c r="I357" i="44"/>
  <c r="I359" i="44" s="1" a="1"/>
  <c r="I359" i="44" s="1"/>
  <c r="J261" i="44"/>
  <c r="H295" i="44"/>
  <c r="G95" i="49"/>
  <c r="G97" i="49" s="1"/>
  <c r="F95" i="49"/>
  <c r="F97" i="49" s="1"/>
  <c r="H95" i="49"/>
  <c r="H97" i="49" s="1"/>
  <c r="J95" i="49"/>
  <c r="J97" i="49" s="1"/>
  <c r="I95" i="49"/>
  <c r="I97" i="49" s="1"/>
  <c r="K257" i="44"/>
  <c r="H312" i="44"/>
  <c r="H314" i="44" s="1" a="1"/>
  <c r="H314" i="44" s="1"/>
  <c r="H325" i="49"/>
  <c r="H327" i="49" s="1"/>
  <c r="G325" i="49"/>
  <c r="G327" i="49" s="1"/>
  <c r="I325" i="49"/>
  <c r="I327" i="49" s="1"/>
  <c r="J325" i="49"/>
  <c r="J327" i="49" s="1"/>
  <c r="K364" i="44"/>
  <c r="I478" i="44"/>
  <c r="K350" i="44"/>
  <c r="K352" i="44" s="1" a="1"/>
  <c r="K352" i="44" s="1"/>
  <c r="G261" i="44"/>
  <c r="O148" i="49" a="1"/>
  <c r="O148" i="49" s="1"/>
  <c r="K414" i="44" a="1"/>
  <c r="K414" i="44" s="1"/>
  <c r="I414" i="44" a="1"/>
  <c r="I414" i="44" s="1"/>
  <c r="H414" i="44" a="1"/>
  <c r="H414" i="44" s="1"/>
  <c r="G414" i="44" a="1"/>
  <c r="G414" i="44" s="1"/>
  <c r="J414" i="44" a="1"/>
  <c r="J414" i="44" s="1"/>
  <c r="H364" i="44"/>
  <c r="I278" i="44"/>
  <c r="G278" i="44"/>
  <c r="G319" i="44"/>
  <c r="G321" i="44" s="1" a="1"/>
  <c r="G321" i="44" s="1"/>
  <c r="K312" i="44"/>
  <c r="K314" i="44" s="1" a="1"/>
  <c r="K314" i="44" s="1"/>
  <c r="H350" i="44"/>
  <c r="H352" i="44" s="1" a="1"/>
  <c r="H352" i="44" s="1"/>
  <c r="J357" i="44"/>
  <c r="J359" i="44" s="1" a="1"/>
  <c r="J359" i="44" s="1"/>
  <c r="O150" i="49" a="1"/>
  <c r="O150" i="49" s="1"/>
  <c r="O177" i="49" a="1"/>
  <c r="O177" i="49" s="1"/>
  <c r="I364" i="44"/>
  <c r="J278" i="44"/>
  <c r="I312" i="44"/>
  <c r="I314" i="44" s="1" a="1"/>
  <c r="I314" i="44" s="1"/>
  <c r="K278" i="44"/>
  <c r="K319" i="44"/>
  <c r="J319" i="44"/>
  <c r="G484" i="44"/>
  <c r="G295" i="44" s="1"/>
  <c r="O181" i="49" a="1"/>
  <c r="O181" i="49" s="1"/>
  <c r="O180" i="49" a="1"/>
  <c r="O180" i="49" s="1"/>
  <c r="O151" i="49" a="1"/>
  <c r="O151" i="49" s="1"/>
  <c r="O206" i="49" a="1"/>
  <c r="O206" i="49" s="1"/>
  <c r="K261" i="44"/>
  <c r="J364" i="44"/>
  <c r="G305" i="44"/>
  <c r="J295" i="44"/>
  <c r="I472" i="44"/>
  <c r="H257" i="44"/>
  <c r="K357" i="44"/>
  <c r="K359" i="44" s="1" a="1"/>
  <c r="K359" i="44" s="1"/>
  <c r="O178" i="49" a="1"/>
  <c r="O178" i="49" s="1"/>
  <c r="I350" i="44"/>
  <c r="I352" i="44" s="1" a="1"/>
  <c r="I352" i="44" s="1"/>
  <c r="H319" i="44"/>
  <c r="L435" i="49" a="1"/>
  <c r="L435" i="49" s="1"/>
  <c r="K435" i="49" a="1"/>
  <c r="K435" i="49" s="1"/>
  <c r="O435" i="49" a="1"/>
  <c r="O435" i="49" s="1"/>
  <c r="M435" i="49" a="1"/>
  <c r="M435" i="49" s="1"/>
  <c r="N435" i="49" a="1"/>
  <c r="N435" i="49" s="1"/>
  <c r="N436" i="49" a="1"/>
  <c r="N436" i="49" s="1"/>
  <c r="M436" i="49" a="1"/>
  <c r="M436" i="49" s="1"/>
  <c r="L436" i="49" a="1"/>
  <c r="L436" i="49" s="1"/>
  <c r="K436" i="49" a="1"/>
  <c r="K436" i="49" s="1"/>
  <c r="O436" i="49" a="1"/>
  <c r="O436" i="49" s="1"/>
  <c r="O408" i="49" a="1"/>
  <c r="O408" i="49" s="1"/>
  <c r="N408" i="49" a="1"/>
  <c r="N408" i="49" s="1"/>
  <c r="M408" i="49" a="1"/>
  <c r="M408" i="49" s="1"/>
  <c r="L408" i="49" a="1"/>
  <c r="L408" i="49" s="1"/>
  <c r="K408" i="49" a="1"/>
  <c r="K408" i="49" s="1"/>
  <c r="L377" i="49" a="1"/>
  <c r="L377" i="49" s="1"/>
  <c r="K377" i="49" a="1"/>
  <c r="K377" i="49" s="1"/>
  <c r="O377" i="49" a="1"/>
  <c r="O377" i="49" s="1"/>
  <c r="N377" i="49" a="1"/>
  <c r="N377" i="49" s="1"/>
  <c r="M377" i="49" a="1"/>
  <c r="M377" i="49" s="1"/>
  <c r="M451" i="49" a="1"/>
  <c r="M451" i="49" s="1"/>
  <c r="L451" i="49" a="1"/>
  <c r="L451" i="49" s="1"/>
  <c r="K451" i="49" a="1"/>
  <c r="K451" i="49" s="1"/>
  <c r="N451" i="49" a="1"/>
  <c r="N451" i="49" s="1"/>
  <c r="O451" i="49" a="1"/>
  <c r="O451" i="49" s="1"/>
  <c r="M407" i="49" a="1"/>
  <c r="M407" i="49" s="1"/>
  <c r="L407" i="49" a="1"/>
  <c r="L407" i="49" s="1"/>
  <c r="K407" i="49" a="1"/>
  <c r="K407" i="49" s="1"/>
  <c r="N407" i="49" a="1"/>
  <c r="N407" i="49" s="1"/>
  <c r="O407" i="49" a="1"/>
  <c r="O407" i="49" s="1"/>
  <c r="M378" i="49" a="1"/>
  <c r="M378" i="49" s="1"/>
  <c r="L378" i="49" a="1"/>
  <c r="L378" i="49" s="1"/>
  <c r="K378" i="49" a="1"/>
  <c r="K378" i="49" s="1"/>
  <c r="N378" i="49" a="1"/>
  <c r="N378" i="49" s="1"/>
  <c r="O378" i="49" a="1"/>
  <c r="O378" i="49" s="1"/>
  <c r="O355" i="49" a="1"/>
  <c r="O355" i="49" s="1"/>
  <c r="N355" i="49" a="1"/>
  <c r="N355" i="49" s="1"/>
  <c r="M355" i="49" a="1"/>
  <c r="M355" i="49" s="1"/>
  <c r="L355" i="49" a="1"/>
  <c r="L355" i="49" s="1"/>
  <c r="K355" i="49" a="1"/>
  <c r="K355" i="49" s="1"/>
  <c r="N395" i="49" a="1"/>
  <c r="N395" i="49" s="1"/>
  <c r="M395" i="49" a="1"/>
  <c r="M395" i="49" s="1"/>
  <c r="L395" i="49" a="1"/>
  <c r="L395" i="49" s="1"/>
  <c r="O395" i="49" a="1"/>
  <c r="O395" i="49" s="1"/>
  <c r="K395" i="49" a="1"/>
  <c r="K395" i="49" s="1"/>
  <c r="L392" i="49" a="1"/>
  <c r="L392" i="49" s="1"/>
  <c r="K392" i="49" a="1"/>
  <c r="K392" i="49" s="1"/>
  <c r="O392" i="49" a="1"/>
  <c r="O392" i="49" s="1"/>
  <c r="N392" i="49" a="1"/>
  <c r="N392" i="49" s="1"/>
  <c r="M392" i="49" a="1"/>
  <c r="M392" i="49" s="1"/>
  <c r="N350" i="49" a="1"/>
  <c r="N350" i="49" s="1"/>
  <c r="M350" i="49" a="1"/>
  <c r="M350" i="49" s="1"/>
  <c r="L350" i="49" a="1"/>
  <c r="L350" i="49" s="1"/>
  <c r="K350" i="49" a="1"/>
  <c r="K350" i="49" s="1"/>
  <c r="O350" i="49" a="1"/>
  <c r="O350" i="49" s="1"/>
  <c r="M420" i="49" a="1"/>
  <c r="M420" i="49" s="1"/>
  <c r="L420" i="49" a="1"/>
  <c r="L420" i="49" s="1"/>
  <c r="K420" i="49" a="1"/>
  <c r="K420" i="49" s="1"/>
  <c r="O420" i="49" a="1"/>
  <c r="O420" i="49" s="1"/>
  <c r="N420" i="49" a="1"/>
  <c r="N420" i="49" s="1"/>
  <c r="O396" i="49" a="1"/>
  <c r="O396" i="49" s="1"/>
  <c r="N396" i="49" a="1"/>
  <c r="N396" i="49" s="1"/>
  <c r="M396" i="49" a="1"/>
  <c r="M396" i="49" s="1"/>
  <c r="L396" i="49" a="1"/>
  <c r="L396" i="49" s="1"/>
  <c r="K396" i="49" a="1"/>
  <c r="K396" i="49" s="1"/>
  <c r="O356" i="49" a="1"/>
  <c r="O356" i="49" s="1"/>
  <c r="N356" i="49" a="1"/>
  <c r="N356" i="49" s="1"/>
  <c r="M356" i="49" a="1"/>
  <c r="M356" i="49" s="1"/>
  <c r="L356" i="49" a="1"/>
  <c r="L356" i="49" s="1"/>
  <c r="K356" i="49" a="1"/>
  <c r="K356" i="49" s="1"/>
  <c r="O410" i="49" a="1"/>
  <c r="O410" i="49" s="1"/>
  <c r="N410" i="49" a="1"/>
  <c r="N410" i="49" s="1"/>
  <c r="M410" i="49" a="1"/>
  <c r="M410" i="49" s="1"/>
  <c r="L410" i="49" a="1"/>
  <c r="L410" i="49" s="1"/>
  <c r="K410" i="49" a="1"/>
  <c r="K410" i="49" s="1"/>
  <c r="K338" i="49" a="1"/>
  <c r="K338" i="49" s="1"/>
  <c r="O338" i="49" a="1"/>
  <c r="O338" i="49" s="1"/>
  <c r="N338" i="49" a="1"/>
  <c r="N338" i="49" s="1"/>
  <c r="M338" i="49" a="1"/>
  <c r="M338" i="49" s="1"/>
  <c r="L338" i="49" a="1"/>
  <c r="L338" i="49" s="1"/>
  <c r="N341" i="49" a="1"/>
  <c r="N341" i="49" s="1"/>
  <c r="M341" i="49" a="1"/>
  <c r="M341" i="49" s="1"/>
  <c r="L341" i="49" a="1"/>
  <c r="L341" i="49" s="1"/>
  <c r="O341" i="49" a="1"/>
  <c r="O341" i="49" s="1"/>
  <c r="K341" i="49" a="1"/>
  <c r="K341" i="49" s="1"/>
  <c r="L423" i="49" a="1"/>
  <c r="L423" i="49" s="1"/>
  <c r="K423" i="49" a="1"/>
  <c r="K423" i="49" s="1"/>
  <c r="O423" i="49" a="1"/>
  <c r="O423" i="49" s="1"/>
  <c r="N423" i="49" a="1"/>
  <c r="N423" i="49" s="1"/>
  <c r="M423" i="49" a="1"/>
  <c r="M423" i="49" s="1"/>
  <c r="K411" i="49" a="1"/>
  <c r="K411" i="49" s="1"/>
  <c r="O411" i="49" a="1"/>
  <c r="O411" i="49" s="1"/>
  <c r="L411" i="49" a="1"/>
  <c r="L411" i="49" s="1"/>
  <c r="N411" i="49" a="1"/>
  <c r="N411" i="49" s="1"/>
  <c r="M411" i="49" a="1"/>
  <c r="M411" i="49" s="1"/>
  <c r="O381" i="49" a="1"/>
  <c r="O381" i="49" s="1"/>
  <c r="N381" i="49" a="1"/>
  <c r="N381" i="49" s="1"/>
  <c r="M381" i="49" a="1"/>
  <c r="M381" i="49" s="1"/>
  <c r="K381" i="49" a="1"/>
  <c r="K381" i="49" s="1"/>
  <c r="L381" i="49" a="1"/>
  <c r="L381" i="49" s="1"/>
  <c r="K365" i="49" a="1"/>
  <c r="K365" i="49" s="1"/>
  <c r="O365" i="49" a="1"/>
  <c r="O365" i="49" s="1"/>
  <c r="L365" i="49" a="1"/>
  <c r="L365" i="49" s="1"/>
  <c r="N365" i="49" a="1"/>
  <c r="N365" i="49" s="1"/>
  <c r="M365" i="49" a="1"/>
  <c r="M365" i="49" s="1"/>
  <c r="J326" i="49"/>
  <c r="J328" i="49" s="1"/>
  <c r="I326" i="49"/>
  <c r="I328" i="49" s="1"/>
  <c r="H326" i="49"/>
  <c r="H328" i="49" s="1"/>
  <c r="G326" i="49"/>
  <c r="G328" i="49" s="1"/>
  <c r="M354" i="49" a="1"/>
  <c r="M354" i="49" s="1"/>
  <c r="L354" i="49" a="1"/>
  <c r="L354" i="49" s="1"/>
  <c r="K354" i="49" a="1"/>
  <c r="K354" i="49" s="1"/>
  <c r="N354" i="49" a="1"/>
  <c r="N354" i="49" s="1"/>
  <c r="O354" i="49" a="1"/>
  <c r="O354" i="49" s="1"/>
  <c r="O425" i="49" a="1"/>
  <c r="O425" i="49" s="1"/>
  <c r="N425" i="49" a="1"/>
  <c r="N425" i="49" s="1"/>
  <c r="M425" i="49" a="1"/>
  <c r="M425" i="49" s="1"/>
  <c r="L425" i="49" a="1"/>
  <c r="L425" i="49" s="1"/>
  <c r="K425" i="49" a="1"/>
  <c r="K425" i="49" s="1"/>
  <c r="F330" i="49"/>
  <c r="K340" i="49" a="1"/>
  <c r="K340" i="49" s="1"/>
  <c r="O340" i="49" a="1"/>
  <c r="O340" i="49" s="1"/>
  <c r="N340" i="49" a="1"/>
  <c r="N340" i="49" s="1"/>
  <c r="M340" i="49" a="1"/>
  <c r="M340" i="49" s="1"/>
  <c r="L340" i="49" a="1"/>
  <c r="L340" i="49" s="1"/>
  <c r="O453" i="49" a="1"/>
  <c r="O453" i="49" s="1"/>
  <c r="N453" i="49" a="1"/>
  <c r="N453" i="49" s="1"/>
  <c r="M453" i="49" a="1"/>
  <c r="M453" i="49" s="1"/>
  <c r="L453" i="49" a="1"/>
  <c r="L453" i="49" s="1"/>
  <c r="K453" i="49" a="1"/>
  <c r="K453" i="49" s="1"/>
  <c r="M351" i="49" a="1"/>
  <c r="M351" i="49" s="1"/>
  <c r="L351" i="49" a="1"/>
  <c r="L351" i="49" s="1"/>
  <c r="K351" i="49" a="1"/>
  <c r="K351" i="49" s="1"/>
  <c r="N351" i="49" a="1"/>
  <c r="N351" i="49" s="1"/>
  <c r="O351" i="49" a="1"/>
  <c r="O351" i="49" s="1"/>
  <c r="M448" i="49" a="1"/>
  <c r="M448" i="49" s="1"/>
  <c r="L448" i="49" a="1"/>
  <c r="L448" i="49" s="1"/>
  <c r="K448" i="49" a="1"/>
  <c r="K448" i="49" s="1"/>
  <c r="O448" i="49" a="1"/>
  <c r="O448" i="49" s="1"/>
  <c r="N448" i="49" a="1"/>
  <c r="N448" i="49" s="1"/>
  <c r="N424" i="49" a="1"/>
  <c r="N424" i="49" s="1"/>
  <c r="M424" i="49" a="1"/>
  <c r="M424" i="49" s="1"/>
  <c r="L424" i="49" a="1"/>
  <c r="L424" i="49" s="1"/>
  <c r="K424" i="49" a="1"/>
  <c r="K424" i="49" s="1"/>
  <c r="O424" i="49" a="1"/>
  <c r="O424" i="49" s="1"/>
  <c r="M352" i="49" a="1"/>
  <c r="M352" i="49" s="1"/>
  <c r="L352" i="49" a="1"/>
  <c r="L352" i="49" s="1"/>
  <c r="K352" i="49" a="1"/>
  <c r="K352" i="49" s="1"/>
  <c r="O352" i="49" a="1"/>
  <c r="O352" i="49" s="1"/>
  <c r="N352" i="49" a="1"/>
  <c r="N352" i="49" s="1"/>
  <c r="O380" i="49" a="1"/>
  <c r="O380" i="49" s="1"/>
  <c r="N380" i="49" a="1"/>
  <c r="N380" i="49" s="1"/>
  <c r="M380" i="49" a="1"/>
  <c r="M380" i="49" s="1"/>
  <c r="L380" i="49" a="1"/>
  <c r="L380" i="49" s="1"/>
  <c r="K380" i="49" a="1"/>
  <c r="K380" i="49" s="1"/>
  <c r="O439" i="49" a="1"/>
  <c r="O439" i="49" s="1"/>
  <c r="N439" i="49" a="1"/>
  <c r="N439" i="49" s="1"/>
  <c r="M439" i="49" a="1"/>
  <c r="M439" i="49" s="1"/>
  <c r="L439" i="49" a="1"/>
  <c r="L439" i="49" s="1"/>
  <c r="K439" i="49" a="1"/>
  <c r="K439" i="49" s="1"/>
  <c r="M390" i="49" a="1"/>
  <c r="M390" i="49" s="1"/>
  <c r="L390" i="49" a="1"/>
  <c r="L390" i="49" s="1"/>
  <c r="K390" i="49" a="1"/>
  <c r="K390" i="49" s="1"/>
  <c r="O390" i="49" a="1"/>
  <c r="O390" i="49" s="1"/>
  <c r="N390" i="49" a="1"/>
  <c r="N390" i="49" s="1"/>
  <c r="M394" i="49" a="1"/>
  <c r="M394" i="49" s="1"/>
  <c r="L394" i="49" a="1"/>
  <c r="L394" i="49" s="1"/>
  <c r="K394" i="49" a="1"/>
  <c r="K394" i="49" s="1"/>
  <c r="O394" i="49" a="1"/>
  <c r="O394" i="49" s="1"/>
  <c r="N394" i="49" a="1"/>
  <c r="N394" i="49" s="1"/>
  <c r="L449" i="49" a="1"/>
  <c r="L449" i="49" s="1"/>
  <c r="K449" i="49" a="1"/>
  <c r="K449" i="49" s="1"/>
  <c r="O449" i="49" a="1"/>
  <c r="O449" i="49" s="1"/>
  <c r="M449" i="49" a="1"/>
  <c r="M449" i="49" s="1"/>
  <c r="N449" i="49" a="1"/>
  <c r="N449" i="49" s="1"/>
  <c r="M421" i="49" a="1"/>
  <c r="M421" i="49" s="1"/>
  <c r="L421" i="49" a="1"/>
  <c r="L421" i="49" s="1"/>
  <c r="K421" i="49" a="1"/>
  <c r="K421" i="49" s="1"/>
  <c r="O421" i="49" a="1"/>
  <c r="O421" i="49" s="1"/>
  <c r="N421" i="49" a="1"/>
  <c r="N421" i="49" s="1"/>
  <c r="N452" i="49" a="1"/>
  <c r="N452" i="49" s="1"/>
  <c r="M452" i="49" a="1"/>
  <c r="M452" i="49" s="1"/>
  <c r="L452" i="49" a="1"/>
  <c r="L452" i="49" s="1"/>
  <c r="K452" i="49" a="1"/>
  <c r="K452" i="49" s="1"/>
  <c r="O452" i="49" a="1"/>
  <c r="O452" i="49" s="1"/>
  <c r="L337" i="49" a="1"/>
  <c r="L337" i="49" s="1"/>
  <c r="K337" i="49" a="1"/>
  <c r="K337" i="49" s="1"/>
  <c r="O337" i="49" a="1"/>
  <c r="O337" i="49" s="1"/>
  <c r="N337" i="49" a="1"/>
  <c r="N337" i="49" s="1"/>
  <c r="M337" i="49" a="1"/>
  <c r="M337" i="49" s="1"/>
  <c r="L391" i="49" a="1"/>
  <c r="L391" i="49" s="1"/>
  <c r="K391" i="49" a="1"/>
  <c r="K391" i="49" s="1"/>
  <c r="O391" i="49" a="1"/>
  <c r="O391" i="49" s="1"/>
  <c r="M391" i="49" a="1"/>
  <c r="M391" i="49" s="1"/>
  <c r="N391" i="49" a="1"/>
  <c r="N391" i="49" s="1"/>
  <c r="O438" i="49" a="1"/>
  <c r="O438" i="49" s="1"/>
  <c r="N438" i="49" a="1"/>
  <c r="N438" i="49" s="1"/>
  <c r="M438" i="49" a="1"/>
  <c r="M438" i="49" s="1"/>
  <c r="L438" i="49" a="1"/>
  <c r="L438" i="49" s="1"/>
  <c r="K438" i="49" a="1"/>
  <c r="K438" i="49" s="1"/>
  <c r="F329" i="49"/>
  <c r="E24" i="63"/>
  <c r="E142" i="63"/>
  <c r="O107" i="49" a="1"/>
  <c r="O107" i="49" s="1"/>
  <c r="K107" i="49" a="1"/>
  <c r="K107" i="49" s="1"/>
  <c r="G17" i="44"/>
  <c r="G23" i="44" s="1" a="1"/>
  <c r="G23" i="44" s="1"/>
  <c r="M150" i="49" a="1"/>
  <c r="M150" i="49" s="1"/>
  <c r="N150" i="49" a="1"/>
  <c r="N150" i="49" s="1"/>
  <c r="M166" i="49" a="1"/>
  <c r="M166" i="49" s="1"/>
  <c r="N166" i="49" a="1"/>
  <c r="N166" i="49" s="1"/>
  <c r="M124" i="49" a="1"/>
  <c r="M124" i="49" s="1"/>
  <c r="N124" i="49" a="1"/>
  <c r="N124" i="49" s="1"/>
  <c r="M177" i="49" a="1"/>
  <c r="M177" i="49" s="1"/>
  <c r="N177" i="49" a="1"/>
  <c r="N177" i="49" s="1"/>
  <c r="M181" i="49" a="1"/>
  <c r="M181" i="49" s="1"/>
  <c r="N181" i="49" a="1"/>
  <c r="N181" i="49" s="1"/>
  <c r="M180" i="49" a="1"/>
  <c r="M180" i="49" s="1"/>
  <c r="N180" i="49" a="1"/>
  <c r="N180" i="49" s="1"/>
  <c r="M151" i="49" a="1"/>
  <c r="M151" i="49" s="1"/>
  <c r="N151" i="49" a="1"/>
  <c r="N151" i="49" s="1"/>
  <c r="M206" i="49" a="1"/>
  <c r="M206" i="49" s="1"/>
  <c r="N206" i="49" a="1"/>
  <c r="N206" i="49" s="1"/>
  <c r="M222" i="49" a="1"/>
  <c r="M222" i="49" s="1"/>
  <c r="N222" i="49" a="1"/>
  <c r="N222" i="49" s="1"/>
  <c r="M135" i="49" a="1"/>
  <c r="M135" i="49" s="1"/>
  <c r="N135" i="49" a="1"/>
  <c r="N135" i="49" s="1"/>
  <c r="M126" i="49" a="1"/>
  <c r="M126" i="49" s="1"/>
  <c r="N126" i="49" a="1"/>
  <c r="N126" i="49" s="1"/>
  <c r="M195" i="49" a="1"/>
  <c r="M195" i="49" s="1"/>
  <c r="N195" i="49" a="1"/>
  <c r="N195" i="49" s="1"/>
  <c r="M161" i="49" a="1"/>
  <c r="M161" i="49" s="1"/>
  <c r="N161" i="49" a="1"/>
  <c r="N161" i="49" s="1"/>
  <c r="M191" i="49" a="1"/>
  <c r="M191" i="49" s="1"/>
  <c r="N191" i="49" a="1"/>
  <c r="N191" i="49" s="1"/>
  <c r="M178" i="49" a="1"/>
  <c r="M178" i="49" s="1"/>
  <c r="N178" i="49" a="1"/>
  <c r="N178" i="49" s="1"/>
  <c r="M221" i="49" a="1"/>
  <c r="M221" i="49" s="1"/>
  <c r="N221" i="49" a="1"/>
  <c r="N221" i="49" s="1"/>
  <c r="M218" i="49" a="1"/>
  <c r="M218" i="49" s="1"/>
  <c r="N218" i="49" a="1"/>
  <c r="N218" i="49" s="1"/>
  <c r="M110" i="49" a="1"/>
  <c r="M110" i="49" s="1"/>
  <c r="N110" i="49" a="1"/>
  <c r="N110" i="49" s="1"/>
  <c r="M160" i="49" a="1"/>
  <c r="M160" i="49" s="1"/>
  <c r="N160" i="49" a="1"/>
  <c r="N160" i="49" s="1"/>
  <c r="M190" i="49" a="1"/>
  <c r="M190" i="49" s="1"/>
  <c r="N190" i="49" a="1"/>
  <c r="N190" i="49" s="1"/>
  <c r="M223" i="49" a="1"/>
  <c r="M223" i="49" s="1"/>
  <c r="N223" i="49" a="1"/>
  <c r="N223" i="49" s="1"/>
  <c r="M147" i="49" a="1"/>
  <c r="M147" i="49" s="1"/>
  <c r="N147" i="49" a="1"/>
  <c r="N147" i="49" s="1"/>
  <c r="M219" i="49" a="1"/>
  <c r="M219" i="49" s="1"/>
  <c r="N219" i="49" a="1"/>
  <c r="N219" i="49" s="1"/>
  <c r="M122" i="49" a="1"/>
  <c r="M122" i="49" s="1"/>
  <c r="N122" i="49" a="1"/>
  <c r="N122" i="49" s="1"/>
  <c r="M121" i="49" a="1"/>
  <c r="M121" i="49" s="1"/>
  <c r="N121" i="49" a="1"/>
  <c r="N121" i="49" s="1"/>
  <c r="M108" i="49" a="1"/>
  <c r="M108" i="49" s="1"/>
  <c r="N108" i="49" a="1"/>
  <c r="N108" i="49" s="1"/>
  <c r="M164" i="49" a="1"/>
  <c r="M164" i="49" s="1"/>
  <c r="N164" i="49" a="1"/>
  <c r="N164" i="49" s="1"/>
  <c r="M111" i="49" a="1"/>
  <c r="M111" i="49" s="1"/>
  <c r="N111" i="49" a="1"/>
  <c r="N111" i="49" s="1"/>
  <c r="M209" i="49" a="1"/>
  <c r="M209" i="49" s="1"/>
  <c r="N209" i="49" a="1"/>
  <c r="N209" i="49" s="1"/>
  <c r="M208" i="49" a="1"/>
  <c r="M208" i="49" s="1"/>
  <c r="N208" i="49" a="1"/>
  <c r="N208" i="49" s="1"/>
  <c r="M120" i="49" a="1"/>
  <c r="M120" i="49" s="1"/>
  <c r="N120" i="49" a="1"/>
  <c r="N120" i="49" s="1"/>
  <c r="M137" i="49"/>
  <c r="N137" i="49"/>
  <c r="M165" i="49" a="1"/>
  <c r="M165" i="49" s="1"/>
  <c r="N165" i="49" a="1"/>
  <c r="N165" i="49" s="1"/>
  <c r="M205" i="49" a="1"/>
  <c r="M205" i="49" s="1"/>
  <c r="N205" i="49" a="1"/>
  <c r="N205" i="49" s="1"/>
  <c r="M125" i="49" a="1"/>
  <c r="M125" i="49" s="1"/>
  <c r="N125" i="49" a="1"/>
  <c r="N125" i="49" s="1"/>
  <c r="M162" i="49" a="1"/>
  <c r="M162" i="49" s="1"/>
  <c r="N162" i="49" a="1"/>
  <c r="N162" i="49" s="1"/>
  <c r="M107" i="49" a="1"/>
  <c r="M107" i="49" s="1"/>
  <c r="N107" i="49" a="1"/>
  <c r="N107" i="49" s="1"/>
  <c r="M194" i="49" a="1"/>
  <c r="M194" i="49" s="1"/>
  <c r="N194" i="49" a="1"/>
  <c r="N194" i="49" s="1"/>
  <c r="M148" i="49" a="1"/>
  <c r="M148" i="49" s="1"/>
  <c r="N148" i="49" a="1"/>
  <c r="N148" i="49" s="1"/>
  <c r="M193" i="49" a="1"/>
  <c r="M193" i="49" s="1"/>
  <c r="N193" i="49" a="1"/>
  <c r="N193" i="49" s="1"/>
  <c r="K150" i="49" a="1"/>
  <c r="K150" i="49" s="1"/>
  <c r="L150" i="49" a="1"/>
  <c r="L150" i="49" s="1"/>
  <c r="K166" i="49" a="1"/>
  <c r="K166" i="49" s="1"/>
  <c r="L166" i="49" a="1"/>
  <c r="L166" i="49" s="1"/>
  <c r="K124" i="49" a="1"/>
  <c r="K124" i="49" s="1"/>
  <c r="L124" i="49" a="1"/>
  <c r="L124" i="49" s="1"/>
  <c r="K177" i="49" a="1"/>
  <c r="K177" i="49" s="1"/>
  <c r="L177" i="49" a="1"/>
  <c r="L177" i="49" s="1"/>
  <c r="K181" i="49" a="1"/>
  <c r="K181" i="49" s="1"/>
  <c r="L181" i="49" a="1"/>
  <c r="L181" i="49" s="1"/>
  <c r="K180" i="49" a="1"/>
  <c r="K180" i="49" s="1"/>
  <c r="L180" i="49" a="1"/>
  <c r="L180" i="49" s="1"/>
  <c r="K151" i="49" a="1"/>
  <c r="K151" i="49" s="1"/>
  <c r="L151" i="49" a="1"/>
  <c r="L151" i="49" s="1"/>
  <c r="K206" i="49" a="1"/>
  <c r="K206" i="49" s="1"/>
  <c r="L206" i="49" a="1"/>
  <c r="L206" i="49" s="1"/>
  <c r="K222" i="49" a="1"/>
  <c r="K222" i="49" s="1"/>
  <c r="L222" i="49" a="1"/>
  <c r="L222" i="49" s="1"/>
  <c r="K135" i="49" a="1"/>
  <c r="K135" i="49" s="1"/>
  <c r="L135" i="49" a="1"/>
  <c r="L135" i="49" s="1"/>
  <c r="K126" i="49" a="1"/>
  <c r="K126" i="49" s="1"/>
  <c r="L126" i="49" a="1"/>
  <c r="L126" i="49" s="1"/>
  <c r="K195" i="49" a="1"/>
  <c r="K195" i="49" s="1"/>
  <c r="L195" i="49" a="1"/>
  <c r="L195" i="49" s="1"/>
  <c r="K161" i="49" a="1"/>
  <c r="K161" i="49" s="1"/>
  <c r="L161" i="49" a="1"/>
  <c r="L161" i="49" s="1"/>
  <c r="K191" i="49" a="1"/>
  <c r="K191" i="49" s="1"/>
  <c r="L191" i="49" a="1"/>
  <c r="L191" i="49" s="1"/>
  <c r="K178" i="49" a="1"/>
  <c r="K178" i="49" s="1"/>
  <c r="L178" i="49" a="1"/>
  <c r="L178" i="49" s="1"/>
  <c r="K221" i="49" a="1"/>
  <c r="K221" i="49" s="1"/>
  <c r="L221" i="49" a="1"/>
  <c r="L221" i="49" s="1"/>
  <c r="K218" i="49" a="1"/>
  <c r="K218" i="49" s="1"/>
  <c r="L218" i="49" a="1"/>
  <c r="L218" i="49" s="1"/>
  <c r="K110" i="49" a="1"/>
  <c r="K110" i="49" s="1"/>
  <c r="L110" i="49" a="1"/>
  <c r="L110" i="49" s="1"/>
  <c r="K160" i="49" a="1"/>
  <c r="K160" i="49" s="1"/>
  <c r="L160" i="49" a="1"/>
  <c r="L160" i="49" s="1"/>
  <c r="K190" i="49" a="1"/>
  <c r="K190" i="49" s="1"/>
  <c r="L190" i="49" a="1"/>
  <c r="L190" i="49" s="1"/>
  <c r="K223" i="49" a="1"/>
  <c r="K223" i="49" s="1"/>
  <c r="L223" i="49" a="1"/>
  <c r="L223" i="49" s="1"/>
  <c r="K147" i="49" a="1"/>
  <c r="K147" i="49" s="1"/>
  <c r="L147" i="49" a="1"/>
  <c r="L147" i="49" s="1"/>
  <c r="K219" i="49" a="1"/>
  <c r="K219" i="49" s="1"/>
  <c r="L219" i="49" a="1"/>
  <c r="L219" i="49" s="1"/>
  <c r="K122" i="49" a="1"/>
  <c r="K122" i="49" s="1"/>
  <c r="L122" i="49" a="1"/>
  <c r="L122" i="49" s="1"/>
  <c r="K121" i="49" a="1"/>
  <c r="K121" i="49" s="1"/>
  <c r="L121" i="49" a="1"/>
  <c r="L121" i="49" s="1"/>
  <c r="K108" i="49" a="1"/>
  <c r="K108" i="49" s="1"/>
  <c r="L108" i="49" a="1"/>
  <c r="L108" i="49" s="1"/>
  <c r="K164" i="49" a="1"/>
  <c r="K164" i="49" s="1"/>
  <c r="L164" i="49" a="1"/>
  <c r="L164" i="49" s="1"/>
  <c r="K111" i="49" a="1"/>
  <c r="K111" i="49" s="1"/>
  <c r="L111" i="49" a="1"/>
  <c r="L111" i="49" s="1"/>
  <c r="K209" i="49" a="1"/>
  <c r="K209" i="49" s="1"/>
  <c r="L209" i="49" a="1"/>
  <c r="L209" i="49" s="1"/>
  <c r="K208" i="49" a="1"/>
  <c r="K208" i="49" s="1"/>
  <c r="L208" i="49" a="1"/>
  <c r="L208" i="49" s="1"/>
  <c r="K120" i="49" a="1"/>
  <c r="K120" i="49" s="1"/>
  <c r="L120" i="49" a="1"/>
  <c r="L120" i="49" s="1"/>
  <c r="K137" i="49"/>
  <c r="L137" i="49"/>
  <c r="K165" i="49" a="1"/>
  <c r="K165" i="49" s="1"/>
  <c r="L165" i="49" a="1"/>
  <c r="L165" i="49" s="1"/>
  <c r="K205" i="49" a="1"/>
  <c r="K205" i="49" s="1"/>
  <c r="L205" i="49" a="1"/>
  <c r="L205" i="49" s="1"/>
  <c r="K125" i="49" a="1"/>
  <c r="K125" i="49" s="1"/>
  <c r="L125" i="49" a="1"/>
  <c r="L125" i="49" s="1"/>
  <c r="K162" i="49" a="1"/>
  <c r="K162" i="49" s="1"/>
  <c r="L162" i="49" a="1"/>
  <c r="L162" i="49" s="1"/>
  <c r="L107" i="49" a="1"/>
  <c r="L107" i="49" s="1"/>
  <c r="K194" i="49" a="1"/>
  <c r="K194" i="49" s="1"/>
  <c r="L194" i="49" a="1"/>
  <c r="L194" i="49" s="1"/>
  <c r="K148" i="49" a="1"/>
  <c r="K148" i="49" s="1"/>
  <c r="L148" i="49" a="1"/>
  <c r="L148" i="49" s="1"/>
  <c r="K193" i="49" a="1"/>
  <c r="K193" i="49" s="1"/>
  <c r="L193" i="49" a="1"/>
  <c r="L193" i="49" s="1"/>
  <c r="F91" i="49"/>
  <c r="F88" i="49"/>
  <c r="F321" i="49"/>
  <c r="F318" i="49"/>
  <c r="J329" i="49" s="1"/>
  <c r="O367" i="49"/>
  <c r="K367" i="49"/>
  <c r="L367" i="49"/>
  <c r="M367" i="49"/>
  <c r="N367" i="49"/>
  <c r="G61" i="44"/>
  <c r="M18" i="49"/>
  <c r="N18" i="49"/>
  <c r="L18" i="49"/>
  <c r="O18" i="49"/>
  <c r="M47" i="49"/>
  <c r="L47" i="49"/>
  <c r="K47" i="49"/>
  <c r="O47" i="49"/>
  <c r="N47" i="49"/>
  <c r="M35" i="49"/>
  <c r="O35" i="49"/>
  <c r="N35" i="49"/>
  <c r="L35" i="49"/>
  <c r="K35" i="49"/>
  <c r="M19" i="49"/>
  <c r="L19" i="49"/>
  <c r="N19" i="49"/>
  <c r="O19" i="49"/>
  <c r="M249" i="49"/>
  <c r="O249" i="49"/>
  <c r="K249" i="49"/>
  <c r="N249" i="49"/>
  <c r="L249" i="49"/>
  <c r="O280" i="49"/>
  <c r="L280" i="49"/>
  <c r="N280" i="49"/>
  <c r="M280" i="49"/>
  <c r="O262" i="49"/>
  <c r="K262" i="49"/>
  <c r="M262" i="49"/>
  <c r="L262" i="49"/>
  <c r="N262" i="49"/>
  <c r="L251" i="49"/>
  <c r="O251" i="49"/>
  <c r="N251" i="49"/>
  <c r="K251" i="49"/>
  <c r="M251" i="49"/>
  <c r="O22" i="49"/>
  <c r="M22" i="49"/>
  <c r="N22" i="49"/>
  <c r="L22" i="49"/>
  <c r="O21" i="49"/>
  <c r="M21" i="49"/>
  <c r="N21" i="49"/>
  <c r="K21" i="49"/>
  <c r="L21" i="49"/>
  <c r="O276" i="49"/>
  <c r="N276" i="49"/>
  <c r="M276" i="49"/>
  <c r="L276" i="49"/>
  <c r="K276" i="49"/>
  <c r="L49" i="49"/>
  <c r="N49" i="49"/>
  <c r="O49" i="49"/>
  <c r="K49" i="49"/>
  <c r="M49" i="49"/>
  <c r="M266" i="49"/>
  <c r="L266" i="49"/>
  <c r="N266" i="49"/>
  <c r="O266" i="49"/>
  <c r="N263" i="49"/>
  <c r="M263" i="49"/>
  <c r="L263" i="49"/>
  <c r="K263" i="49"/>
  <c r="O263" i="49"/>
  <c r="N36" i="49"/>
  <c r="O36" i="49"/>
  <c r="M36" i="49"/>
  <c r="K36" i="49"/>
  <c r="L36" i="49"/>
  <c r="L252" i="49"/>
  <c r="M252" i="49"/>
  <c r="O252" i="49"/>
  <c r="N252" i="49"/>
  <c r="L50" i="49"/>
  <c r="M50" i="49"/>
  <c r="O50" i="49"/>
  <c r="N50" i="49"/>
  <c r="K50" i="49"/>
  <c r="K265" i="49"/>
  <c r="O265" i="49"/>
  <c r="N265" i="49"/>
  <c r="L265" i="49"/>
  <c r="M265" i="49"/>
  <c r="N32" i="49"/>
  <c r="K32" i="49"/>
  <c r="O32" i="49"/>
  <c r="L32" i="49"/>
  <c r="M32" i="49"/>
  <c r="K279" i="49"/>
  <c r="L279" i="49"/>
  <c r="O279" i="49"/>
  <c r="N279" i="49"/>
  <c r="M279" i="49"/>
  <c r="N248" i="49"/>
  <c r="K248" i="49"/>
  <c r="O248" i="49"/>
  <c r="L248" i="49"/>
  <c r="M248" i="49"/>
  <c r="M46" i="49"/>
  <c r="O46" i="49"/>
  <c r="K46" i="49"/>
  <c r="N46" i="49"/>
  <c r="L46" i="49"/>
  <c r="O277" i="49"/>
  <c r="M277" i="49"/>
  <c r="K277" i="49"/>
  <c r="L277" i="49"/>
  <c r="N277" i="49"/>
  <c r="O33" i="49"/>
  <c r="M33" i="49"/>
  <c r="K33" i="49"/>
  <c r="N33" i="49"/>
  <c r="L33" i="49"/>
  <c r="G25" i="44"/>
  <c r="G31" i="44" s="1" a="1"/>
  <c r="G31" i="44" s="1"/>
  <c r="G42" i="44"/>
  <c r="G48" i="44" s="1" a="1"/>
  <c r="G48" i="44" s="1"/>
  <c r="H25" i="44"/>
  <c r="H31" i="44" s="1" a="1"/>
  <c r="H31" i="44" s="1"/>
  <c r="H42" i="44"/>
  <c r="H48" i="44" s="1" a="1"/>
  <c r="H48" i="44" s="1"/>
  <c r="I25" i="44"/>
  <c r="I31" i="44" s="1" a="1"/>
  <c r="I31" i="44" s="1"/>
  <c r="I42" i="44"/>
  <c r="I48" i="44" s="1" a="1"/>
  <c r="I48" i="44" s="1"/>
  <c r="J25" i="44"/>
  <c r="J31" i="44" s="1" a="1"/>
  <c r="J31" i="44" s="1"/>
  <c r="J42" i="44"/>
  <c r="J48" i="44" s="1" a="1"/>
  <c r="J48" i="44" s="1"/>
  <c r="K25" i="44"/>
  <c r="K31" i="44" s="1" a="1"/>
  <c r="K31" i="44" s="1"/>
  <c r="K42" i="44"/>
  <c r="K48" i="44" s="1" a="1"/>
  <c r="K48" i="44" s="1"/>
  <c r="E394" i="44"/>
  <c r="F394" i="44"/>
  <c r="E395" i="44"/>
  <c r="F395" i="44"/>
  <c r="E396" i="44"/>
  <c r="F396" i="44"/>
  <c r="E397" i="44"/>
  <c r="F397" i="44"/>
  <c r="E398" i="44"/>
  <c r="F398" i="44"/>
  <c r="E393" i="44"/>
  <c r="F393" i="44"/>
  <c r="F148" i="44"/>
  <c r="F154" i="44"/>
  <c r="F153" i="44"/>
  <c r="F152" i="44"/>
  <c r="F151" i="44"/>
  <c r="F150" i="44"/>
  <c r="F149" i="44"/>
  <c r="E150" i="44"/>
  <c r="E151" i="44"/>
  <c r="E152" i="44"/>
  <c r="E153" i="44"/>
  <c r="E154" i="44"/>
  <c r="E149" i="44"/>
  <c r="E148" i="44"/>
  <c r="K342" i="49" l="1"/>
  <c r="K339" i="49"/>
  <c r="O450" i="49"/>
  <c r="I295" i="44"/>
  <c r="O208" i="49" a="1"/>
  <c r="O208" i="49" s="1"/>
  <c r="O108" i="49" a="1"/>
  <c r="O108" i="49" s="1"/>
  <c r="O109" i="49" s="1"/>
  <c r="O209" i="49" a="1"/>
  <c r="O209" i="49" s="1"/>
  <c r="O111" i="49" a="1"/>
  <c r="O111" i="49" s="1"/>
  <c r="O112" i="49" s="1"/>
  <c r="O147" i="49" a="1"/>
  <c r="O147" i="49" s="1"/>
  <c r="O149" i="49" s="1"/>
  <c r="K295" i="44"/>
  <c r="H329" i="49"/>
  <c r="M357" i="49" s="1"/>
  <c r="O426" i="49"/>
  <c r="M422" i="49"/>
  <c r="I329" i="49"/>
  <c r="N426" i="49" s="1"/>
  <c r="K450" i="49"/>
  <c r="O353" i="49"/>
  <c r="L422" i="49"/>
  <c r="L450" i="49"/>
  <c r="F326" i="49"/>
  <c r="F328" i="49" s="1"/>
  <c r="G330" i="49"/>
  <c r="L393" i="49" s="1"/>
  <c r="K422" i="49"/>
  <c r="F325" i="49"/>
  <c r="F327" i="49" s="1"/>
  <c r="H330" i="49"/>
  <c r="M393" i="49" s="1"/>
  <c r="N422" i="49"/>
  <c r="M450" i="49"/>
  <c r="I330" i="49"/>
  <c r="N397" i="49" s="1"/>
  <c r="O357" i="49"/>
  <c r="O422" i="49"/>
  <c r="G329" i="49"/>
  <c r="L357" i="49" s="1"/>
  <c r="N450" i="49"/>
  <c r="J330" i="49"/>
  <c r="O397" i="49" s="1"/>
  <c r="K192" i="49"/>
  <c r="I100" i="49"/>
  <c r="N167" i="49" s="1"/>
  <c r="H100" i="49"/>
  <c r="M163" i="49" s="1"/>
  <c r="G100" i="49"/>
  <c r="L167" i="49" s="1"/>
  <c r="F100" i="49"/>
  <c r="J100" i="49"/>
  <c r="O163" i="49" s="1"/>
  <c r="H99" i="49"/>
  <c r="M127" i="49" s="1"/>
  <c r="G99" i="49"/>
  <c r="L127" i="49" s="1"/>
  <c r="F99" i="49"/>
  <c r="J99" i="49"/>
  <c r="O127" i="49" s="1"/>
  <c r="I99" i="49"/>
  <c r="N123" i="49" s="1"/>
  <c r="L109" i="49"/>
  <c r="M207" i="49"/>
  <c r="K207" i="49"/>
  <c r="K112" i="49"/>
  <c r="K109" i="49"/>
  <c r="N207" i="49"/>
  <c r="L123" i="49"/>
  <c r="N109" i="49"/>
  <c r="O207" i="49"/>
  <c r="N210" i="49"/>
  <c r="M109" i="49"/>
  <c r="L207" i="49"/>
  <c r="K210" i="49"/>
  <c r="L182" i="49"/>
  <c r="M182" i="49"/>
  <c r="K182" i="49"/>
  <c r="M196" i="49"/>
  <c r="L210" i="49"/>
  <c r="L211" i="49" s="1"/>
  <c r="L213" i="49" s="1" a="1"/>
  <c r="L213" i="49" s="1"/>
  <c r="O196" i="49"/>
  <c r="M192" i="49"/>
  <c r="L224" i="49"/>
  <c r="L179" i="49"/>
  <c r="L196" i="49"/>
  <c r="M224" i="49"/>
  <c r="K149" i="49"/>
  <c r="L112" i="49"/>
  <c r="N224" i="49"/>
  <c r="N220" i="49"/>
  <c r="K224" i="49"/>
  <c r="O182" i="49"/>
  <c r="M152" i="49"/>
  <c r="L149" i="49"/>
  <c r="M220" i="49"/>
  <c r="O224" i="49"/>
  <c r="M179" i="49"/>
  <c r="N152" i="49"/>
  <c r="M149" i="49"/>
  <c r="O192" i="49"/>
  <c r="K220" i="49"/>
  <c r="N179" i="49"/>
  <c r="K152" i="49"/>
  <c r="N196" i="49"/>
  <c r="M210" i="49"/>
  <c r="N149" i="49"/>
  <c r="N192" i="49"/>
  <c r="N112" i="49"/>
  <c r="O220" i="49"/>
  <c r="N182" i="49"/>
  <c r="K179" i="49"/>
  <c r="O152" i="49"/>
  <c r="K196" i="49"/>
  <c r="L192" i="49"/>
  <c r="M112" i="49"/>
  <c r="L220" i="49"/>
  <c r="O179" i="49"/>
  <c r="L152" i="49"/>
  <c r="K437" i="49"/>
  <c r="O437" i="49"/>
  <c r="N437" i="49"/>
  <c r="K343" i="49"/>
  <c r="K345" i="49" s="1" a="1"/>
  <c r="K345" i="49" s="1"/>
  <c r="O382" i="49"/>
  <c r="N250" i="49"/>
  <c r="K412" i="49"/>
  <c r="M437" i="49"/>
  <c r="K382" i="49"/>
  <c r="O412" i="49"/>
  <c r="L382" i="49"/>
  <c r="N382" i="49"/>
  <c r="L437" i="49"/>
  <c r="M409" i="49"/>
  <c r="L412" i="49"/>
  <c r="L440" i="49"/>
  <c r="L409" i="49"/>
  <c r="M412" i="49"/>
  <c r="N440" i="49"/>
  <c r="M440" i="49"/>
  <c r="N412" i="49"/>
  <c r="N379" i="49"/>
  <c r="M382" i="49"/>
  <c r="K379" i="49"/>
  <c r="K440" i="49"/>
  <c r="K409" i="49"/>
  <c r="N409" i="49"/>
  <c r="O379" i="49"/>
  <c r="O440" i="49"/>
  <c r="O409" i="49"/>
  <c r="M379" i="49"/>
  <c r="L379" i="49"/>
  <c r="O339" i="49"/>
  <c r="L339" i="49"/>
  <c r="O342" i="49"/>
  <c r="M342" i="49"/>
  <c r="L342" i="49"/>
  <c r="N339" i="49"/>
  <c r="M339" i="49"/>
  <c r="N342" i="49"/>
  <c r="L281" i="49"/>
  <c r="K34" i="49"/>
  <c r="N20" i="49"/>
  <c r="L20" i="49"/>
  <c r="K20" i="49"/>
  <c r="M267" i="49"/>
  <c r="O23" i="49"/>
  <c r="O281" i="49"/>
  <c r="K267" i="49"/>
  <c r="M250" i="49"/>
  <c r="N281" i="49"/>
  <c r="L267" i="49"/>
  <c r="O20" i="49"/>
  <c r="L51" i="49"/>
  <c r="L34" i="49"/>
  <c r="M34" i="49"/>
  <c r="K281" i="49"/>
  <c r="M281" i="49"/>
  <c r="O250" i="49"/>
  <c r="K253" i="49"/>
  <c r="M264" i="49"/>
  <c r="N267" i="49"/>
  <c r="O264" i="49"/>
  <c r="K250" i="49"/>
  <c r="L37" i="49"/>
  <c r="M48" i="49"/>
  <c r="N34" i="49"/>
  <c r="K23" i="49"/>
  <c r="N23" i="49"/>
  <c r="M23" i="49"/>
  <c r="M278" i="49"/>
  <c r="N253" i="49"/>
  <c r="K264" i="49"/>
  <c r="M20" i="49"/>
  <c r="N37" i="49"/>
  <c r="L278" i="49"/>
  <c r="N278" i="49"/>
  <c r="O253" i="49"/>
  <c r="O37" i="49"/>
  <c r="M51" i="49"/>
  <c r="O278" i="49"/>
  <c r="L253" i="49"/>
  <c r="M37" i="49"/>
  <c r="K51" i="49"/>
  <c r="L23" i="49"/>
  <c r="N48" i="49"/>
  <c r="L250" i="49"/>
  <c r="O267" i="49"/>
  <c r="O51" i="49"/>
  <c r="O48" i="49"/>
  <c r="O34" i="49"/>
  <c r="N51" i="49"/>
  <c r="N264" i="49"/>
  <c r="K48" i="49"/>
  <c r="K278" i="49"/>
  <c r="M253" i="49"/>
  <c r="L264" i="49"/>
  <c r="K37" i="49"/>
  <c r="L48" i="49"/>
  <c r="C79" i="44"/>
  <c r="O210" i="49" l="1"/>
  <c r="O211" i="49" s="1"/>
  <c r="O213" i="49" s="1" a="1"/>
  <c r="O213" i="49" s="1"/>
  <c r="N357" i="49"/>
  <c r="M353" i="49"/>
  <c r="M426" i="49"/>
  <c r="N353" i="49"/>
  <c r="L397" i="49"/>
  <c r="L454" i="49"/>
  <c r="L455" i="49" s="1"/>
  <c r="L457" i="49" s="1" a="1"/>
  <c r="L457" i="49" s="1"/>
  <c r="K393" i="49"/>
  <c r="K353" i="49"/>
  <c r="M397" i="49"/>
  <c r="M454" i="49"/>
  <c r="M455" i="49" s="1"/>
  <c r="M457" i="49" s="1" a="1"/>
  <c r="M457" i="49" s="1"/>
  <c r="K397" i="49"/>
  <c r="K357" i="49"/>
  <c r="L353" i="49"/>
  <c r="O454" i="49"/>
  <c r="O455" i="49" s="1"/>
  <c r="O457" i="49" s="1" a="1"/>
  <c r="O457" i="49" s="1"/>
  <c r="K454" i="49"/>
  <c r="K455" i="49" s="1"/>
  <c r="K457" i="49" s="1" a="1"/>
  <c r="K457" i="49" s="1"/>
  <c r="N454" i="49"/>
  <c r="N455" i="49" s="1"/>
  <c r="N457" i="49" s="1" a="1"/>
  <c r="N457" i="49" s="1"/>
  <c r="K426" i="49"/>
  <c r="L426" i="49"/>
  <c r="O393" i="49"/>
  <c r="N393" i="49"/>
  <c r="L163" i="49"/>
  <c r="N211" i="49"/>
  <c r="N213" i="49" s="1" a="1"/>
  <c r="N213" i="49" s="1"/>
  <c r="N214" i="49" s="1"/>
  <c r="N215" i="49" s="1"/>
  <c r="N72" i="49" s="1"/>
  <c r="K123" i="49"/>
  <c r="K211" i="49"/>
  <c r="K213" i="49" s="1" a="1"/>
  <c r="K213" i="49" s="1"/>
  <c r="K183" i="49"/>
  <c r="K185" i="49" s="1" a="1"/>
  <c r="K185" i="49" s="1"/>
  <c r="O167" i="49"/>
  <c r="O123" i="49"/>
  <c r="O128" i="49" s="1"/>
  <c r="N127" i="49"/>
  <c r="N163" i="49"/>
  <c r="N168" i="49" s="1"/>
  <c r="N170" i="49" s="1" a="1"/>
  <c r="N170" i="49" s="1"/>
  <c r="M167" i="49"/>
  <c r="M123" i="49"/>
  <c r="M128" i="49" s="1"/>
  <c r="M130" i="49" s="1" a="1"/>
  <c r="M130" i="49" s="1"/>
  <c r="M183" i="49"/>
  <c r="M185" i="49" s="1" a="1"/>
  <c r="M185" i="49" s="1"/>
  <c r="M186" i="49" s="1"/>
  <c r="M187" i="49" s="1"/>
  <c r="K163" i="49"/>
  <c r="K167" i="49"/>
  <c r="K127" i="49"/>
  <c r="L183" i="49"/>
  <c r="L185" i="49" s="1" a="1"/>
  <c r="L185" i="49" s="1"/>
  <c r="L186" i="49" s="1"/>
  <c r="L187" i="49" s="1"/>
  <c r="L69" i="49" s="1"/>
  <c r="M197" i="49"/>
  <c r="M199" i="49" s="1" a="1"/>
  <c r="M199" i="49" s="1"/>
  <c r="K197" i="49"/>
  <c r="K199" i="49" s="1" a="1"/>
  <c r="K199" i="49" s="1"/>
  <c r="L214" i="49"/>
  <c r="L215" i="49" s="1"/>
  <c r="L72" i="49" s="1"/>
  <c r="L168" i="49"/>
  <c r="L170" i="49" s="1" a="1"/>
  <c r="L170" i="49" s="1"/>
  <c r="K225" i="49"/>
  <c r="K227" i="49" s="1" a="1"/>
  <c r="K227" i="49" s="1"/>
  <c r="L153" i="49"/>
  <c r="L155" i="49" s="1" a="1"/>
  <c r="L155" i="49" s="1"/>
  <c r="O153" i="49"/>
  <c r="O155" i="49" s="1" a="1"/>
  <c r="O155" i="49" s="1"/>
  <c r="M211" i="49"/>
  <c r="M213" i="49" s="1" a="1"/>
  <c r="M213" i="49" s="1"/>
  <c r="L128" i="49"/>
  <c r="L130" i="49" s="1" a="1"/>
  <c r="L130" i="49" s="1"/>
  <c r="M225" i="49"/>
  <c r="M227" i="49" s="1" a="1"/>
  <c r="M227" i="49" s="1"/>
  <c r="O113" i="49"/>
  <c r="O115" i="49" s="1" a="1"/>
  <c r="O115" i="49" s="1"/>
  <c r="O116" i="49" s="1"/>
  <c r="O117" i="49" s="1"/>
  <c r="L225" i="49"/>
  <c r="L227" i="49" s="1" a="1"/>
  <c r="L227" i="49" s="1"/>
  <c r="N183" i="49"/>
  <c r="N185" i="49" s="1" a="1"/>
  <c r="N185" i="49" s="1"/>
  <c r="N197" i="49"/>
  <c r="N199" i="49" s="1" a="1"/>
  <c r="N199" i="49" s="1"/>
  <c r="O225" i="49"/>
  <c r="O227" i="49" s="1" a="1"/>
  <c r="O227" i="49" s="1"/>
  <c r="K113" i="49"/>
  <c r="K115" i="49" s="1" a="1"/>
  <c r="K115" i="49" s="1"/>
  <c r="K153" i="49"/>
  <c r="K155" i="49" s="1" a="1"/>
  <c r="K155" i="49" s="1"/>
  <c r="M113" i="49"/>
  <c r="M115" i="49" s="1" a="1"/>
  <c r="M115" i="49" s="1"/>
  <c r="M116" i="49" s="1"/>
  <c r="N153" i="49"/>
  <c r="N155" i="49" s="1" a="1"/>
  <c r="N155" i="49" s="1"/>
  <c r="N156" i="49" s="1"/>
  <c r="N157" i="49" s="1"/>
  <c r="N66" i="49" s="1"/>
  <c r="M153" i="49"/>
  <c r="M155" i="49" s="1" a="1"/>
  <c r="M155" i="49" s="1"/>
  <c r="N113" i="49"/>
  <c r="N115" i="49" s="1" a="1"/>
  <c r="N115" i="49" s="1"/>
  <c r="N225" i="49"/>
  <c r="N227" i="49" s="1" a="1"/>
  <c r="N227" i="49" s="1"/>
  <c r="L197" i="49"/>
  <c r="L199" i="49" s="1" a="1"/>
  <c r="L199" i="49" s="1"/>
  <c r="O197" i="49"/>
  <c r="O199" i="49" s="1" a="1"/>
  <c r="O199" i="49" s="1"/>
  <c r="O183" i="49"/>
  <c r="O185" i="49" s="1" a="1"/>
  <c r="O185" i="49" s="1"/>
  <c r="L113" i="49"/>
  <c r="L115" i="49" s="1" a="1"/>
  <c r="L115" i="49" s="1"/>
  <c r="N441" i="49"/>
  <c r="N443" i="49" s="1" a="1"/>
  <c r="N443" i="49" s="1"/>
  <c r="N254" i="49"/>
  <c r="N255" i="49" s="1"/>
  <c r="N257" i="49" s="1"/>
  <c r="M441" i="49"/>
  <c r="M443" i="49" s="1" a="1"/>
  <c r="M443" i="49" s="1"/>
  <c r="O383" i="49"/>
  <c r="O385" i="49" s="1" a="1"/>
  <c r="O385" i="49" s="1"/>
  <c r="L441" i="49"/>
  <c r="L443" i="49" s="1" a="1"/>
  <c r="L443" i="49" s="1"/>
  <c r="K413" i="49"/>
  <c r="K415" i="49" s="1" a="1"/>
  <c r="K415" i="49" s="1"/>
  <c r="K383" i="49"/>
  <c r="K385" i="49" s="1" a="1"/>
  <c r="K385" i="49" s="1"/>
  <c r="M413" i="49"/>
  <c r="M415" i="49" s="1" a="1"/>
  <c r="M415" i="49" s="1"/>
  <c r="O413" i="49"/>
  <c r="O415" i="49" s="1" a="1"/>
  <c r="O415" i="49" s="1"/>
  <c r="L383" i="49"/>
  <c r="L385" i="49" s="1" a="1"/>
  <c r="L385" i="49" s="1"/>
  <c r="N383" i="49"/>
  <c r="N385" i="49" s="1" a="1"/>
  <c r="N385" i="49" s="1"/>
  <c r="N413" i="49"/>
  <c r="N415" i="49" s="1" a="1"/>
  <c r="N415" i="49" s="1"/>
  <c r="L413" i="49"/>
  <c r="L415" i="49" s="1" a="1"/>
  <c r="L415" i="49" s="1"/>
  <c r="M383" i="49"/>
  <c r="M385" i="49" s="1" a="1"/>
  <c r="M385" i="49" s="1"/>
  <c r="O441" i="49"/>
  <c r="O443" i="49" s="1" a="1"/>
  <c r="O443" i="49" s="1"/>
  <c r="K441" i="49"/>
  <c r="K443" i="49" s="1" a="1"/>
  <c r="K443" i="49" s="1"/>
  <c r="N24" i="49"/>
  <c r="N25" i="49" s="1"/>
  <c r="N27" i="49" s="1"/>
  <c r="N28" i="49" s="1"/>
  <c r="L282" i="49"/>
  <c r="L283" i="49" s="1"/>
  <c r="L285" i="49" s="1"/>
  <c r="L286" i="49" s="1"/>
  <c r="K38" i="49"/>
  <c r="K39" i="49" s="1"/>
  <c r="K41" i="49" s="1"/>
  <c r="K42" i="49" s="1"/>
  <c r="M343" i="49"/>
  <c r="M345" i="49" s="1" a="1"/>
  <c r="M345" i="49" s="1"/>
  <c r="L24" i="49"/>
  <c r="L25" i="49" s="1"/>
  <c r="K24" i="49"/>
  <c r="M254" i="49"/>
  <c r="M255" i="49" s="1"/>
  <c r="M257" i="49" s="1"/>
  <c r="M38" i="49"/>
  <c r="M39" i="49" s="1"/>
  <c r="O282" i="49"/>
  <c r="O283" i="49" s="1"/>
  <c r="K282" i="49"/>
  <c r="K283" i="49" s="1"/>
  <c r="K268" i="49"/>
  <c r="K269" i="49" s="1"/>
  <c r="K271" i="49" s="1"/>
  <c r="N268" i="49"/>
  <c r="N269" i="49" s="1"/>
  <c r="N271" i="49" s="1"/>
  <c r="N272" i="49" s="1"/>
  <c r="M268" i="49"/>
  <c r="M269" i="49" s="1"/>
  <c r="M24" i="49"/>
  <c r="M25" i="49" s="1"/>
  <c r="N343" i="49"/>
  <c r="N345" i="49" s="1" a="1"/>
  <c r="N345" i="49" s="1"/>
  <c r="O24" i="49"/>
  <c r="O25" i="49" s="1"/>
  <c r="O27" i="49" s="1"/>
  <c r="O28" i="49" s="1"/>
  <c r="N282" i="49"/>
  <c r="N283" i="49" s="1"/>
  <c r="L38" i="49"/>
  <c r="L39" i="49" s="1"/>
  <c r="L268" i="49"/>
  <c r="L269" i="49" s="1"/>
  <c r="L271" i="49" s="1"/>
  <c r="M282" i="49"/>
  <c r="M283" i="49" s="1"/>
  <c r="M285" i="49" s="1"/>
  <c r="M286" i="49" s="1"/>
  <c r="M287" i="49" s="1"/>
  <c r="M242" i="49" s="1"/>
  <c r="L52" i="49"/>
  <c r="L53" i="49" s="1"/>
  <c r="L55" i="49" s="1"/>
  <c r="O343" i="49"/>
  <c r="O345" i="49" s="1" a="1"/>
  <c r="O345" i="49" s="1"/>
  <c r="O254" i="49"/>
  <c r="O255" i="49" s="1"/>
  <c r="O257" i="49" s="1"/>
  <c r="L343" i="49"/>
  <c r="L345" i="49" s="1" a="1"/>
  <c r="L345" i="49" s="1"/>
  <c r="M52" i="49"/>
  <c r="M53" i="49" s="1"/>
  <c r="K254" i="49"/>
  <c r="K255" i="49" s="1"/>
  <c r="N38" i="49"/>
  <c r="N39" i="49" s="1"/>
  <c r="O268" i="49"/>
  <c r="O269" i="49" s="1"/>
  <c r="O271" i="49" s="1"/>
  <c r="N52" i="49"/>
  <c r="N53" i="49" s="1"/>
  <c r="N55" i="49" s="1"/>
  <c r="N56" i="49" s="1"/>
  <c r="N57" i="49" s="1"/>
  <c r="L254" i="49"/>
  <c r="O52" i="49"/>
  <c r="K52" i="49"/>
  <c r="O38" i="49"/>
  <c r="L444" i="49" l="1"/>
  <c r="L445" i="49" s="1"/>
  <c r="I136" i="63" s="1" a="1"/>
  <c r="I136" i="63" s="1"/>
  <c r="N386" i="49"/>
  <c r="L386" i="49"/>
  <c r="O416" i="49"/>
  <c r="O417" i="49" s="1"/>
  <c r="L134" i="63" s="1" a="1"/>
  <c r="L134" i="63" s="1"/>
  <c r="L458" i="49"/>
  <c r="L459" i="49" s="1"/>
  <c r="I137" i="63" s="1" a="1"/>
  <c r="I137" i="63" s="1"/>
  <c r="N444" i="49"/>
  <c r="N445" i="49" s="1"/>
  <c r="K136" i="63" s="1" a="1"/>
  <c r="K136" i="63" s="1"/>
  <c r="O458" i="49"/>
  <c r="O459" i="49" s="1"/>
  <c r="L137" i="63" s="1" a="1"/>
  <c r="L137" i="63" s="1"/>
  <c r="M416" i="49"/>
  <c r="M417" i="49" s="1"/>
  <c r="J134" i="63" s="1" a="1"/>
  <c r="J134" i="63" s="1"/>
  <c r="N458" i="49"/>
  <c r="N459" i="49" s="1"/>
  <c r="K137" i="63" s="1" a="1"/>
  <c r="K137" i="63" s="1"/>
  <c r="K386" i="49"/>
  <c r="K387" i="49" s="1"/>
  <c r="H131" i="63" s="1"/>
  <c r="M458" i="49"/>
  <c r="M459" i="49" s="1"/>
  <c r="J137" i="63" s="1" a="1"/>
  <c r="J137" i="63" s="1"/>
  <c r="L416" i="49"/>
  <c r="L417" i="49" s="1"/>
  <c r="I134" i="63" s="1" a="1"/>
  <c r="I134" i="63" s="1"/>
  <c r="K458" i="49"/>
  <c r="K459" i="49" s="1"/>
  <c r="H137" i="63" s="1" a="1"/>
  <c r="H137" i="63" s="1"/>
  <c r="K358" i="49"/>
  <c r="K360" i="49" s="1" a="1"/>
  <c r="K360" i="49" s="1"/>
  <c r="O228" i="49"/>
  <c r="O229" i="49" s="1"/>
  <c r="O73" i="49" s="1"/>
  <c r="M131" i="49"/>
  <c r="M132" i="49" s="1"/>
  <c r="M64" i="49" s="1"/>
  <c r="K228" i="49"/>
  <c r="K229" i="49" s="1"/>
  <c r="K73" i="49" s="1"/>
  <c r="L171" i="49"/>
  <c r="L172" i="49" s="1"/>
  <c r="L67" i="49" s="1"/>
  <c r="O200" i="49"/>
  <c r="O201" i="49" s="1"/>
  <c r="O70" i="49" s="1"/>
  <c r="L131" i="49"/>
  <c r="L132" i="49" s="1"/>
  <c r="L64" i="49" s="1"/>
  <c r="N228" i="49"/>
  <c r="N229" i="49" s="1"/>
  <c r="N73" i="49" s="1"/>
  <c r="N71" i="49" s="1"/>
  <c r="L228" i="49"/>
  <c r="L229" i="49" s="1"/>
  <c r="L73" i="49" s="1"/>
  <c r="L71" i="49" s="1"/>
  <c r="M228" i="49"/>
  <c r="M229" i="49" s="1"/>
  <c r="M73" i="49" s="1"/>
  <c r="N171" i="49"/>
  <c r="N172" i="49" s="1"/>
  <c r="N67" i="49" s="1"/>
  <c r="N65" i="49" s="1"/>
  <c r="K200" i="49"/>
  <c r="K201" i="49" s="1"/>
  <c r="K70" i="49" s="1"/>
  <c r="O130" i="49" a="1"/>
  <c r="O130" i="49" s="1"/>
  <c r="N200" i="49"/>
  <c r="N201" i="49" s="1"/>
  <c r="N70" i="49" s="1"/>
  <c r="L200" i="49"/>
  <c r="L201" i="49" s="1"/>
  <c r="L70" i="49" s="1"/>
  <c r="L68" i="49" s="1"/>
  <c r="M200" i="49"/>
  <c r="M201" i="49" s="1"/>
  <c r="M70" i="49" s="1"/>
  <c r="K128" i="49"/>
  <c r="K130" i="49" s="1" a="1"/>
  <c r="K130" i="49" s="1"/>
  <c r="K131" i="49" s="1"/>
  <c r="K214" i="49"/>
  <c r="K215" i="49" s="1"/>
  <c r="K72" i="49" s="1"/>
  <c r="K398" i="49"/>
  <c r="K400" i="49" s="1" a="1"/>
  <c r="K400" i="49" s="1"/>
  <c r="O214" i="49"/>
  <c r="O215" i="49" s="1"/>
  <c r="O72" i="49" s="1"/>
  <c r="M168" i="49"/>
  <c r="M170" i="49" s="1" a="1"/>
  <c r="M170" i="49" s="1"/>
  <c r="O168" i="49"/>
  <c r="O170" i="49" s="1" a="1"/>
  <c r="O170" i="49" s="1"/>
  <c r="N398" i="49"/>
  <c r="N400" i="49" s="1" a="1"/>
  <c r="N400" i="49" s="1"/>
  <c r="L358" i="49"/>
  <c r="L360" i="49" s="1" a="1"/>
  <c r="L360" i="49" s="1"/>
  <c r="O358" i="49"/>
  <c r="O360" i="49" s="1" a="1"/>
  <c r="O360" i="49" s="1"/>
  <c r="O398" i="49"/>
  <c r="O400" i="49" s="1" a="1"/>
  <c r="O400" i="49" s="1"/>
  <c r="O186" i="49"/>
  <c r="O187" i="49" s="1"/>
  <c r="N116" i="49"/>
  <c r="N117" i="49" s="1"/>
  <c r="N63" i="49" s="1"/>
  <c r="K156" i="49"/>
  <c r="K157" i="49" s="1"/>
  <c r="K66" i="49" s="1"/>
  <c r="O156" i="49"/>
  <c r="O157" i="49" s="1"/>
  <c r="M156" i="49"/>
  <c r="M157" i="49" s="1"/>
  <c r="K168" i="49"/>
  <c r="K170" i="49" s="1" a="1"/>
  <c r="K170" i="49" s="1"/>
  <c r="N186" i="49"/>
  <c r="N187" i="49" s="1"/>
  <c r="N69" i="49" s="1"/>
  <c r="M214" i="49"/>
  <c r="M215" i="49" s="1"/>
  <c r="M72" i="49" s="1"/>
  <c r="M71" i="49" s="1"/>
  <c r="L156" i="49"/>
  <c r="L157" i="49" s="1"/>
  <c r="L66" i="49" s="1"/>
  <c r="K116" i="49"/>
  <c r="K117" i="49" s="1"/>
  <c r="N128" i="49"/>
  <c r="N130" i="49" s="1" a="1"/>
  <c r="N130" i="49" s="1"/>
  <c r="K186" i="49"/>
  <c r="K187" i="49" s="1"/>
  <c r="K69" i="49" s="1"/>
  <c r="L116" i="49"/>
  <c r="L117" i="49" s="1"/>
  <c r="L63" i="49" s="1"/>
  <c r="M117" i="49"/>
  <c r="M63" i="49" s="1"/>
  <c r="M398" i="49"/>
  <c r="M400" i="49" s="1" a="1"/>
  <c r="M400" i="49" s="1"/>
  <c r="M358" i="49"/>
  <c r="M360" i="49" s="1" a="1"/>
  <c r="M360" i="49" s="1"/>
  <c r="L398" i="49"/>
  <c r="L400" i="49" s="1" a="1"/>
  <c r="L400" i="49" s="1"/>
  <c r="N358" i="49"/>
  <c r="N360" i="49" s="1" a="1"/>
  <c r="N360" i="49" s="1"/>
  <c r="M69" i="49"/>
  <c r="J16" i="63" a="1"/>
  <c r="J16" i="63" s="1"/>
  <c r="O63" i="49"/>
  <c r="K416" i="49"/>
  <c r="K417" i="49" s="1"/>
  <c r="H134" i="63" s="1" a="1"/>
  <c r="H134" i="63" s="1"/>
  <c r="O386" i="49"/>
  <c r="O387" i="49" s="1"/>
  <c r="L131" i="63" s="1" a="1"/>
  <c r="L131" i="63" s="1"/>
  <c r="N387" i="49"/>
  <c r="K131" i="63" s="1" a="1"/>
  <c r="K131" i="63" s="1"/>
  <c r="L387" i="49"/>
  <c r="I131" i="63" s="1" a="1"/>
  <c r="I131" i="63" s="1"/>
  <c r="M444" i="49"/>
  <c r="M445" i="49" s="1"/>
  <c r="J136" i="63" s="1" a="1"/>
  <c r="J136" i="63" s="1"/>
  <c r="J150" i="63" s="1" a="1"/>
  <c r="J150" i="63" s="1"/>
  <c r="N416" i="49"/>
  <c r="N417" i="49" s="1"/>
  <c r="K134" i="63" s="1" a="1"/>
  <c r="K134" i="63" s="1"/>
  <c r="L346" i="49"/>
  <c r="N346" i="49"/>
  <c r="O346" i="49"/>
  <c r="M346" i="49"/>
  <c r="K346" i="49"/>
  <c r="I16" i="63" a="1"/>
  <c r="I16" i="63" s="1"/>
  <c r="I18" i="63" a="1"/>
  <c r="I18" i="63" s="1"/>
  <c r="K13" i="63" a="1"/>
  <c r="K13" i="63" s="1"/>
  <c r="K18" i="63" a="1"/>
  <c r="K18" i="63" s="1"/>
  <c r="L41" i="49"/>
  <c r="O29" i="49"/>
  <c r="K257" i="49"/>
  <c r="M258" i="49"/>
  <c r="M259" i="49" s="1"/>
  <c r="M271" i="49"/>
  <c r="M272" i="49" s="1"/>
  <c r="N258" i="49"/>
  <c r="N259" i="49" s="1"/>
  <c r="M27" i="49"/>
  <c r="M28" i="49" s="1"/>
  <c r="M29" i="49" s="1"/>
  <c r="K43" i="49"/>
  <c r="L272" i="49"/>
  <c r="L273" i="49" s="1"/>
  <c r="M41" i="49"/>
  <c r="M42" i="49" s="1"/>
  <c r="N29" i="49"/>
  <c r="O285" i="49"/>
  <c r="N273" i="49"/>
  <c r="K53" i="49"/>
  <c r="O53" i="49"/>
  <c r="O272" i="49"/>
  <c r="O273" i="49" s="1"/>
  <c r="O39" i="49"/>
  <c r="K272" i="49"/>
  <c r="K273" i="49" s="1"/>
  <c r="O258" i="49"/>
  <c r="O259" i="49" s="1"/>
  <c r="L255" i="49"/>
  <c r="L56" i="49"/>
  <c r="L57" i="49" s="1"/>
  <c r="K285" i="49"/>
  <c r="K286" i="49" s="1"/>
  <c r="K287" i="49" s="1"/>
  <c r="K242" i="49" s="1"/>
  <c r="N41" i="49"/>
  <c r="N42" i="49" s="1"/>
  <c r="L287" i="49"/>
  <c r="L242" i="49" s="1"/>
  <c r="L27" i="49"/>
  <c r="L28" i="49" s="1"/>
  <c r="L29" i="49" s="1"/>
  <c r="N285" i="49"/>
  <c r="N286" i="49" s="1"/>
  <c r="M55" i="49"/>
  <c r="M56" i="49" s="1"/>
  <c r="M57" i="49" s="1"/>
  <c r="E12" i="48"/>
  <c r="C5" i="51"/>
  <c r="E135" i="42"/>
  <c r="E136" i="42"/>
  <c r="E137" i="42"/>
  <c r="E138" i="42"/>
  <c r="E139" i="42"/>
  <c r="E140" i="42"/>
  <c r="E141" i="42"/>
  <c r="E142" i="42"/>
  <c r="E143" i="42"/>
  <c r="E144" i="42"/>
  <c r="E145" i="42"/>
  <c r="E146" i="42"/>
  <c r="E147" i="42"/>
  <c r="E148" i="42"/>
  <c r="E149" i="42"/>
  <c r="E150" i="42"/>
  <c r="E151" i="42"/>
  <c r="E134" i="42"/>
  <c r="D24" i="50"/>
  <c r="D7" i="50"/>
  <c r="C22" i="50"/>
  <c r="C5" i="50"/>
  <c r="C78" i="51"/>
  <c r="C383" i="44"/>
  <c r="C376" i="44"/>
  <c r="C368" i="44"/>
  <c r="C361" i="44"/>
  <c r="C354" i="44"/>
  <c r="C345" i="44"/>
  <c r="C338" i="44"/>
  <c r="C331" i="44"/>
  <c r="C323" i="44"/>
  <c r="C316" i="44"/>
  <c r="C309" i="44"/>
  <c r="S105" i="51" l="1" a="1"/>
  <c r="S105" i="51" s="1"/>
  <c r="J158" i="63"/>
  <c r="L366" i="49" a="1"/>
  <c r="L366" i="49" s="1"/>
  <c r="N368" i="49" a="1"/>
  <c r="N368" i="49" s="1"/>
  <c r="O366" i="49" a="1"/>
  <c r="O366" i="49" s="1"/>
  <c r="M366" i="49" a="1"/>
  <c r="M366" i="49" s="1"/>
  <c r="M368" i="49" a="1"/>
  <c r="M368" i="49" s="1"/>
  <c r="L368" i="49" a="1"/>
  <c r="L368" i="49" s="1"/>
  <c r="O368" i="49" a="1"/>
  <c r="O368" i="49" s="1"/>
  <c r="K366" i="49" a="1"/>
  <c r="K366" i="49" s="1"/>
  <c r="N366" i="49" a="1"/>
  <c r="N366" i="49" s="1"/>
  <c r="K368" i="49" a="1"/>
  <c r="K368" i="49" s="1"/>
  <c r="K258" i="49"/>
  <c r="K259" i="49" s="1"/>
  <c r="S140" i="51" a="1"/>
  <c r="S140" i="51" s="1"/>
  <c r="G8" i="50"/>
  <c r="H8" i="50" s="1"/>
  <c r="G7" i="50"/>
  <c r="H7" i="50" s="1"/>
  <c r="G25" i="50"/>
  <c r="H25" i="50" s="1"/>
  <c r="G24" i="50"/>
  <c r="H24" i="50" s="1"/>
  <c r="N240" i="49"/>
  <c r="K164" i="63" a="1"/>
  <c r="K164" i="63" s="1"/>
  <c r="O240" i="49"/>
  <c r="L164" i="63" a="1"/>
  <c r="L164" i="63" s="1"/>
  <c r="N241" i="49"/>
  <c r="K165" i="63" a="1"/>
  <c r="K165" i="63" s="1"/>
  <c r="K241" i="49"/>
  <c r="H165" i="63" a="1"/>
  <c r="H165" i="63" s="1"/>
  <c r="L241" i="49"/>
  <c r="I165" i="63" a="1"/>
  <c r="I165" i="63" s="1"/>
  <c r="O241" i="49"/>
  <c r="L165" i="63" a="1"/>
  <c r="L165" i="63" s="1"/>
  <c r="M240" i="49"/>
  <c r="J164" i="63" a="1"/>
  <c r="J164" i="63" s="1"/>
  <c r="I150" i="63" a="1"/>
  <c r="I150" i="63" s="1"/>
  <c r="K150" i="63" a="1"/>
  <c r="K150" i="63" s="1"/>
  <c r="K304" i="49"/>
  <c r="N361" i="49"/>
  <c r="N362" i="49" s="1"/>
  <c r="K130" i="63" s="1" a="1"/>
  <c r="K130" i="63" s="1"/>
  <c r="L401" i="49"/>
  <c r="L402" i="49" s="1"/>
  <c r="I132" i="63" s="1" a="1"/>
  <c r="I132" i="63" s="1"/>
  <c r="I147" i="63" s="1" a="1"/>
  <c r="I147" i="63" s="1"/>
  <c r="K401" i="49"/>
  <c r="M361" i="49"/>
  <c r="M362" i="49" s="1"/>
  <c r="J130" i="63" s="1" a="1"/>
  <c r="J130" i="63" s="1"/>
  <c r="O401" i="49"/>
  <c r="O402" i="49" s="1"/>
  <c r="L132" i="63" s="1" a="1"/>
  <c r="L132" i="63" s="1"/>
  <c r="L147" i="63" s="1" a="1"/>
  <c r="L147" i="63" s="1"/>
  <c r="O361" i="49"/>
  <c r="O362" i="49" s="1"/>
  <c r="L130" i="63" s="1" a="1"/>
  <c r="L130" i="63" s="1"/>
  <c r="K361" i="49"/>
  <c r="K362" i="49" s="1"/>
  <c r="H130" i="63" s="1" a="1"/>
  <c r="H130" i="63" s="1"/>
  <c r="L361" i="49"/>
  <c r="L362" i="49" s="1"/>
  <c r="I130" i="63" s="1" a="1"/>
  <c r="I130" i="63" s="1"/>
  <c r="N401" i="49"/>
  <c r="N402" i="49" s="1"/>
  <c r="K132" i="63" s="1" a="1"/>
  <c r="K132" i="63" s="1"/>
  <c r="K147" i="63" s="1" a="1"/>
  <c r="K147" i="63" s="1"/>
  <c r="O136" i="49" a="1"/>
  <c r="O136" i="49" s="1"/>
  <c r="O138" i="49" a="1"/>
  <c r="O138" i="49" s="1"/>
  <c r="K136" i="49" a="1"/>
  <c r="K136" i="49" s="1"/>
  <c r="L138" i="49" a="1"/>
  <c r="L138" i="49" s="1"/>
  <c r="K138" i="49" a="1"/>
  <c r="K138" i="49" s="1"/>
  <c r="L136" i="49" a="1"/>
  <c r="L136" i="49" s="1"/>
  <c r="N136" i="49" a="1"/>
  <c r="N136" i="49" s="1"/>
  <c r="M138" i="49" a="1"/>
  <c r="M138" i="49" s="1"/>
  <c r="M136" i="49" a="1"/>
  <c r="M136" i="49" s="1"/>
  <c r="N138" i="49" a="1"/>
  <c r="N138" i="49" s="1"/>
  <c r="L65" i="49"/>
  <c r="K71" i="49"/>
  <c r="K76" i="49" s="1"/>
  <c r="O71" i="49"/>
  <c r="M62" i="49"/>
  <c r="O171" i="49"/>
  <c r="O172" i="49" s="1"/>
  <c r="O67" i="49" s="1"/>
  <c r="M171" i="49"/>
  <c r="M172" i="49" s="1"/>
  <c r="M67" i="49" s="1"/>
  <c r="L62" i="49"/>
  <c r="M68" i="49"/>
  <c r="N68" i="49"/>
  <c r="O131" i="49"/>
  <c r="O132" i="49" s="1"/>
  <c r="O64" i="49" s="1"/>
  <c r="O62" i="49" s="1"/>
  <c r="N131" i="49"/>
  <c r="N132" i="49" s="1"/>
  <c r="N64" i="49" s="1"/>
  <c r="N62" i="49" s="1"/>
  <c r="H18" i="63" a="1"/>
  <c r="H18" i="63" s="1"/>
  <c r="O69" i="49"/>
  <c r="O68" i="49" s="1"/>
  <c r="L16" i="63" a="1"/>
  <c r="L16" i="63" s="1"/>
  <c r="K402" i="49"/>
  <c r="H132" i="63" s="1" a="1"/>
  <c r="H132" i="63" s="1"/>
  <c r="H147" i="63" s="1" a="1"/>
  <c r="H147" i="63" s="1"/>
  <c r="M401" i="49"/>
  <c r="M402" i="49" s="1"/>
  <c r="J132" i="63" s="1" a="1"/>
  <c r="J132" i="63" s="1"/>
  <c r="J11" i="63" a="1"/>
  <c r="J11" i="63" s="1"/>
  <c r="O66" i="49"/>
  <c r="L13" i="63" a="1"/>
  <c r="L13" i="63" s="1"/>
  <c r="K63" i="49"/>
  <c r="M66" i="49"/>
  <c r="J13" i="63" a="1"/>
  <c r="J13" i="63" s="1"/>
  <c r="K171" i="49"/>
  <c r="K172" i="49" s="1"/>
  <c r="K67" i="49" s="1"/>
  <c r="K132" i="49"/>
  <c r="K64" i="49" s="1"/>
  <c r="L18" i="63" a="1"/>
  <c r="L18" i="63" s="1"/>
  <c r="K11" i="63" a="1"/>
  <c r="K11" i="63" s="1"/>
  <c r="J18" i="63" a="1"/>
  <c r="J18" i="63" s="1"/>
  <c r="K16" i="63" a="1"/>
  <c r="K16" i="63" s="1"/>
  <c r="I13" i="63" a="1"/>
  <c r="I13" i="63" s="1"/>
  <c r="H16" i="63" a="1"/>
  <c r="H16" i="63" s="1"/>
  <c r="K444" i="49"/>
  <c r="K445" i="49" s="1"/>
  <c r="H136" i="63" s="1" a="1"/>
  <c r="H136" i="63" s="1"/>
  <c r="H150" i="63" s="1" a="1"/>
  <c r="H150" i="63" s="1"/>
  <c r="O444" i="49"/>
  <c r="O445" i="49" s="1"/>
  <c r="L136" i="63" s="1" a="1"/>
  <c r="L136" i="63" s="1"/>
  <c r="L150" i="63" s="1" a="1"/>
  <c r="L150" i="63" s="1"/>
  <c r="M386" i="49"/>
  <c r="M387" i="49" s="1"/>
  <c r="J131" i="63" s="1" a="1"/>
  <c r="J131" i="63" s="1"/>
  <c r="J147" i="63" s="1" a="1"/>
  <c r="J147" i="63" s="1"/>
  <c r="L347" i="49"/>
  <c r="I129" i="63" s="1" a="1"/>
  <c r="I129" i="63" s="1"/>
  <c r="M347" i="49"/>
  <c r="J129" i="63" s="1" a="1"/>
  <c r="J129" i="63" s="1"/>
  <c r="N347" i="49"/>
  <c r="K129" i="63" s="1" a="1"/>
  <c r="K129" i="63" s="1"/>
  <c r="O347" i="49"/>
  <c r="L129" i="63" s="1" a="1"/>
  <c r="L129" i="63" s="1"/>
  <c r="K347" i="49"/>
  <c r="H129" i="63" s="1"/>
  <c r="H146" i="63" s="1" a="1"/>
  <c r="H146" i="63" s="1"/>
  <c r="H154" i="63" s="1"/>
  <c r="L11" i="63" a="1"/>
  <c r="L11" i="63" s="1"/>
  <c r="I11" i="63" a="1"/>
  <c r="I11" i="63" s="1"/>
  <c r="O297" i="49"/>
  <c r="M303" i="49"/>
  <c r="L42" i="49"/>
  <c r="L43" i="49" s="1"/>
  <c r="P72" i="49"/>
  <c r="Q72" i="49" s="1"/>
  <c r="M273" i="49"/>
  <c r="N43" i="49"/>
  <c r="O41" i="49"/>
  <c r="O42" i="49" s="1"/>
  <c r="L257" i="49"/>
  <c r="L258" i="49" s="1"/>
  <c r="M43" i="49"/>
  <c r="O286" i="49"/>
  <c r="O287" i="49" s="1"/>
  <c r="O242" i="49" s="1"/>
  <c r="N287" i="49"/>
  <c r="N242" i="49" s="1"/>
  <c r="O55" i="49"/>
  <c r="O56" i="49" s="1"/>
  <c r="O57" i="49" s="1"/>
  <c r="K55" i="49"/>
  <c r="K56" i="49" s="1"/>
  <c r="K57" i="49" s="1"/>
  <c r="O300" i="49"/>
  <c r="T105" i="51" l="1" a="1"/>
  <c r="T105" i="51" s="1"/>
  <c r="K158" i="63"/>
  <c r="R105" i="51" a="1"/>
  <c r="R105" i="51" s="1"/>
  <c r="I158" i="63"/>
  <c r="U104" i="51" a="1"/>
  <c r="U104" i="51" s="1"/>
  <c r="L155" i="63"/>
  <c r="S104" i="51" a="1"/>
  <c r="S104" i="51" s="1"/>
  <c r="J155" i="63"/>
  <c r="U105" i="51" a="1"/>
  <c r="U105" i="51" s="1"/>
  <c r="L158" i="63"/>
  <c r="Q105" i="51" a="1"/>
  <c r="Q105" i="51" s="1"/>
  <c r="H158" i="63"/>
  <c r="Q104" i="51" a="1"/>
  <c r="Q104" i="51" s="1"/>
  <c r="H155" i="63"/>
  <c r="R104" i="51" a="1"/>
  <c r="R104" i="51" s="1"/>
  <c r="I155" i="63"/>
  <c r="T104" i="51" a="1"/>
  <c r="T104" i="51" s="1"/>
  <c r="K155" i="63"/>
  <c r="H10" i="50"/>
  <c r="P242" i="49"/>
  <c r="H164" i="63" a="1"/>
  <c r="H164" i="63" s="1"/>
  <c r="H177" i="63" s="1" a="1"/>
  <c r="H177" i="63" s="1"/>
  <c r="K240" i="49"/>
  <c r="Q140" i="51" a="1"/>
  <c r="Q140" i="51" s="1"/>
  <c r="T140" i="51" a="1"/>
  <c r="T140" i="51" s="1"/>
  <c r="U140" i="51" a="1"/>
  <c r="U140" i="51" s="1"/>
  <c r="R140" i="51" a="1"/>
  <c r="R140" i="51" s="1"/>
  <c r="H27" i="50"/>
  <c r="M241" i="49"/>
  <c r="P241" i="49" s="1"/>
  <c r="J165" i="63" a="1"/>
  <c r="J165" i="63" s="1"/>
  <c r="J177" i="63" a="1"/>
  <c r="J177" i="63" s="1"/>
  <c r="J176" i="63" a="1"/>
  <c r="J176" i="63" s="1"/>
  <c r="J170" i="63" a="1"/>
  <c r="J170" i="63" s="1"/>
  <c r="J180" i="63" a="1"/>
  <c r="J180" i="63" s="1"/>
  <c r="J179" i="63" a="1"/>
  <c r="J179" i="63" s="1"/>
  <c r="J178" i="63" a="1"/>
  <c r="J178" i="63" s="1"/>
  <c r="J171" i="63" a="1"/>
  <c r="J171" i="63" s="1"/>
  <c r="K191" i="63" a="1"/>
  <c r="K191" i="63" s="1"/>
  <c r="K227" i="63" s="1"/>
  <c r="K189" i="63" a="1"/>
  <c r="K189" i="63" s="1"/>
  <c r="K225" i="63" s="1"/>
  <c r="K181" i="63" a="1"/>
  <c r="K181" i="63" s="1"/>
  <c r="K217" i="63" s="1"/>
  <c r="K190" i="63" a="1"/>
  <c r="K190" i="63" s="1"/>
  <c r="K226" i="63" s="1"/>
  <c r="K187" i="63" a="1"/>
  <c r="K187" i="63" s="1"/>
  <c r="K223" i="63" s="1"/>
  <c r="K188" i="63" a="1"/>
  <c r="K188" i="63" s="1"/>
  <c r="K224" i="63" s="1"/>
  <c r="K182" i="63" a="1"/>
  <c r="K182" i="63" s="1"/>
  <c r="K218" i="63" s="1"/>
  <c r="L187" i="63" a="1"/>
  <c r="L187" i="63" s="1"/>
  <c r="L223" i="63" s="1"/>
  <c r="L190" i="63" a="1"/>
  <c r="L190" i="63" s="1"/>
  <c r="L226" i="63" s="1"/>
  <c r="L191" i="63" a="1"/>
  <c r="L191" i="63" s="1"/>
  <c r="L227" i="63" s="1"/>
  <c r="L189" i="63" a="1"/>
  <c r="L189" i="63" s="1"/>
  <c r="L225" i="63" s="1"/>
  <c r="L182" i="63" a="1"/>
  <c r="L182" i="63" s="1"/>
  <c r="L218" i="63" s="1"/>
  <c r="L181" i="63" a="1"/>
  <c r="L181" i="63" s="1"/>
  <c r="L217" i="63" s="1"/>
  <c r="L188" i="63" a="1"/>
  <c r="L188" i="63" s="1"/>
  <c r="L224" i="63" s="1"/>
  <c r="I191" i="63" a="1"/>
  <c r="I191" i="63" s="1"/>
  <c r="I227" i="63" s="1"/>
  <c r="I182" i="63" a="1"/>
  <c r="I182" i="63" s="1"/>
  <c r="I218" i="63" s="1"/>
  <c r="I181" i="63" a="1"/>
  <c r="I181" i="63" s="1"/>
  <c r="I217" i="63" s="1"/>
  <c r="I190" i="63" a="1"/>
  <c r="I190" i="63" s="1"/>
  <c r="I226" i="63" s="1"/>
  <c r="I188" i="63" a="1"/>
  <c r="I188" i="63" s="1"/>
  <c r="I224" i="63" s="1"/>
  <c r="I189" i="63" a="1"/>
  <c r="I189" i="63" s="1"/>
  <c r="I225" i="63" s="1"/>
  <c r="I187" i="63" a="1"/>
  <c r="I187" i="63" s="1"/>
  <c r="I223" i="63" s="1"/>
  <c r="L171" i="63" a="1"/>
  <c r="L171" i="63" s="1"/>
  <c r="L178" i="63" a="1"/>
  <c r="L178" i="63" s="1"/>
  <c r="L180" i="63" a="1"/>
  <c r="L180" i="63" s="1"/>
  <c r="L177" i="63" a="1"/>
  <c r="L177" i="63" s="1"/>
  <c r="L179" i="63" a="1"/>
  <c r="L179" i="63" s="1"/>
  <c r="L170" i="63" a="1"/>
  <c r="L170" i="63" s="1"/>
  <c r="L176" i="63" a="1"/>
  <c r="L176" i="63" s="1"/>
  <c r="H185" i="63" a="1"/>
  <c r="H185" i="63" s="1"/>
  <c r="H221" i="63" s="1"/>
  <c r="H189" i="63" a="1"/>
  <c r="H189" i="63" s="1"/>
  <c r="H225" i="63" s="1"/>
  <c r="H190" i="63" a="1"/>
  <c r="H190" i="63" s="1"/>
  <c r="H226" i="63" s="1"/>
  <c r="H191" i="63" a="1"/>
  <c r="H191" i="63" s="1"/>
  <c r="H227" i="63" s="1"/>
  <c r="H184" i="63" a="1"/>
  <c r="H184" i="63" s="1"/>
  <c r="H220" i="63" s="1"/>
  <c r="H183" i="63" a="1"/>
  <c r="H183" i="63" s="1"/>
  <c r="H219" i="63" s="1"/>
  <c r="H186" i="63" a="1"/>
  <c r="H186" i="63" s="1"/>
  <c r="H222" i="63" s="1"/>
  <c r="H187" i="63" a="1"/>
  <c r="H187" i="63" s="1"/>
  <c r="H223" i="63" s="1"/>
  <c r="H188" i="63" a="1"/>
  <c r="H188" i="63" s="1"/>
  <c r="H224" i="63" s="1"/>
  <c r="K170" i="63" a="1"/>
  <c r="K170" i="63" s="1"/>
  <c r="K179" i="63" a="1"/>
  <c r="K179" i="63" s="1"/>
  <c r="K178" i="63" a="1"/>
  <c r="K178" i="63" s="1"/>
  <c r="K176" i="63" a="1"/>
  <c r="K176" i="63" s="1"/>
  <c r="K171" i="63" a="1"/>
  <c r="K171" i="63" s="1"/>
  <c r="K177" i="63" a="1"/>
  <c r="K177" i="63" s="1"/>
  <c r="K180" i="63" a="1"/>
  <c r="K180" i="63" s="1"/>
  <c r="K146" i="63" a="1"/>
  <c r="K146" i="63" s="1"/>
  <c r="I146" i="63" a="1"/>
  <c r="I146" i="63" s="1"/>
  <c r="U139" i="51" a="1"/>
  <c r="U139" i="51" s="1"/>
  <c r="T139" i="51" a="1"/>
  <c r="T139" i="51" s="1"/>
  <c r="Q139" i="51" a="1"/>
  <c r="Q139" i="51" s="1"/>
  <c r="R139" i="51" a="1"/>
  <c r="R139" i="51" s="1"/>
  <c r="J146" i="63" a="1"/>
  <c r="J146" i="63" s="1"/>
  <c r="S139" i="51" a="1"/>
  <c r="S139" i="51" s="1"/>
  <c r="L146" i="63" a="1"/>
  <c r="L146" i="63" s="1"/>
  <c r="G104" i="51" a="1"/>
  <c r="G104" i="51" s="1"/>
  <c r="M297" i="49"/>
  <c r="O303" i="49"/>
  <c r="M294" i="49"/>
  <c r="M65" i="49"/>
  <c r="O65" i="49"/>
  <c r="K294" i="49"/>
  <c r="K62" i="49"/>
  <c r="N139" i="49"/>
  <c r="N141" i="49" s="1" a="1"/>
  <c r="N141" i="49" s="1"/>
  <c r="N142" i="49" s="1"/>
  <c r="L139" i="49"/>
  <c r="L141" i="49" s="1" a="1"/>
  <c r="L141" i="49" s="1"/>
  <c r="K139" i="49"/>
  <c r="K141" i="49" s="1" a="1"/>
  <c r="K141" i="49" s="1"/>
  <c r="O139" i="49"/>
  <c r="O141" i="49" s="1" a="1"/>
  <c r="O141" i="49" s="1"/>
  <c r="M139" i="49"/>
  <c r="M141" i="49" s="1" a="1"/>
  <c r="M141" i="49" s="1"/>
  <c r="K303" i="49"/>
  <c r="N369" i="49"/>
  <c r="N371" i="49" s="1" a="1"/>
  <c r="N371" i="49" s="1"/>
  <c r="O369" i="49"/>
  <c r="O371" i="49" s="1" a="1"/>
  <c r="O371" i="49" s="1"/>
  <c r="K369" i="49"/>
  <c r="K371" i="49" s="1" a="1"/>
  <c r="K371" i="49" s="1"/>
  <c r="L369" i="49"/>
  <c r="L371" i="49" s="1" a="1"/>
  <c r="L371" i="49" s="1"/>
  <c r="M369" i="49"/>
  <c r="M371" i="49" s="1" a="1"/>
  <c r="M371" i="49" s="1"/>
  <c r="N294" i="49"/>
  <c r="N300" i="49"/>
  <c r="N297" i="49"/>
  <c r="K297" i="49"/>
  <c r="M300" i="49"/>
  <c r="N303" i="49"/>
  <c r="L297" i="49"/>
  <c r="K300" i="49"/>
  <c r="O294" i="49"/>
  <c r="L294" i="49"/>
  <c r="L303" i="49"/>
  <c r="I12" i="63" a="1"/>
  <c r="I12" i="63" s="1"/>
  <c r="I28" i="63" s="1" a="1"/>
  <c r="I28" i="63" s="1"/>
  <c r="P69" i="49"/>
  <c r="Q69" i="49" s="1"/>
  <c r="O43" i="49"/>
  <c r="L259" i="49"/>
  <c r="N427" i="49"/>
  <c r="N429" i="49" s="1" a="1"/>
  <c r="N429" i="49" s="1"/>
  <c r="H17" i="63" a="1"/>
  <c r="H17" i="63" s="1"/>
  <c r="H31" i="63" s="1" a="1"/>
  <c r="H31" i="63" s="1"/>
  <c r="J12" i="63" a="1"/>
  <c r="J12" i="63" s="1"/>
  <c r="J28" i="63" s="1" a="1"/>
  <c r="J28" i="63" s="1"/>
  <c r="H12" i="63" a="1"/>
  <c r="H12" i="63" s="1"/>
  <c r="O427" i="49"/>
  <c r="O429" i="49" s="1" a="1"/>
  <c r="O429" i="49" s="1"/>
  <c r="J17" i="63" a="1"/>
  <c r="J17" i="63" s="1"/>
  <c r="J31" i="63" s="1" a="1"/>
  <c r="J31" i="63" s="1"/>
  <c r="K12" i="63" a="1"/>
  <c r="K12" i="63" s="1"/>
  <c r="K28" i="63" s="1" a="1"/>
  <c r="K28" i="63" s="1"/>
  <c r="L14" i="63" a="1"/>
  <c r="L14" i="63" s="1"/>
  <c r="L29" i="63" s="1" a="1"/>
  <c r="L29" i="63" s="1"/>
  <c r="I17" i="63" a="1"/>
  <c r="I17" i="63" s="1"/>
  <c r="I31" i="63" s="1" a="1"/>
  <c r="I31" i="63" s="1"/>
  <c r="H14" i="63" a="1"/>
  <c r="H14" i="63" s="1"/>
  <c r="L12" i="63" a="1"/>
  <c r="L12" i="63" s="1"/>
  <c r="L28" i="63" s="1" a="1"/>
  <c r="L28" i="63" s="1"/>
  <c r="L17" i="63" a="1"/>
  <c r="L17" i="63" s="1"/>
  <c r="L31" i="63" s="1" a="1"/>
  <c r="L31" i="63" s="1"/>
  <c r="I14" i="63" a="1"/>
  <c r="I14" i="63" s="1"/>
  <c r="I29" i="63" s="1" a="1"/>
  <c r="I29" i="63" s="1"/>
  <c r="K14" i="63" a="1"/>
  <c r="K14" i="63" s="1"/>
  <c r="K29" i="63" s="1" a="1"/>
  <c r="K29" i="63" s="1"/>
  <c r="K17" i="63" a="1"/>
  <c r="K17" i="63" s="1"/>
  <c r="K31" i="63" s="1" a="1"/>
  <c r="K31" i="63" s="1"/>
  <c r="J14" i="63" a="1"/>
  <c r="J14" i="63" s="1"/>
  <c r="J29" i="63" s="1" a="1"/>
  <c r="J29" i="63" s="1"/>
  <c r="K427" i="49"/>
  <c r="K429" i="49" s="1" a="1"/>
  <c r="K429" i="49" s="1"/>
  <c r="K19" i="63" a="1"/>
  <c r="K19" i="63" s="1"/>
  <c r="K32" i="63" s="1" a="1"/>
  <c r="K32" i="63" s="1"/>
  <c r="M427" i="49"/>
  <c r="M429" i="49" s="1" a="1"/>
  <c r="M429" i="49" s="1"/>
  <c r="L427" i="49"/>
  <c r="L429" i="49" s="1" a="1"/>
  <c r="L429" i="49" s="1"/>
  <c r="C3" i="51"/>
  <c r="B3" i="51"/>
  <c r="C2" i="51"/>
  <c r="B3" i="50"/>
  <c r="C2" i="50"/>
  <c r="J31" i="51" l="1" a="1"/>
  <c r="J31" i="51" s="1"/>
  <c r="J66" i="51" s="1" a="1"/>
  <c r="J66" i="51" s="1"/>
  <c r="K36" i="63"/>
  <c r="T31" i="51" a="1"/>
  <c r="T31" i="51" s="1"/>
  <c r="T66" i="51" s="1" a="1"/>
  <c r="T66" i="51" s="1"/>
  <c r="K37" i="63"/>
  <c r="I32" i="51" a="1"/>
  <c r="I32" i="51" s="1"/>
  <c r="I67" i="51" s="1" a="1"/>
  <c r="I67" i="51" s="1"/>
  <c r="J39" i="63"/>
  <c r="K104" i="51" a="1"/>
  <c r="K104" i="51" s="1"/>
  <c r="L154" i="63"/>
  <c r="J32" i="51" a="1"/>
  <c r="J32" i="51" s="1"/>
  <c r="K39" i="63"/>
  <c r="H31" i="51" a="1"/>
  <c r="H31" i="51" s="1"/>
  <c r="H66" i="51" s="1" a="1"/>
  <c r="H66" i="51" s="1"/>
  <c r="I36" i="63"/>
  <c r="R31" i="51" a="1"/>
  <c r="R31" i="51" s="1"/>
  <c r="R66" i="51" s="1" a="1"/>
  <c r="R66" i="51" s="1"/>
  <c r="I37" i="63"/>
  <c r="K32" i="51" a="1"/>
  <c r="K32" i="51" s="1"/>
  <c r="K67" i="51" s="1" a="1"/>
  <c r="K67" i="51" s="1"/>
  <c r="L39" i="63"/>
  <c r="K31" i="51" a="1"/>
  <c r="K31" i="51" s="1"/>
  <c r="K66" i="51" s="1" a="1"/>
  <c r="K66" i="51" s="1"/>
  <c r="L36" i="63"/>
  <c r="I31" i="51" a="1"/>
  <c r="I31" i="51" s="1"/>
  <c r="I66" i="51" s="1" a="1"/>
  <c r="I66" i="51" s="1"/>
  <c r="J36" i="63"/>
  <c r="I104" i="51" a="1"/>
  <c r="I104" i="51" s="1"/>
  <c r="J154" i="63"/>
  <c r="T32" i="51" a="1"/>
  <c r="T32" i="51" s="1"/>
  <c r="T67" i="51" s="1" a="1"/>
  <c r="T67" i="51" s="1"/>
  <c r="K40" i="63"/>
  <c r="G32" i="51" a="1"/>
  <c r="G32" i="51" s="1"/>
  <c r="G67" i="51" s="1" a="1"/>
  <c r="G67" i="51" s="1"/>
  <c r="H39" i="63"/>
  <c r="H104" i="51" a="1"/>
  <c r="H104" i="51" s="1"/>
  <c r="I154" i="63"/>
  <c r="H32" i="51" a="1"/>
  <c r="H32" i="51" s="1"/>
  <c r="H67" i="51" s="1" a="1"/>
  <c r="H67" i="51" s="1"/>
  <c r="I39" i="63"/>
  <c r="J104" i="51" a="1"/>
  <c r="J104" i="51" s="1"/>
  <c r="K154" i="63"/>
  <c r="S31" i="51" a="1"/>
  <c r="S31" i="51" s="1"/>
  <c r="S66" i="51" s="1" a="1"/>
  <c r="S66" i="51" s="1"/>
  <c r="J37" i="63"/>
  <c r="U31" i="51" a="1"/>
  <c r="U31" i="51" s="1"/>
  <c r="U66" i="51" s="1" a="1"/>
  <c r="U66" i="51" s="1"/>
  <c r="L37" i="63"/>
  <c r="H176" i="63" a="1"/>
  <c r="H176" i="63" s="1"/>
  <c r="H174" i="63" a="1"/>
  <c r="H174" i="63" s="1"/>
  <c r="H210" i="63" s="1"/>
  <c r="H180" i="63" a="1"/>
  <c r="H180" i="63" s="1"/>
  <c r="H216" i="63" s="1"/>
  <c r="H179" i="63" a="1"/>
  <c r="H179" i="63" s="1"/>
  <c r="G111" i="51" s="1" a="1"/>
  <c r="G111" i="51" s="1"/>
  <c r="G146" i="51" s="1" a="1"/>
  <c r="G146" i="51" s="1"/>
  <c r="H175" i="63" a="1"/>
  <c r="H175" i="63" s="1"/>
  <c r="H211" i="63" s="1"/>
  <c r="H178" i="63" a="1"/>
  <c r="H178" i="63" s="1"/>
  <c r="H214" i="63" s="1"/>
  <c r="H172" i="63"/>
  <c r="H208" i="63" s="1"/>
  <c r="H173" i="63" a="1"/>
  <c r="H173" i="63" s="1"/>
  <c r="Q107" i="51" s="1" a="1"/>
  <c r="Q107" i="51" s="1"/>
  <c r="J67" i="51" a="1"/>
  <c r="J67" i="51" s="1"/>
  <c r="H139" i="51" a="1"/>
  <c r="H139" i="51" s="1"/>
  <c r="J139" i="51" a="1"/>
  <c r="J139" i="51" s="1"/>
  <c r="J214" i="63"/>
  <c r="L240" i="49"/>
  <c r="P240" i="49" s="1"/>
  <c r="I164" i="63"/>
  <c r="T111" i="51" a="1"/>
  <c r="T111" i="51" s="1"/>
  <c r="T146" i="51" s="1" a="1"/>
  <c r="T146" i="51" s="1"/>
  <c r="K216" i="63"/>
  <c r="K112" i="51" a="1"/>
  <c r="K112" i="51" s="1"/>
  <c r="L212" i="63"/>
  <c r="H215" i="63"/>
  <c r="J215" i="63"/>
  <c r="K213" i="63"/>
  <c r="J110" i="51" a="1"/>
  <c r="J110" i="51" s="1"/>
  <c r="J145" i="51" s="1" a="1"/>
  <c r="J145" i="51" s="1"/>
  <c r="L206" i="63"/>
  <c r="K109" i="51" a="1"/>
  <c r="K109" i="51" s="1"/>
  <c r="G112" i="51" a="1"/>
  <c r="G112" i="51" s="1"/>
  <c r="H212" i="63"/>
  <c r="J216" i="63"/>
  <c r="T109" i="51" a="1"/>
  <c r="T109" i="51" s="1"/>
  <c r="K207" i="63"/>
  <c r="L215" i="63"/>
  <c r="K111" i="51" a="1"/>
  <c r="K111" i="51" s="1"/>
  <c r="K146" i="51" s="1" a="1"/>
  <c r="K146" i="51" s="1"/>
  <c r="Q108" i="51" a="1"/>
  <c r="Q108" i="51" s="1"/>
  <c r="J206" i="63"/>
  <c r="K212" i="63"/>
  <c r="J112" i="51" a="1"/>
  <c r="J112" i="51" s="1"/>
  <c r="K110" i="51" a="1"/>
  <c r="K110" i="51" s="1"/>
  <c r="K145" i="51" s="1" a="1"/>
  <c r="K145" i="51" s="1"/>
  <c r="L213" i="63"/>
  <c r="J212" i="63"/>
  <c r="T110" i="51" a="1"/>
  <c r="T110" i="51" s="1"/>
  <c r="T145" i="51" s="1" a="1"/>
  <c r="T145" i="51" s="1"/>
  <c r="K214" i="63"/>
  <c r="L216" i="63"/>
  <c r="U111" i="51" a="1"/>
  <c r="U111" i="51" s="1"/>
  <c r="U146" i="51" s="1" a="1"/>
  <c r="U146" i="51" s="1"/>
  <c r="G107" i="51" a="1"/>
  <c r="G107" i="51" s="1"/>
  <c r="J213" i="63"/>
  <c r="K215" i="63"/>
  <c r="J111" i="51" a="1"/>
  <c r="J111" i="51" s="1"/>
  <c r="J146" i="51" s="1" a="1"/>
  <c r="J146" i="51" s="1"/>
  <c r="U110" i="51" a="1"/>
  <c r="U110" i="51" s="1"/>
  <c r="U145" i="51" s="1" a="1"/>
  <c r="U145" i="51" s="1"/>
  <c r="L214" i="63"/>
  <c r="J191" i="63" a="1"/>
  <c r="J191" i="63" s="1"/>
  <c r="J227" i="63" s="1"/>
  <c r="J181" i="63" a="1"/>
  <c r="J181" i="63" s="1"/>
  <c r="J217" i="63" s="1"/>
  <c r="J188" i="63" a="1"/>
  <c r="J188" i="63" s="1"/>
  <c r="J224" i="63" s="1"/>
  <c r="J182" i="63" a="1"/>
  <c r="J182" i="63" s="1"/>
  <c r="J218" i="63" s="1"/>
  <c r="J187" i="63" a="1"/>
  <c r="J187" i="63" s="1"/>
  <c r="J223" i="63" s="1"/>
  <c r="J190" i="63" a="1"/>
  <c r="J190" i="63" s="1"/>
  <c r="J226" i="63" s="1"/>
  <c r="J189" i="63" a="1"/>
  <c r="J189" i="63" s="1"/>
  <c r="J225" i="63" s="1"/>
  <c r="J109" i="51" a="1"/>
  <c r="J109" i="51" s="1"/>
  <c r="K206" i="63"/>
  <c r="L207" i="63"/>
  <c r="U109" i="51" a="1"/>
  <c r="U109" i="51" s="1"/>
  <c r="G110" i="51" a="1"/>
  <c r="G110" i="51" s="1"/>
  <c r="G145" i="51" s="1" a="1"/>
  <c r="G145" i="51" s="1"/>
  <c r="H213" i="63"/>
  <c r="J207" i="63"/>
  <c r="G139" i="51" a="1"/>
  <c r="G139" i="51" s="1"/>
  <c r="K139" i="51" a="1"/>
  <c r="K139" i="51" s="1"/>
  <c r="I139" i="51" a="1"/>
  <c r="I139" i="51" s="1"/>
  <c r="M372" i="49"/>
  <c r="M373" i="49" s="1"/>
  <c r="J133" i="63" s="1" a="1"/>
  <c r="J133" i="63" s="1"/>
  <c r="J148" i="63" s="1" a="1"/>
  <c r="J148" i="63" s="1"/>
  <c r="K372" i="49"/>
  <c r="K373" i="49" s="1"/>
  <c r="H133" i="63" s="1" a="1"/>
  <c r="H133" i="63" s="1"/>
  <c r="H148" i="63" s="1" a="1"/>
  <c r="H148" i="63" s="1"/>
  <c r="O372" i="49"/>
  <c r="O373" i="49" s="1"/>
  <c r="L133" i="63" s="1"/>
  <c r="L148" i="63" s="1" a="1"/>
  <c r="L148" i="63" s="1"/>
  <c r="N372" i="49"/>
  <c r="N373" i="49" s="1"/>
  <c r="K133" i="63" s="1" a="1"/>
  <c r="K133" i="63" s="1"/>
  <c r="K148" i="63" s="1" a="1"/>
  <c r="K148" i="63" s="1"/>
  <c r="H28" i="63" a="1"/>
  <c r="H28" i="63" s="1"/>
  <c r="M142" i="49"/>
  <c r="M143" i="49" s="1"/>
  <c r="J15" i="63" s="1" a="1"/>
  <c r="J15" i="63" s="1"/>
  <c r="J30" i="63" s="1" a="1"/>
  <c r="J30" i="63" s="1"/>
  <c r="K142" i="49"/>
  <c r="K143" i="49" s="1"/>
  <c r="H15" i="63" s="1" a="1"/>
  <c r="H15" i="63" s="1"/>
  <c r="H30" i="63" s="1" a="1"/>
  <c r="H30" i="63" s="1"/>
  <c r="O142" i="49"/>
  <c r="O143" i="49" s="1"/>
  <c r="L15" i="63" s="1" a="1"/>
  <c r="L15" i="63" s="1"/>
  <c r="L30" i="63" s="1" a="1"/>
  <c r="L30" i="63" s="1"/>
  <c r="L142" i="49"/>
  <c r="L143" i="49" s="1"/>
  <c r="I15" i="63" s="1" a="1"/>
  <c r="I15" i="63" s="1"/>
  <c r="I30" i="63" s="1" a="1"/>
  <c r="I30" i="63" s="1"/>
  <c r="N143" i="49"/>
  <c r="K15" i="63" s="1" a="1"/>
  <c r="K15" i="63" s="1"/>
  <c r="K30" i="63" s="1" a="1"/>
  <c r="K30" i="63" s="1"/>
  <c r="L372" i="49"/>
  <c r="L373" i="49" s="1"/>
  <c r="I133" i="63" s="1" a="1"/>
  <c r="I133" i="63" s="1"/>
  <c r="I148" i="63" s="1" a="1"/>
  <c r="I148" i="63" s="1"/>
  <c r="H19" i="63" a="1"/>
  <c r="H19" i="63" s="1"/>
  <c r="H32" i="63" s="1" a="1"/>
  <c r="H32" i="63" s="1"/>
  <c r="L19" i="63" a="1"/>
  <c r="L19" i="63" s="1"/>
  <c r="L32" i="63" s="1" a="1"/>
  <c r="L32" i="63" s="1"/>
  <c r="I19" i="63" a="1"/>
  <c r="I19" i="63" s="1"/>
  <c r="I32" i="63" s="1" a="1"/>
  <c r="I32" i="63" s="1"/>
  <c r="O430" i="49"/>
  <c r="N430" i="49"/>
  <c r="M430" i="49"/>
  <c r="L430" i="49"/>
  <c r="K430" i="49"/>
  <c r="P297" i="49"/>
  <c r="Q297" i="49" s="1"/>
  <c r="L300" i="49"/>
  <c r="P300" i="49" s="1"/>
  <c r="Q300" i="49" s="1"/>
  <c r="P294" i="49"/>
  <c r="Q294" i="49" s="1"/>
  <c r="B5" i="51"/>
  <c r="B78" i="51" s="1"/>
  <c r="P303" i="49"/>
  <c r="Q303" i="49" s="1"/>
  <c r="N76" i="49"/>
  <c r="B5" i="50"/>
  <c r="B22" i="50" s="1"/>
  <c r="C94" i="44"/>
  <c r="C87" i="44"/>
  <c r="C139" i="44"/>
  <c r="C132" i="44"/>
  <c r="C124" i="44"/>
  <c r="C117" i="44"/>
  <c r="C110" i="44"/>
  <c r="C101" i="44"/>
  <c r="C72" i="44"/>
  <c r="K106" i="51" l="1" a="1"/>
  <c r="K106" i="51" s="1"/>
  <c r="K141" i="51" s="1" a="1"/>
  <c r="K141" i="51" s="1"/>
  <c r="L156" i="63"/>
  <c r="H33" i="51" a="1"/>
  <c r="H33" i="51" s="1"/>
  <c r="H68" i="51" s="1" a="1"/>
  <c r="H68" i="51" s="1"/>
  <c r="I38" i="63"/>
  <c r="G106" i="51" a="1"/>
  <c r="G106" i="51" s="1"/>
  <c r="G141" i="51" s="1" a="1"/>
  <c r="G141" i="51" s="1"/>
  <c r="H156" i="63"/>
  <c r="K33" i="51" a="1"/>
  <c r="K33" i="51" s="1"/>
  <c r="K68" i="51" s="1" a="1"/>
  <c r="K68" i="51" s="1"/>
  <c r="L38" i="63"/>
  <c r="I106" i="51" a="1"/>
  <c r="I106" i="51" s="1"/>
  <c r="I141" i="51" s="1" a="1"/>
  <c r="I141" i="51" s="1"/>
  <c r="J156" i="63"/>
  <c r="G33" i="51" a="1"/>
  <c r="G33" i="51" s="1"/>
  <c r="G68" i="51" s="1" a="1"/>
  <c r="G68" i="51" s="1"/>
  <c r="H38" i="63"/>
  <c r="I33" i="51" a="1"/>
  <c r="I33" i="51" s="1"/>
  <c r="I68" i="51" s="1" a="1"/>
  <c r="I68" i="51" s="1"/>
  <c r="J38" i="63"/>
  <c r="U32" i="51" a="1"/>
  <c r="U32" i="51" s="1"/>
  <c r="U67" i="51" s="1" a="1"/>
  <c r="U67" i="51" s="1"/>
  <c r="L40" i="63"/>
  <c r="J33" i="51" a="1"/>
  <c r="J33" i="51" s="1"/>
  <c r="J68" i="51" s="1" a="1"/>
  <c r="J68" i="51" s="1"/>
  <c r="K38" i="63"/>
  <c r="Q32" i="51" a="1"/>
  <c r="Q32" i="51" s="1"/>
  <c r="Q67" i="51" s="1" a="1"/>
  <c r="Q67" i="51" s="1"/>
  <c r="H40" i="63"/>
  <c r="G31" i="51" a="1"/>
  <c r="G31" i="51" s="1"/>
  <c r="G66" i="51" s="1" a="1"/>
  <c r="G66" i="51" s="1"/>
  <c r="H36" i="63"/>
  <c r="R32" i="51" a="1"/>
  <c r="R32" i="51" s="1"/>
  <c r="R67" i="51" s="1" a="1"/>
  <c r="R67" i="51" s="1"/>
  <c r="I40" i="63"/>
  <c r="H106" i="51" a="1"/>
  <c r="H106" i="51" s="1"/>
  <c r="H141" i="51" s="1" a="1"/>
  <c r="H141" i="51" s="1"/>
  <c r="I156" i="63"/>
  <c r="J106" i="51" a="1"/>
  <c r="J106" i="51" s="1"/>
  <c r="J141" i="51" s="1" a="1"/>
  <c r="J141" i="51" s="1"/>
  <c r="K156" i="63"/>
  <c r="H209" i="63"/>
  <c r="Q111" i="51" a="1"/>
  <c r="Q111" i="51" s="1"/>
  <c r="Q146" i="51" s="1" a="1"/>
  <c r="Q146" i="51" s="1"/>
  <c r="Q110" i="51" a="1"/>
  <c r="Q110" i="51" s="1"/>
  <c r="Q145" i="51" s="1" a="1"/>
  <c r="Q145" i="51" s="1"/>
  <c r="G108" i="51" a="1"/>
  <c r="G108" i="51" s="1"/>
  <c r="J147" i="51" a="1"/>
  <c r="J147" i="51" s="1"/>
  <c r="G147" i="51" a="1"/>
  <c r="G147" i="51" s="1"/>
  <c r="K147" i="51" a="1"/>
  <c r="K147" i="51" s="1"/>
  <c r="I112" i="51" a="1"/>
  <c r="I112" i="51" s="1"/>
  <c r="I170" i="63" a="1"/>
  <c r="I170" i="63" s="1"/>
  <c r="I177" i="63" a="1"/>
  <c r="I177" i="63" s="1"/>
  <c r="I180" i="63" a="1"/>
  <c r="I180" i="63" s="1"/>
  <c r="I178" i="63" a="1"/>
  <c r="I178" i="63" s="1"/>
  <c r="I171" i="63"/>
  <c r="I179" i="63" a="1"/>
  <c r="I179" i="63" s="1"/>
  <c r="I176" i="63" a="1"/>
  <c r="I176" i="63" s="1"/>
  <c r="I110" i="51" a="1"/>
  <c r="I110" i="51" s="1"/>
  <c r="I145" i="51" s="1" a="1"/>
  <c r="I145" i="51" s="1"/>
  <c r="I109" i="51" a="1"/>
  <c r="I109" i="51" s="1"/>
  <c r="S111" i="51" a="1"/>
  <c r="S111" i="51" s="1"/>
  <c r="S146" i="51" s="1" a="1"/>
  <c r="S146" i="51" s="1"/>
  <c r="I111" i="51" a="1"/>
  <c r="I111" i="51" s="1"/>
  <c r="I146" i="51" s="1" a="1"/>
  <c r="I146" i="51" s="1"/>
  <c r="J144" i="51" a="1"/>
  <c r="J144" i="51" s="1"/>
  <c r="Q143" i="51" a="1"/>
  <c r="Q143" i="51" s="1"/>
  <c r="Q142" i="51" a="1"/>
  <c r="Q142" i="51" s="1"/>
  <c r="G142" i="51" a="1"/>
  <c r="G142" i="51" s="1"/>
  <c r="S110" i="51" a="1"/>
  <c r="S110" i="51" s="1"/>
  <c r="S145" i="51" s="1" a="1"/>
  <c r="S145" i="51" s="1"/>
  <c r="S109" i="51" a="1"/>
  <c r="S109" i="51" s="1"/>
  <c r="K144" i="51" a="1"/>
  <c r="K144" i="51" s="1"/>
  <c r="G143" i="51" a="1"/>
  <c r="G143" i="51" s="1"/>
  <c r="U144" i="51" a="1"/>
  <c r="U144" i="51" s="1"/>
  <c r="T144" i="51" a="1"/>
  <c r="T144" i="51" s="1"/>
  <c r="O76" i="49"/>
  <c r="L76" i="49"/>
  <c r="O75" i="49"/>
  <c r="J19" i="63" a="1"/>
  <c r="J19" i="63" s="1"/>
  <c r="J32" i="63" s="1" a="1"/>
  <c r="J32" i="63" s="1"/>
  <c r="M76" i="49"/>
  <c r="M75" i="49"/>
  <c r="L431" i="49"/>
  <c r="I135" i="63" s="1" a="1"/>
  <c r="I135" i="63" s="1"/>
  <c r="I149" i="63" s="1" a="1"/>
  <c r="I149" i="63" s="1"/>
  <c r="N431" i="49"/>
  <c r="K135" i="63" s="1" a="1"/>
  <c r="K135" i="63" s="1"/>
  <c r="K149" i="63" s="1" a="1"/>
  <c r="K149" i="63" s="1"/>
  <c r="K431" i="49"/>
  <c r="H135" i="63" s="1" a="1"/>
  <c r="H135" i="63" s="1"/>
  <c r="H149" i="63" s="1" a="1"/>
  <c r="H149" i="63" s="1"/>
  <c r="M431" i="49"/>
  <c r="J135" i="63" s="1" a="1"/>
  <c r="J135" i="63" s="1"/>
  <c r="J149" i="63" s="1" a="1"/>
  <c r="J149" i="63" s="1"/>
  <c r="O431" i="49"/>
  <c r="L135" i="63" s="1" a="1"/>
  <c r="L135" i="63" s="1"/>
  <c r="L149" i="63" s="1" a="1"/>
  <c r="L149" i="63" s="1"/>
  <c r="K295" i="49"/>
  <c r="K293" i="49" s="1"/>
  <c r="O295" i="49"/>
  <c r="O293" i="49" s="1"/>
  <c r="M295" i="49"/>
  <c r="M293" i="49" s="1"/>
  <c r="L75" i="49"/>
  <c r="N75" i="49"/>
  <c r="B40" i="50"/>
  <c r="G181" i="44" a="1"/>
  <c r="G181" i="44" s="1"/>
  <c r="G232" i="44" a="1"/>
  <c r="G232" i="44" s="1"/>
  <c r="J182" i="44" a="1"/>
  <c r="J182" i="44" s="1"/>
  <c r="K212" i="44" a="1"/>
  <c r="K212" i="44" s="1"/>
  <c r="K159" i="44" a="1"/>
  <c r="K159" i="44" s="1"/>
  <c r="J177" i="44" a="1"/>
  <c r="J177" i="44" s="1"/>
  <c r="J17" i="44"/>
  <c r="J23" i="44" s="1" a="1"/>
  <c r="J23" i="44" s="1"/>
  <c r="K164" i="44" a="1"/>
  <c r="K164" i="44" s="1"/>
  <c r="H219" i="44" a="1"/>
  <c r="H219" i="44" s="1"/>
  <c r="K227" i="44" a="1"/>
  <c r="K227" i="44" s="1"/>
  <c r="I177" i="44" a="1"/>
  <c r="I177" i="44" s="1"/>
  <c r="I164" i="44" a="1"/>
  <c r="I164" i="44" s="1"/>
  <c r="G238" i="44" a="1"/>
  <c r="G238" i="44" s="1"/>
  <c r="H227" i="44" a="1"/>
  <c r="H227" i="44" s="1"/>
  <c r="J181" i="44" a="1"/>
  <c r="J181" i="44" s="1"/>
  <c r="J158" i="44" a="1"/>
  <c r="J158" i="44" s="1"/>
  <c r="H181" i="44" a="1"/>
  <c r="H181" i="44" s="1"/>
  <c r="G159" i="44" a="1"/>
  <c r="G159" i="44" s="1"/>
  <c r="H226" i="44" a="1"/>
  <c r="H226" i="44" s="1"/>
  <c r="K238" i="44" a="1"/>
  <c r="K238" i="44" s="1"/>
  <c r="H182" i="44" a="1"/>
  <c r="H182" i="44" s="1"/>
  <c r="I238" i="44" a="1"/>
  <c r="I238" i="44" s="1"/>
  <c r="H159" i="44" a="1"/>
  <c r="H159" i="44" s="1"/>
  <c r="G177" i="44" a="1"/>
  <c r="G177" i="44" s="1"/>
  <c r="H158" i="44" a="1"/>
  <c r="H158" i="44" s="1"/>
  <c r="J232" i="44" a="1"/>
  <c r="J232" i="44" s="1"/>
  <c r="I17" i="44"/>
  <c r="I23" i="44" s="1" a="1"/>
  <c r="I23" i="44" s="1"/>
  <c r="J212" i="44" a="1"/>
  <c r="J212" i="44" s="1"/>
  <c r="H177" i="44" a="1"/>
  <c r="H177" i="44" s="1"/>
  <c r="H164" i="44" a="1"/>
  <c r="H164" i="44" s="1"/>
  <c r="J34" i="44"/>
  <c r="J40" i="44" s="1" a="1"/>
  <c r="J40" i="44" s="1"/>
  <c r="K213" i="44" a="1"/>
  <c r="K213" i="44" s="1"/>
  <c r="I181" i="44" a="1"/>
  <c r="I181" i="44" s="1"/>
  <c r="H34" i="44"/>
  <c r="H40" i="44" s="1" a="1"/>
  <c r="H40" i="44" s="1"/>
  <c r="I213" i="44" a="1"/>
  <c r="I213" i="44" s="1"/>
  <c r="K182" i="44" a="1"/>
  <c r="K182" i="44" s="1"/>
  <c r="I218" i="44" a="1"/>
  <c r="I218" i="44" s="1"/>
  <c r="G182" i="44" a="1"/>
  <c r="G182" i="44" s="1"/>
  <c r="G227" i="44" a="1"/>
  <c r="G227" i="44" s="1"/>
  <c r="K218" i="44" a="1"/>
  <c r="K218" i="44" s="1"/>
  <c r="G213" i="44" a="1"/>
  <c r="G213" i="44" s="1"/>
  <c r="K181" i="44" a="1"/>
  <c r="K181" i="44" s="1"/>
  <c r="H238" i="44" a="1"/>
  <c r="H238" i="44" s="1"/>
  <c r="G219" i="44" a="1"/>
  <c r="G219" i="44" s="1"/>
  <c r="G34" i="44"/>
  <c r="G40" i="44" s="1" a="1"/>
  <c r="G40" i="44" s="1"/>
  <c r="J219" i="44" a="1"/>
  <c r="J219" i="44" s="1"/>
  <c r="K177" i="44" a="1"/>
  <c r="K177" i="44" s="1"/>
  <c r="J238" i="44" a="1"/>
  <c r="J238" i="44" s="1"/>
  <c r="J226" i="44" a="1"/>
  <c r="J226" i="44" s="1"/>
  <c r="J227" i="44" a="1"/>
  <c r="J227" i="44" s="1"/>
  <c r="G458" i="44"/>
  <c r="H17" i="44"/>
  <c r="H23" i="44" s="1" a="1"/>
  <c r="H23" i="44" s="1"/>
  <c r="I212" i="44" a="1"/>
  <c r="I212" i="44" s="1"/>
  <c r="H218" i="44" a="1"/>
  <c r="H218" i="44" s="1"/>
  <c r="I34" i="44"/>
  <c r="I40" i="44" s="1" a="1"/>
  <c r="I40" i="44" s="1"/>
  <c r="J213" i="44" a="1"/>
  <c r="J213" i="44" s="1"/>
  <c r="G226" i="44" a="1"/>
  <c r="G226" i="44" s="1"/>
  <c r="I159" i="44" a="1"/>
  <c r="I159" i="44" s="1"/>
  <c r="J159" i="44" a="1"/>
  <c r="J159" i="44" s="1"/>
  <c r="J218" i="44" a="1"/>
  <c r="J218" i="44" s="1"/>
  <c r="I232" i="44" a="1"/>
  <c r="I232" i="44" s="1"/>
  <c r="K34" i="44"/>
  <c r="K40" i="44" s="1" a="1"/>
  <c r="K40" i="44" s="1"/>
  <c r="G212" i="44" a="1"/>
  <c r="G212" i="44" s="1"/>
  <c r="K226" i="44" a="1"/>
  <c r="K226" i="44" s="1"/>
  <c r="K219" i="44" a="1"/>
  <c r="K219" i="44" s="1"/>
  <c r="G158" i="44" a="1"/>
  <c r="G158" i="44" s="1"/>
  <c r="I226" i="44" a="1"/>
  <c r="I226" i="44" s="1"/>
  <c r="K17" i="44"/>
  <c r="K23" i="44" s="1" a="1"/>
  <c r="K23" i="44" s="1"/>
  <c r="H213" i="44" a="1"/>
  <c r="H213" i="44" s="1"/>
  <c r="G164" i="44" a="1"/>
  <c r="G164" i="44" s="1"/>
  <c r="J164" i="44" a="1"/>
  <c r="J164" i="44" s="1"/>
  <c r="H232" i="44" a="1"/>
  <c r="H232" i="44" s="1"/>
  <c r="I227" i="44" a="1"/>
  <c r="I227" i="44" s="1"/>
  <c r="H212" i="44" a="1"/>
  <c r="H212" i="44" s="1"/>
  <c r="K158" i="44" a="1"/>
  <c r="K158" i="44" s="1"/>
  <c r="G218" i="44" a="1"/>
  <c r="G218" i="44" s="1"/>
  <c r="I158" i="44" a="1"/>
  <c r="I158" i="44" s="1"/>
  <c r="K232" i="44" a="1"/>
  <c r="K232" i="44" s="1"/>
  <c r="I219" i="44" a="1"/>
  <c r="I219" i="44" s="1"/>
  <c r="I182" i="44" a="1"/>
  <c r="I182" i="44" s="1"/>
  <c r="E10" i="48"/>
  <c r="E11" i="48"/>
  <c r="H148" i="44" s="1"/>
  <c r="G105" i="51" l="1" a="1"/>
  <c r="G105" i="51" s="1"/>
  <c r="H157" i="63"/>
  <c r="J105" i="51" a="1"/>
  <c r="J105" i="51" s="1"/>
  <c r="K157" i="63"/>
  <c r="H105" i="51" a="1"/>
  <c r="H105" i="51" s="1"/>
  <c r="I157" i="63"/>
  <c r="S32" i="51" a="1"/>
  <c r="S32" i="51" s="1"/>
  <c r="S67" i="51" s="1" a="1"/>
  <c r="S67" i="51" s="1"/>
  <c r="J40" i="63"/>
  <c r="K105" i="51" a="1"/>
  <c r="K105" i="51" s="1"/>
  <c r="K140" i="51" s="1" a="1"/>
  <c r="K140" i="51" s="1"/>
  <c r="L157" i="63"/>
  <c r="E3" i="63" s="1"/>
  <c r="I105" i="51" a="1"/>
  <c r="I105" i="51" s="1"/>
  <c r="J157" i="63"/>
  <c r="I147" i="51" a="1"/>
  <c r="I147" i="51" s="1"/>
  <c r="I140" i="51" a="1"/>
  <c r="I140" i="51" s="1"/>
  <c r="G140" i="51" a="1"/>
  <c r="G140" i="51" s="1"/>
  <c r="J140" i="51" a="1"/>
  <c r="J140" i="51" s="1"/>
  <c r="H140" i="51" a="1"/>
  <c r="H140" i="51" s="1"/>
  <c r="H112" i="51" a="1"/>
  <c r="H112" i="51" s="1"/>
  <c r="I212" i="63"/>
  <c r="H111" i="51" a="1"/>
  <c r="H111" i="51" s="1"/>
  <c r="H146" i="51" s="1" a="1"/>
  <c r="H146" i="51" s="1"/>
  <c r="I215" i="63"/>
  <c r="R109" i="51" a="1"/>
  <c r="R109" i="51" s="1"/>
  <c r="I207" i="63"/>
  <c r="R110" i="51" a="1"/>
  <c r="R110" i="51" s="1"/>
  <c r="R145" i="51" s="1" a="1"/>
  <c r="R145" i="51" s="1"/>
  <c r="I214" i="63"/>
  <c r="R111" i="51" a="1"/>
  <c r="R111" i="51" s="1"/>
  <c r="R146" i="51" s="1" a="1"/>
  <c r="R146" i="51" s="1"/>
  <c r="I216" i="63"/>
  <c r="I213" i="63"/>
  <c r="H110" i="51" a="1"/>
  <c r="H110" i="51" s="1"/>
  <c r="H145" i="51" s="1" a="1"/>
  <c r="H145" i="51" s="1"/>
  <c r="S144" i="51" a="1"/>
  <c r="S144" i="51" s="1"/>
  <c r="I144" i="51" a="1"/>
  <c r="I144" i="51" s="1"/>
  <c r="H109" i="51" a="1"/>
  <c r="H109" i="51" s="1"/>
  <c r="I206" i="63"/>
  <c r="G297" i="44"/>
  <c r="G170" i="44" a="1"/>
  <c r="G170" i="44" s="1"/>
  <c r="H160" i="44"/>
  <c r="G160" i="44"/>
  <c r="L301" i="49"/>
  <c r="L299" i="49" s="1"/>
  <c r="P73" i="49"/>
  <c r="Q73" i="49" s="1"/>
  <c r="M304" i="49"/>
  <c r="M302" i="49" s="1"/>
  <c r="P71" i="49"/>
  <c r="L295" i="49"/>
  <c r="L293" i="49" s="1"/>
  <c r="K301" i="49"/>
  <c r="K299" i="49" s="1"/>
  <c r="N304" i="49"/>
  <c r="N302" i="49" s="1"/>
  <c r="L304" i="49"/>
  <c r="L302" i="49" s="1"/>
  <c r="K298" i="49"/>
  <c r="K296" i="49" s="1"/>
  <c r="N301" i="49"/>
  <c r="N299" i="49" s="1"/>
  <c r="O304" i="49"/>
  <c r="O302" i="49" s="1"/>
  <c r="K302" i="49"/>
  <c r="M298" i="49"/>
  <c r="M296" i="49" s="1"/>
  <c r="O301" i="49"/>
  <c r="O299" i="49" s="1"/>
  <c r="H240" i="44"/>
  <c r="L298" i="49"/>
  <c r="L296" i="49" s="1"/>
  <c r="N295" i="49"/>
  <c r="N293" i="49" s="1"/>
  <c r="N298" i="49"/>
  <c r="N296" i="49" s="1"/>
  <c r="H234" i="44"/>
  <c r="K228" i="44"/>
  <c r="K68" i="49"/>
  <c r="K75" i="49" s="1"/>
  <c r="J240" i="44"/>
  <c r="I240" i="44"/>
  <c r="I234" i="44"/>
  <c r="G240" i="44"/>
  <c r="G234" i="44"/>
  <c r="J228" i="44"/>
  <c r="K240" i="44"/>
  <c r="K234" i="44"/>
  <c r="J234" i="44"/>
  <c r="G228" i="44"/>
  <c r="H228" i="44"/>
  <c r="I228" i="44"/>
  <c r="H113" i="44"/>
  <c r="I106" i="44"/>
  <c r="J113" i="44"/>
  <c r="K113" i="44"/>
  <c r="K106" i="44"/>
  <c r="G120" i="44"/>
  <c r="H106" i="44"/>
  <c r="J106" i="44"/>
  <c r="I113" i="44"/>
  <c r="H150" i="44"/>
  <c r="K244" i="44" s="1" a="1"/>
  <c r="K244" i="44" s="1"/>
  <c r="H152" i="44"/>
  <c r="H178" i="44" s="1" a="1"/>
  <c r="H178" i="44" s="1"/>
  <c r="H153" i="44"/>
  <c r="G179" i="44" s="1" a="1"/>
  <c r="G179" i="44" s="1"/>
  <c r="H154" i="44"/>
  <c r="H149" i="44"/>
  <c r="I171" i="44" s="1" a="1"/>
  <c r="I171" i="44" s="1"/>
  <c r="J170" i="44" a="1"/>
  <c r="J170" i="44" s="1"/>
  <c r="H151" i="44"/>
  <c r="G176" i="44" s="1" a="1"/>
  <c r="G176" i="44" s="1"/>
  <c r="G75" i="44"/>
  <c r="J68" i="44"/>
  <c r="K68" i="44"/>
  <c r="I61" i="44"/>
  <c r="H61" i="44"/>
  <c r="K61" i="44"/>
  <c r="I68" i="44"/>
  <c r="J61" i="44"/>
  <c r="H68" i="44"/>
  <c r="J458" i="44"/>
  <c r="H404" i="44"/>
  <c r="H458" i="44"/>
  <c r="I404" i="44"/>
  <c r="J404" i="44"/>
  <c r="H464" i="44"/>
  <c r="K458" i="44"/>
  <c r="I458" i="44"/>
  <c r="K404" i="44"/>
  <c r="K464" i="44"/>
  <c r="G404" i="44"/>
  <c r="G464" i="44"/>
  <c r="I464" i="44"/>
  <c r="J464" i="44"/>
  <c r="H97" i="44"/>
  <c r="K83" i="44"/>
  <c r="I75" i="44"/>
  <c r="I90" i="44"/>
  <c r="J97" i="44"/>
  <c r="J120" i="44"/>
  <c r="J90" i="44"/>
  <c r="I97" i="44"/>
  <c r="I128" i="44"/>
  <c r="G68" i="44"/>
  <c r="H120" i="44"/>
  <c r="J135" i="44"/>
  <c r="K75" i="44"/>
  <c r="K90" i="44"/>
  <c r="H90" i="44"/>
  <c r="H135" i="44"/>
  <c r="G97" i="44"/>
  <c r="G113" i="44"/>
  <c r="H128" i="44"/>
  <c r="K128" i="44"/>
  <c r="K97" i="44"/>
  <c r="G90" i="44"/>
  <c r="I120" i="44"/>
  <c r="J128" i="44"/>
  <c r="H75" i="44"/>
  <c r="K120" i="44"/>
  <c r="G135" i="44"/>
  <c r="G106" i="44"/>
  <c r="I135" i="44"/>
  <c r="I83" i="44"/>
  <c r="J75" i="44"/>
  <c r="H83" i="44"/>
  <c r="J83" i="44"/>
  <c r="K135" i="44"/>
  <c r="G128" i="44"/>
  <c r="G83" i="44"/>
  <c r="H147" i="51" l="1" a="1"/>
  <c r="H147" i="51" s="1"/>
  <c r="P302" i="49"/>
  <c r="R144" i="51" a="1"/>
  <c r="R144" i="51" s="1"/>
  <c r="H144" i="51" a="1"/>
  <c r="H144" i="51" s="1"/>
  <c r="J298" i="44"/>
  <c r="H298" i="44"/>
  <c r="I298" i="44"/>
  <c r="K297" i="44"/>
  <c r="G298" i="44"/>
  <c r="H297" i="44"/>
  <c r="K298" i="44"/>
  <c r="J297" i="44"/>
  <c r="I297" i="44"/>
  <c r="Q71" i="49"/>
  <c r="H13" i="63" a="1"/>
  <c r="H13" i="63" s="1"/>
  <c r="H29" i="63" s="1" a="1"/>
  <c r="H29" i="63" s="1"/>
  <c r="M301" i="49"/>
  <c r="M299" i="49" s="1"/>
  <c r="O298" i="49"/>
  <c r="O296" i="49" s="1"/>
  <c r="P296" i="49" s="1"/>
  <c r="H180" i="44" a="1"/>
  <c r="H180" i="44" s="1"/>
  <c r="G180" i="44" a="1"/>
  <c r="G180" i="44" s="1"/>
  <c r="P67" i="49"/>
  <c r="Q67" i="49" s="1"/>
  <c r="P295" i="49"/>
  <c r="Q295" i="49" s="1"/>
  <c r="P304" i="49"/>
  <c r="Q304" i="49" s="1"/>
  <c r="P293" i="49"/>
  <c r="P64" i="49"/>
  <c r="Q64" i="49" s="1"/>
  <c r="P70" i="49"/>
  <c r="Q70" i="49" s="1"/>
  <c r="H361" i="44"/>
  <c r="H362" i="44" s="1" a="1"/>
  <c r="H362" i="44" s="1"/>
  <c r="H360" i="44"/>
  <c r="I315" i="44"/>
  <c r="I316" i="44"/>
  <c r="I317" i="44" s="1" a="1"/>
  <c r="I317" i="44" s="1"/>
  <c r="K309" i="44"/>
  <c r="K310" i="44" s="1" a="1"/>
  <c r="K310" i="44" s="1"/>
  <c r="K308" i="44"/>
  <c r="J353" i="44"/>
  <c r="J354" i="44"/>
  <c r="J355" i="44" s="1" a="1"/>
  <c r="J355" i="44" s="1"/>
  <c r="K315" i="44"/>
  <c r="K316" i="44"/>
  <c r="K317" i="44" s="1" a="1"/>
  <c r="K317" i="44" s="1"/>
  <c r="I354" i="44"/>
  <c r="I355" i="44" s="1" a="1"/>
  <c r="I355" i="44" s="1"/>
  <c r="I353" i="44"/>
  <c r="G367" i="44"/>
  <c r="G368" i="44"/>
  <c r="G369" i="44" s="1" a="1"/>
  <c r="G369" i="44" s="1"/>
  <c r="G323" i="44"/>
  <c r="G324" i="44" s="1" a="1"/>
  <c r="G324" i="44" s="1"/>
  <c r="G322" i="44"/>
  <c r="H308" i="44"/>
  <c r="H309" i="44"/>
  <c r="H310" i="44" s="1" a="1"/>
  <c r="H310" i="44" s="1"/>
  <c r="I361" i="44"/>
  <c r="I362" i="44" s="1" a="1"/>
  <c r="I362" i="44" s="1"/>
  <c r="I360" i="44"/>
  <c r="H316" i="44"/>
  <c r="H317" i="44" s="1" a="1"/>
  <c r="H317" i="44" s="1"/>
  <c r="H315" i="44"/>
  <c r="J361" i="44"/>
  <c r="J362" i="44" s="1" a="1"/>
  <c r="J362" i="44" s="1"/>
  <c r="J360" i="44"/>
  <c r="J308" i="44"/>
  <c r="J309" i="44"/>
  <c r="J310" i="44" s="1" a="1"/>
  <c r="J310" i="44" s="1"/>
  <c r="K360" i="44"/>
  <c r="K361" i="44"/>
  <c r="K362" i="44" s="1" a="1"/>
  <c r="K362" i="44" s="1"/>
  <c r="H354" i="44"/>
  <c r="H355" i="44" s="1" a="1"/>
  <c r="H355" i="44" s="1"/>
  <c r="H353" i="44"/>
  <c r="J315" i="44"/>
  <c r="J316" i="44"/>
  <c r="J317" i="44" s="1" a="1"/>
  <c r="J317" i="44" s="1"/>
  <c r="I308" i="44"/>
  <c r="I309" i="44"/>
  <c r="I310" i="44" s="1" a="1"/>
  <c r="I310" i="44" s="1"/>
  <c r="K353" i="44"/>
  <c r="K354" i="44"/>
  <c r="K355" i="44" s="1" a="1"/>
  <c r="K355" i="44" s="1"/>
  <c r="K116" i="44"/>
  <c r="K117" i="44"/>
  <c r="K118" i="44" s="1" a="1"/>
  <c r="K118" i="44" s="1"/>
  <c r="K115" i="44" a="1"/>
  <c r="K115" i="44" s="1"/>
  <c r="H109" i="44"/>
  <c r="H110" i="44"/>
  <c r="H111" i="44" s="1" a="1"/>
  <c r="H111" i="44" s="1"/>
  <c r="H108" i="44" a="1"/>
  <c r="H108" i="44" s="1"/>
  <c r="I116" i="44"/>
  <c r="I117" i="44"/>
  <c r="I118" i="44" s="1" a="1"/>
  <c r="I118" i="44" s="1"/>
  <c r="I115" i="44" a="1"/>
  <c r="I115" i="44" s="1"/>
  <c r="J116" i="44"/>
  <c r="J117" i="44"/>
  <c r="J118" i="44" s="1" a="1"/>
  <c r="J118" i="44" s="1"/>
  <c r="J115" i="44" a="1"/>
  <c r="J115" i="44" s="1"/>
  <c r="H117" i="44"/>
  <c r="H118" i="44" s="1" a="1"/>
  <c r="H118" i="44" s="1"/>
  <c r="H115" i="44" a="1"/>
  <c r="H115" i="44" s="1"/>
  <c r="H116" i="44"/>
  <c r="G79" i="44"/>
  <c r="G80" i="44" s="1" a="1"/>
  <c r="G80" i="44" s="1"/>
  <c r="G78" i="44"/>
  <c r="G77" i="44" a="1"/>
  <c r="G77" i="44" s="1"/>
  <c r="G124" i="44"/>
  <c r="G125" i="44" s="1" a="1"/>
  <c r="G125" i="44" s="1"/>
  <c r="G123" i="44"/>
  <c r="G122" i="44" a="1"/>
  <c r="G122" i="44" s="1"/>
  <c r="J110" i="44"/>
  <c r="J111" i="44" s="1" a="1"/>
  <c r="J111" i="44" s="1"/>
  <c r="J108" i="44" a="1"/>
  <c r="J108" i="44" s="1"/>
  <c r="J109" i="44"/>
  <c r="K110" i="44"/>
  <c r="K111" i="44" s="1" a="1"/>
  <c r="K111" i="44" s="1"/>
  <c r="K108" i="44" a="1"/>
  <c r="K108" i="44" s="1"/>
  <c r="K109" i="44"/>
  <c r="I109" i="44"/>
  <c r="I110" i="44"/>
  <c r="I111" i="44" s="1" a="1"/>
  <c r="I111" i="44" s="1"/>
  <c r="I108" i="44" a="1"/>
  <c r="I108" i="44" s="1"/>
  <c r="I70" i="44" a="1"/>
  <c r="I70" i="44" s="1"/>
  <c r="I72" i="44"/>
  <c r="I73" i="44" s="1" a="1"/>
  <c r="I73" i="44" s="1"/>
  <c r="I71" i="44"/>
  <c r="K70" i="44" a="1"/>
  <c r="K70" i="44" s="1"/>
  <c r="K71" i="44"/>
  <c r="K72" i="44"/>
  <c r="K73" i="44" s="1" a="1"/>
  <c r="K73" i="44" s="1"/>
  <c r="J72" i="44"/>
  <c r="J73" i="44" s="1" a="1"/>
  <c r="J73" i="44" s="1"/>
  <c r="J70" i="44" a="1"/>
  <c r="J70" i="44" s="1"/>
  <c r="J71" i="44"/>
  <c r="H72" i="44"/>
  <c r="H73" i="44" s="1" a="1"/>
  <c r="H73" i="44" s="1"/>
  <c r="H70" i="44" a="1"/>
  <c r="H70" i="44" s="1"/>
  <c r="H71" i="44"/>
  <c r="H65" i="44"/>
  <c r="H66" i="44" s="1" a="1"/>
  <c r="H66" i="44" s="1"/>
  <c r="H63" i="44" a="1"/>
  <c r="H63" i="44" s="1"/>
  <c r="K63" i="44" a="1"/>
  <c r="K63" i="44" s="1"/>
  <c r="K65" i="44"/>
  <c r="K66" i="44" s="1" a="1"/>
  <c r="K66" i="44" s="1"/>
  <c r="I63" i="44" a="1"/>
  <c r="I63" i="44" s="1"/>
  <c r="I65" i="44"/>
  <c r="I66" i="44" s="1" a="1"/>
  <c r="I66" i="44" s="1"/>
  <c r="J63" i="44" a="1"/>
  <c r="J63" i="44" s="1"/>
  <c r="J65" i="44"/>
  <c r="J66" i="44" s="1" a="1"/>
  <c r="J66" i="44" s="1"/>
  <c r="H64" i="44"/>
  <c r="K64" i="44"/>
  <c r="I64" i="44"/>
  <c r="J64" i="44"/>
  <c r="I176" i="44" a="1"/>
  <c r="I176" i="44" s="1"/>
  <c r="K180" i="44" a="1"/>
  <c r="K180" i="44" s="1"/>
  <c r="I180" i="44" a="1"/>
  <c r="I180" i="44" s="1"/>
  <c r="J244" i="44" a="1"/>
  <c r="J244" i="44" s="1"/>
  <c r="H244" i="44" a="1"/>
  <c r="H244" i="44" s="1"/>
  <c r="G178" i="44" a="1"/>
  <c r="G178" i="44" s="1"/>
  <c r="J178" i="44" a="1"/>
  <c r="J178" i="44" s="1"/>
  <c r="I244" i="44" a="1"/>
  <c r="I244" i="44" s="1"/>
  <c r="K178" i="44" a="1"/>
  <c r="K178" i="44" s="1"/>
  <c r="J180" i="44" a="1"/>
  <c r="J180" i="44" s="1"/>
  <c r="G244" i="44" a="1"/>
  <c r="G244" i="44" s="1"/>
  <c r="I178" i="44" a="1"/>
  <c r="I178" i="44" s="1"/>
  <c r="H179" i="44" a="1"/>
  <c r="H179" i="44" s="1"/>
  <c r="I179" i="44" a="1"/>
  <c r="I179" i="44" s="1"/>
  <c r="K179" i="44" a="1"/>
  <c r="K179" i="44" s="1"/>
  <c r="J179" i="44" a="1"/>
  <c r="J179" i="44" s="1"/>
  <c r="K171" i="44" a="1"/>
  <c r="K171" i="44" s="1"/>
  <c r="J171" i="44" a="1"/>
  <c r="J171" i="44" s="1"/>
  <c r="H171" i="44" a="1"/>
  <c r="H171" i="44" s="1"/>
  <c r="G171" i="44" a="1"/>
  <c r="G171" i="44" s="1"/>
  <c r="H170" i="44" a="1"/>
  <c r="H170" i="44" s="1"/>
  <c r="K176" i="44" a="1"/>
  <c r="K176" i="44" s="1"/>
  <c r="H176" i="44" a="1"/>
  <c r="H176" i="44" s="1"/>
  <c r="J176" i="44" a="1"/>
  <c r="J176" i="44" s="1"/>
  <c r="I170" i="44" a="1"/>
  <c r="I170" i="44" s="1"/>
  <c r="K170" i="44" a="1"/>
  <c r="K170" i="44" s="1"/>
  <c r="H220" i="44"/>
  <c r="K214" i="44"/>
  <c r="J214" i="44"/>
  <c r="H214" i="44"/>
  <c r="G220" i="44"/>
  <c r="K220" i="44"/>
  <c r="I214" i="44"/>
  <c r="G214" i="44"/>
  <c r="I220" i="44"/>
  <c r="J220" i="44"/>
  <c r="K12" i="44"/>
  <c r="K13" i="44"/>
  <c r="H13" i="44"/>
  <c r="I13" i="44"/>
  <c r="J13" i="44"/>
  <c r="G13" i="44"/>
  <c r="Q31" i="51" l="1" a="1"/>
  <c r="Q31" i="51" s="1"/>
  <c r="Q66" i="51" s="1" a="1"/>
  <c r="Q66" i="51" s="1"/>
  <c r="H37" i="63"/>
  <c r="D3" i="63" s="1"/>
  <c r="Q302" i="49"/>
  <c r="Q293" i="49"/>
  <c r="Q296" i="49"/>
  <c r="G52" i="44"/>
  <c r="H52" i="44"/>
  <c r="P66" i="49"/>
  <c r="Q66" i="49" s="1"/>
  <c r="K65" i="49"/>
  <c r="P65" i="49" s="1"/>
  <c r="P68" i="49"/>
  <c r="P301" i="49"/>
  <c r="Q301" i="49" s="1"/>
  <c r="P298" i="49"/>
  <c r="Q298" i="49" s="1"/>
  <c r="P299" i="49"/>
  <c r="S21" i="51"/>
  <c r="S10" i="51" s="1" a="1"/>
  <c r="S10" i="51" s="1"/>
  <c r="T21" i="51"/>
  <c r="T10" i="51" s="1" a="1"/>
  <c r="T10" i="51" s="1"/>
  <c r="R21" i="51"/>
  <c r="R10" i="51" s="1" a="1"/>
  <c r="R10" i="51" s="1"/>
  <c r="U21" i="51"/>
  <c r="U10" i="51" s="1" a="1"/>
  <c r="U10" i="51" s="1"/>
  <c r="Q23" i="51"/>
  <c r="Q12" i="51" s="1" a="1"/>
  <c r="Q12" i="51" s="1"/>
  <c r="R22" i="51"/>
  <c r="R11" i="51" s="1" a="1"/>
  <c r="R11" i="51" s="1"/>
  <c r="T22" i="51"/>
  <c r="T11" i="51" s="1" a="1"/>
  <c r="T11" i="51" s="1"/>
  <c r="U22" i="51"/>
  <c r="U11" i="51" s="1" a="1"/>
  <c r="U11" i="51" s="1"/>
  <c r="I21" i="51"/>
  <c r="I10" i="51" s="1" a="1"/>
  <c r="I10" i="51" s="1"/>
  <c r="K22" i="51"/>
  <c r="K11" i="51" s="1" a="1"/>
  <c r="K11" i="51" s="1"/>
  <c r="J22" i="51"/>
  <c r="J11" i="51" s="1" a="1"/>
  <c r="J11" i="51" s="1"/>
  <c r="H22" i="51"/>
  <c r="H11" i="51" s="1" a="1"/>
  <c r="H11" i="51" s="1"/>
  <c r="J21" i="51"/>
  <c r="J10" i="51" s="1" a="1"/>
  <c r="J10" i="51" s="1"/>
  <c r="K21" i="51"/>
  <c r="K10" i="51" s="1" a="1"/>
  <c r="K10" i="51" s="1"/>
  <c r="G23" i="51"/>
  <c r="G12" i="51" s="1" a="1"/>
  <c r="G12" i="51" s="1"/>
  <c r="S22" i="51"/>
  <c r="S11" i="51" s="1" a="1"/>
  <c r="S11" i="51" s="1"/>
  <c r="U94" i="51"/>
  <c r="U95" i="51"/>
  <c r="J94" i="51"/>
  <c r="T95" i="51"/>
  <c r="G96" i="51"/>
  <c r="I95" i="51"/>
  <c r="R95" i="51"/>
  <c r="I22" i="51"/>
  <c r="I11" i="51" s="1" a="1"/>
  <c r="I11" i="51" s="1"/>
  <c r="J95" i="51"/>
  <c r="S95" i="51"/>
  <c r="Q96" i="51"/>
  <c r="S94" i="51"/>
  <c r="T94" i="51"/>
  <c r="K94" i="51"/>
  <c r="H21" i="51"/>
  <c r="H10" i="51" s="1" a="1"/>
  <c r="H10" i="51" s="1"/>
  <c r="I94" i="51"/>
  <c r="R94" i="51"/>
  <c r="H95" i="51"/>
  <c r="H94" i="51"/>
  <c r="K95" i="51"/>
  <c r="J52" i="44"/>
  <c r="K52" i="44"/>
  <c r="I52" i="44"/>
  <c r="H12" i="44"/>
  <c r="G12" i="44"/>
  <c r="J12" i="44"/>
  <c r="I12" i="44"/>
  <c r="K10" i="44"/>
  <c r="J10" i="44"/>
  <c r="H10" i="44"/>
  <c r="I10" i="44"/>
  <c r="G10" i="44"/>
  <c r="Q299" i="49" l="1"/>
  <c r="I46" i="51"/>
  <c r="S46" i="51"/>
  <c r="U46" i="51"/>
  <c r="G47" i="51"/>
  <c r="S45" i="51"/>
  <c r="T46" i="51"/>
  <c r="K45" i="51"/>
  <c r="R46" i="51"/>
  <c r="H45" i="51"/>
  <c r="Q47" i="51"/>
  <c r="J45" i="51"/>
  <c r="H46" i="51"/>
  <c r="U45" i="51"/>
  <c r="I45" i="51"/>
  <c r="J46" i="51"/>
  <c r="R45" i="51"/>
  <c r="K46" i="51"/>
  <c r="T45" i="51"/>
  <c r="R129" i="51" a="1"/>
  <c r="R129" i="51" s="1"/>
  <c r="R83" i="51" a="1"/>
  <c r="R83" i="51" s="1"/>
  <c r="J130" i="51" a="1"/>
  <c r="J130" i="51" s="1"/>
  <c r="J84" i="51" a="1"/>
  <c r="J84" i="51" s="1"/>
  <c r="U129" i="51" a="1"/>
  <c r="U129" i="51" s="1"/>
  <c r="U83" i="51" a="1"/>
  <c r="U83" i="51" s="1"/>
  <c r="H130" i="51" a="1"/>
  <c r="H130" i="51" s="1"/>
  <c r="H84" i="51" a="1"/>
  <c r="H84" i="51" s="1"/>
  <c r="I129" i="51" a="1"/>
  <c r="I129" i="51" s="1"/>
  <c r="I83" i="51" a="1"/>
  <c r="I83" i="51" s="1"/>
  <c r="K129" i="51" a="1"/>
  <c r="K129" i="51" s="1"/>
  <c r="K83" i="51" a="1"/>
  <c r="K83" i="51" s="1"/>
  <c r="I130" i="51" a="1"/>
  <c r="I130" i="51" s="1"/>
  <c r="I84" i="51" a="1"/>
  <c r="I84" i="51" s="1"/>
  <c r="T129" i="51" a="1"/>
  <c r="T129" i="51" s="1"/>
  <c r="T83" i="51" a="1"/>
  <c r="T83" i="51" s="1"/>
  <c r="G131" i="51" a="1"/>
  <c r="G131" i="51" s="1"/>
  <c r="G85" i="51" a="1"/>
  <c r="G85" i="51" s="1"/>
  <c r="R130" i="51" a="1"/>
  <c r="R130" i="51" s="1"/>
  <c r="R84" i="51" a="1"/>
  <c r="R84" i="51" s="1"/>
  <c r="K130" i="51" a="1"/>
  <c r="K130" i="51" s="1"/>
  <c r="K84" i="51" a="1"/>
  <c r="K84" i="51" s="1"/>
  <c r="S129" i="51" a="1"/>
  <c r="S129" i="51" s="1"/>
  <c r="S83" i="51" a="1"/>
  <c r="S83" i="51" s="1"/>
  <c r="T130" i="51" a="1"/>
  <c r="T130" i="51" s="1"/>
  <c r="T84" i="51" a="1"/>
  <c r="T84" i="51" s="1"/>
  <c r="H129" i="51" a="1"/>
  <c r="H129" i="51" s="1"/>
  <c r="H83" i="51" a="1"/>
  <c r="H83" i="51" s="1"/>
  <c r="Q131" i="51" a="1"/>
  <c r="Q131" i="51" s="1"/>
  <c r="Q85" i="51" a="1"/>
  <c r="Q85" i="51" s="1"/>
  <c r="J129" i="51" a="1"/>
  <c r="J129" i="51" s="1"/>
  <c r="J83" i="51" a="1"/>
  <c r="J83" i="51" s="1"/>
  <c r="S130" i="51" a="1"/>
  <c r="S130" i="51" s="1"/>
  <c r="S84" i="51" a="1"/>
  <c r="S84" i="51" s="1"/>
  <c r="U130" i="51" a="1"/>
  <c r="U130" i="51" s="1"/>
  <c r="U84" i="51" a="1"/>
  <c r="U84" i="51" s="1"/>
  <c r="K57" i="51" a="1"/>
  <c r="K57" i="51" s="1"/>
  <c r="T56" i="51" a="1"/>
  <c r="T56" i="51" s="1"/>
  <c r="I56" i="51" a="1"/>
  <c r="I56" i="51" s="1"/>
  <c r="S56" i="51" a="1"/>
  <c r="S56" i="51" s="1"/>
  <c r="I57" i="51" a="1"/>
  <c r="I57" i="51" s="1"/>
  <c r="S57" i="51" a="1"/>
  <c r="S57" i="51" s="1"/>
  <c r="U57" i="51" a="1"/>
  <c r="U57" i="51" s="1"/>
  <c r="H56" i="51" a="1"/>
  <c r="H56" i="51" s="1"/>
  <c r="G58" i="51" a="1"/>
  <c r="G58" i="51" s="1"/>
  <c r="T57" i="51" a="1"/>
  <c r="T57" i="51" s="1"/>
  <c r="K56" i="51" a="1"/>
  <c r="K56" i="51" s="1"/>
  <c r="R57" i="51" a="1"/>
  <c r="R57" i="51" s="1"/>
  <c r="J56" i="51" a="1"/>
  <c r="J56" i="51" s="1"/>
  <c r="Q58" i="51" a="1"/>
  <c r="Q58" i="51" s="1"/>
  <c r="H57" i="51" a="1"/>
  <c r="H57" i="51" s="1"/>
  <c r="U56" i="51" a="1"/>
  <c r="U56" i="51" s="1"/>
  <c r="J57" i="51" a="1"/>
  <c r="J57" i="51" s="1"/>
  <c r="R56" i="51" a="1"/>
  <c r="R56" i="51" s="1"/>
  <c r="Q65" i="49"/>
  <c r="Q68" i="49"/>
  <c r="H11" i="44"/>
  <c r="H18" i="44" s="1"/>
  <c r="G11" i="44"/>
  <c r="G18" i="44" s="1"/>
  <c r="I11" i="44"/>
  <c r="I18" i="44" s="1"/>
  <c r="K11" i="44"/>
  <c r="K18" i="44" s="1"/>
  <c r="J11" i="44"/>
  <c r="J18" i="44" s="1"/>
  <c r="K54" i="44"/>
  <c r="K53" i="44"/>
  <c r="G53" i="44"/>
  <c r="I53" i="44"/>
  <c r="G54" i="44"/>
  <c r="H53" i="44"/>
  <c r="J53" i="44"/>
  <c r="H54" i="44"/>
  <c r="I54" i="44"/>
  <c r="J54" i="44"/>
  <c r="U119" i="51" l="1"/>
  <c r="Q120" i="51"/>
  <c r="T119" i="51"/>
  <c r="I118" i="51"/>
  <c r="S119" i="51"/>
  <c r="H118" i="51"/>
  <c r="S118" i="51"/>
  <c r="G120" i="51"/>
  <c r="U118" i="51"/>
  <c r="I119" i="51"/>
  <c r="H119" i="51"/>
  <c r="K119" i="51"/>
  <c r="T118" i="51"/>
  <c r="J119" i="51"/>
  <c r="K118" i="51"/>
  <c r="J118" i="51"/>
  <c r="R119" i="51"/>
  <c r="R118" i="51"/>
  <c r="I26" i="44"/>
  <c r="I27" i="44" s="1" a="1"/>
  <c r="I27" i="44" s="1"/>
  <c r="I28" i="44" s="1"/>
  <c r="I29" i="44" s="1"/>
  <c r="I30" i="44" s="1"/>
  <c r="H26" i="44"/>
  <c r="H43" i="44"/>
  <c r="I43" i="44"/>
  <c r="G26" i="44"/>
  <c r="G43" i="44"/>
  <c r="K43" i="44"/>
  <c r="J43" i="44"/>
  <c r="K26" i="44"/>
  <c r="J26" i="44"/>
  <c r="G35" i="44"/>
  <c r="G36" i="44" s="1" a="1"/>
  <c r="G36" i="44" s="1"/>
  <c r="G37" i="44" s="1"/>
  <c r="G38" i="44" s="1"/>
  <c r="G39" i="44" s="1"/>
  <c r="I35" i="44"/>
  <c r="I36" i="44" s="1" a="1"/>
  <c r="I36" i="44" s="1"/>
  <c r="I37" i="44" s="1"/>
  <c r="I38" i="44" s="1"/>
  <c r="I39" i="44" s="1"/>
  <c r="J35" i="44"/>
  <c r="J36" i="44" s="1" a="1"/>
  <c r="J36" i="44" s="1"/>
  <c r="J37" i="44" s="1"/>
  <c r="H35" i="44"/>
  <c r="H36" i="44" s="1" a="1"/>
  <c r="H36" i="44" s="1"/>
  <c r="H37" i="44" s="1"/>
  <c r="H38" i="44" s="1"/>
  <c r="H39" i="44" s="1"/>
  <c r="K35" i="44"/>
  <c r="G19" i="44" a="1"/>
  <c r="G19" i="44" s="1"/>
  <c r="G20" i="44" s="1"/>
  <c r="G21" i="44" s="1"/>
  <c r="K19" i="44" a="1"/>
  <c r="K19" i="44" s="1"/>
  <c r="K20" i="44" s="1"/>
  <c r="K21" i="44" s="1"/>
  <c r="K22" i="44" s="1"/>
  <c r="H19" i="44" a="1"/>
  <c r="H19" i="44" s="1"/>
  <c r="H20" i="44" s="1"/>
  <c r="I19" i="44" a="1"/>
  <c r="I19" i="44" s="1"/>
  <c r="I20" i="44" s="1"/>
  <c r="I21" i="44" s="1"/>
  <c r="I22" i="44" s="1"/>
  <c r="J19" i="44" a="1"/>
  <c r="J19" i="44" s="1"/>
  <c r="J20" i="44" s="1"/>
  <c r="J21" i="44" s="1"/>
  <c r="J22" i="44" s="1"/>
  <c r="B3" i="49"/>
  <c r="C2" i="49"/>
  <c r="S20" i="51" l="1"/>
  <c r="S9" i="51" s="1" a="1"/>
  <c r="S9" i="51" s="1"/>
  <c r="I20" i="51"/>
  <c r="I9" i="51" s="1" a="1"/>
  <c r="I9" i="51" s="1"/>
  <c r="Q20" i="51"/>
  <c r="Q9" i="51" s="1" a="1"/>
  <c r="Q9" i="51" s="1"/>
  <c r="J20" i="51"/>
  <c r="J9" i="51" s="1" a="1"/>
  <c r="J9" i="51" s="1"/>
  <c r="R20" i="51"/>
  <c r="R9" i="51" s="1" a="1"/>
  <c r="R9" i="51" s="1"/>
  <c r="K20" i="51"/>
  <c r="K9" i="51" s="1" a="1"/>
  <c r="K9" i="51" s="1"/>
  <c r="I24" i="51"/>
  <c r="I13" i="51" s="1" a="1"/>
  <c r="I13" i="51" s="1"/>
  <c r="J44" i="44" a="1"/>
  <c r="J44" i="44" s="1"/>
  <c r="K44" i="44" a="1"/>
  <c r="K44" i="44" s="1"/>
  <c r="K45" i="44" s="1"/>
  <c r="K46" i="44" s="1"/>
  <c r="K47" i="44" s="1"/>
  <c r="G44" i="44" a="1"/>
  <c r="G44" i="44" s="1"/>
  <c r="J27" i="44" a="1"/>
  <c r="J27" i="44" s="1"/>
  <c r="J28" i="44" s="1"/>
  <c r="G27" i="44" a="1"/>
  <c r="G27" i="44" s="1"/>
  <c r="G28" i="44" s="1"/>
  <c r="K27" i="44" a="1"/>
  <c r="K27" i="44" s="1"/>
  <c r="I44" i="44" a="1"/>
  <c r="I44" i="44" s="1"/>
  <c r="I45" i="44" s="1"/>
  <c r="H44" i="44" a="1"/>
  <c r="H44" i="44" s="1"/>
  <c r="H27" i="44" a="1"/>
  <c r="H27" i="44" s="1"/>
  <c r="G22" i="44"/>
  <c r="B7" i="49"/>
  <c r="J38" i="44"/>
  <c r="J39" i="44" s="1"/>
  <c r="K36" i="44" a="1"/>
  <c r="K36" i="44" s="1"/>
  <c r="K37" i="44" s="1"/>
  <c r="H21" i="44"/>
  <c r="H22" i="44" s="1"/>
  <c r="I160" i="44"/>
  <c r="K160" i="44"/>
  <c r="J160" i="44"/>
  <c r="E15" i="48"/>
  <c r="E14" i="48"/>
  <c r="E9" i="48"/>
  <c r="E8" i="48"/>
  <c r="B3" i="48"/>
  <c r="B5" i="48" s="1"/>
  <c r="C2" i="48"/>
  <c r="I48" i="51" l="1"/>
  <c r="Q44" i="51"/>
  <c r="K44" i="51"/>
  <c r="I44" i="51"/>
  <c r="S44" i="51"/>
  <c r="R44" i="51"/>
  <c r="J44" i="51"/>
  <c r="J55" i="51" a="1"/>
  <c r="J55" i="51" s="1"/>
  <c r="I59" i="51" a="1"/>
  <c r="I59" i="51" s="1"/>
  <c r="Q55" i="51" a="1"/>
  <c r="Q55" i="51" s="1"/>
  <c r="K55" i="51" a="1"/>
  <c r="K55" i="51" s="1"/>
  <c r="I55" i="51" a="1"/>
  <c r="I55" i="51" s="1"/>
  <c r="R55" i="51" a="1"/>
  <c r="R55" i="51" s="1"/>
  <c r="S55" i="51" a="1"/>
  <c r="S55" i="51" s="1"/>
  <c r="T20" i="51"/>
  <c r="T9" i="51" s="1" a="1"/>
  <c r="T9" i="51" s="1"/>
  <c r="H20" i="51"/>
  <c r="H9" i="51" s="1" a="1"/>
  <c r="H9" i="51" s="1"/>
  <c r="G20" i="51"/>
  <c r="G9" i="51" s="1" a="1"/>
  <c r="G9" i="51" s="1"/>
  <c r="H398" i="44"/>
  <c r="H394" i="44"/>
  <c r="H395" i="44"/>
  <c r="H396" i="44"/>
  <c r="H393" i="44"/>
  <c r="H397" i="44"/>
  <c r="G29" i="44"/>
  <c r="G30" i="44" s="1"/>
  <c r="J29" i="44"/>
  <c r="J30" i="44" s="1"/>
  <c r="H45" i="44"/>
  <c r="H46" i="44" s="1"/>
  <c r="H47" i="44" s="1"/>
  <c r="U24" i="51"/>
  <c r="U13" i="51" s="1" a="1"/>
  <c r="U13" i="51" s="1"/>
  <c r="I46" i="44"/>
  <c r="I47" i="44" s="1"/>
  <c r="J45" i="44"/>
  <c r="J46" i="44" s="1"/>
  <c r="J47" i="44" s="1"/>
  <c r="H28" i="44"/>
  <c r="H29" i="44" s="1"/>
  <c r="H30" i="44" s="1"/>
  <c r="K28" i="44"/>
  <c r="K29" i="44" s="1"/>
  <c r="K30" i="44" s="1"/>
  <c r="G45" i="44"/>
  <c r="G46" i="44" s="1"/>
  <c r="G47" i="44" s="1"/>
  <c r="P62" i="49"/>
  <c r="P63" i="49"/>
  <c r="Q63" i="49" s="1"/>
  <c r="K38" i="44"/>
  <c r="K39" i="44" s="1"/>
  <c r="B18" i="48"/>
  <c r="G420" i="44" l="1" a="1"/>
  <c r="G420" i="44" s="1"/>
  <c r="K420" i="44" a="1"/>
  <c r="K420" i="44" s="1"/>
  <c r="J420" i="44" a="1"/>
  <c r="J420" i="44" s="1"/>
  <c r="I420" i="44" a="1"/>
  <c r="I420" i="44" s="1"/>
  <c r="H420" i="44" a="1"/>
  <c r="H420" i="44" s="1"/>
  <c r="K422" i="44" a="1"/>
  <c r="K422" i="44" s="1"/>
  <c r="J422" i="44" a="1"/>
  <c r="J422" i="44" s="1"/>
  <c r="I422" i="44" a="1"/>
  <c r="I422" i="44" s="1"/>
  <c r="H422" i="44" a="1"/>
  <c r="H422" i="44" s="1"/>
  <c r="G422" i="44" a="1"/>
  <c r="G422" i="44" s="1"/>
  <c r="G488" i="44" a="1"/>
  <c r="G488" i="44" s="1"/>
  <c r="H488" i="44" a="1"/>
  <c r="H488" i="44" s="1"/>
  <c r="I488" i="44" a="1"/>
  <c r="I488" i="44" s="1"/>
  <c r="J488" i="44" a="1"/>
  <c r="J488" i="44" s="1"/>
  <c r="K488" i="44" a="1"/>
  <c r="K488" i="44" s="1"/>
  <c r="K424" i="44" a="1"/>
  <c r="K424" i="44" s="1"/>
  <c r="J424" i="44" a="1"/>
  <c r="J424" i="44" s="1"/>
  <c r="I424" i="44" a="1"/>
  <c r="I424" i="44" s="1"/>
  <c r="H424" i="44" a="1"/>
  <c r="H424" i="44" s="1"/>
  <c r="G424" i="44" a="1"/>
  <c r="G424" i="44" s="1"/>
  <c r="K415" i="44" a="1"/>
  <c r="K415" i="44" s="1"/>
  <c r="J415" i="44" a="1"/>
  <c r="J415" i="44" s="1"/>
  <c r="I415" i="44" a="1"/>
  <c r="I415" i="44" s="1"/>
  <c r="H415" i="44" a="1"/>
  <c r="H415" i="44" s="1"/>
  <c r="G415" i="44" a="1"/>
  <c r="G415" i="44" s="1"/>
  <c r="H423" i="44" a="1"/>
  <c r="H423" i="44" s="1"/>
  <c r="G423" i="44" a="1"/>
  <c r="G423" i="44" s="1"/>
  <c r="K423" i="44" a="1"/>
  <c r="K423" i="44" s="1"/>
  <c r="J423" i="44" a="1"/>
  <c r="J423" i="44" s="1"/>
  <c r="I423" i="44" a="1"/>
  <c r="I423" i="44" s="1"/>
  <c r="U48" i="51"/>
  <c r="H44" i="51"/>
  <c r="T44" i="51"/>
  <c r="G44" i="51"/>
  <c r="G55" i="51" a="1"/>
  <c r="G55" i="51" s="1"/>
  <c r="T55" i="51" a="1"/>
  <c r="T55" i="51" s="1"/>
  <c r="H55" i="51" a="1"/>
  <c r="H55" i="51" s="1"/>
  <c r="U59" i="51" a="1"/>
  <c r="U59" i="51" s="1"/>
  <c r="Q62" i="49"/>
  <c r="U20" i="51"/>
  <c r="U9" i="51" s="1" a="1"/>
  <c r="U9" i="51" s="1"/>
  <c r="G24" i="51"/>
  <c r="G13" i="51" s="1" a="1"/>
  <c r="G13" i="51" s="1"/>
  <c r="J24" i="51"/>
  <c r="J13" i="51" s="1" a="1"/>
  <c r="J13" i="51" s="1"/>
  <c r="R24" i="51"/>
  <c r="R13" i="51" s="1" a="1"/>
  <c r="R13" i="51" s="1"/>
  <c r="Q24" i="51"/>
  <c r="Q13" i="51" s="1" a="1"/>
  <c r="Q13" i="51" s="1"/>
  <c r="T24" i="51"/>
  <c r="T13" i="51" s="1" a="1"/>
  <c r="T13" i="51" s="1"/>
  <c r="H24" i="51"/>
  <c r="H13" i="51" s="1" a="1"/>
  <c r="H13" i="51" s="1"/>
  <c r="S24" i="51"/>
  <c r="S13" i="51" s="1" a="1"/>
  <c r="S13" i="51" s="1"/>
  <c r="K24" i="51"/>
  <c r="K13" i="51" s="1" a="1"/>
  <c r="K13" i="51" s="1"/>
  <c r="H51" i="44"/>
  <c r="K51" i="44"/>
  <c r="B3" i="44"/>
  <c r="B3" i="42"/>
  <c r="B3" i="39"/>
  <c r="A2" i="4"/>
  <c r="C2" i="44"/>
  <c r="C2" i="42"/>
  <c r="C2" i="39"/>
  <c r="B1" i="4"/>
  <c r="H254" i="44" l="1"/>
  <c r="K296" i="44"/>
  <c r="I254" i="44"/>
  <c r="K256" i="44"/>
  <c r="J254" i="44"/>
  <c r="J256" i="44"/>
  <c r="K254" i="44"/>
  <c r="I256" i="44"/>
  <c r="H255" i="44"/>
  <c r="G296" i="44"/>
  <c r="H256" i="44"/>
  <c r="I255" i="44"/>
  <c r="H296" i="44"/>
  <c r="G256" i="44"/>
  <c r="J255" i="44"/>
  <c r="I296" i="44"/>
  <c r="K255" i="44"/>
  <c r="G254" i="44"/>
  <c r="J296" i="44"/>
  <c r="G255" i="44"/>
  <c r="T48" i="51"/>
  <c r="G48" i="51"/>
  <c r="R48" i="51"/>
  <c r="Q48" i="51"/>
  <c r="J48" i="51"/>
  <c r="H48" i="51"/>
  <c r="K48" i="51"/>
  <c r="S48" i="51"/>
  <c r="U44" i="51"/>
  <c r="K59" i="51" a="1"/>
  <c r="K59" i="51" s="1"/>
  <c r="S59" i="51" a="1"/>
  <c r="S59" i="51" s="1"/>
  <c r="J59" i="51" a="1"/>
  <c r="J59" i="51" s="1"/>
  <c r="R59" i="51" a="1"/>
  <c r="R59" i="51" s="1"/>
  <c r="H59" i="51" a="1"/>
  <c r="H59" i="51" s="1"/>
  <c r="T59" i="51" a="1"/>
  <c r="T59" i="51" s="1"/>
  <c r="G59" i="51" a="1"/>
  <c r="G59" i="51" s="1"/>
  <c r="Q59" i="51" a="1"/>
  <c r="Q59" i="51" s="1"/>
  <c r="U55" i="51" a="1"/>
  <c r="U55" i="51" s="1"/>
  <c r="B5" i="39"/>
  <c r="B19" i="39" s="1"/>
  <c r="J51" i="44"/>
  <c r="G51" i="44"/>
  <c r="I51" i="44"/>
  <c r="B7" i="44"/>
  <c r="B142" i="44" s="1"/>
  <c r="K55" i="44"/>
  <c r="K91" i="44" s="1"/>
  <c r="K56" i="44"/>
  <c r="K136" i="44" s="1"/>
  <c r="H55" i="44"/>
  <c r="H91" i="44" s="1"/>
  <c r="H56" i="44"/>
  <c r="H136" i="44" s="1"/>
  <c r="B5" i="42"/>
  <c r="B128" i="42" s="1"/>
  <c r="J300" i="44" l="1"/>
  <c r="J373" i="44" s="1"/>
  <c r="J374" i="44" s="1" a="1"/>
  <c r="J374" i="44" s="1"/>
  <c r="J299" i="44"/>
  <c r="J328" i="44" s="1"/>
  <c r="J329" i="44" s="1" a="1"/>
  <c r="J329" i="44" s="1"/>
  <c r="K299" i="44"/>
  <c r="K335" i="44" s="1"/>
  <c r="K336" i="44" s="1" a="1"/>
  <c r="K336" i="44" s="1"/>
  <c r="K300" i="44"/>
  <c r="K358" i="44" s="1"/>
  <c r="G270" i="44"/>
  <c r="G271" i="44" s="1" a="1"/>
  <c r="G271" i="44" s="1"/>
  <c r="H299" i="44"/>
  <c r="H306" i="44" s="1"/>
  <c r="H300" i="44"/>
  <c r="H358" i="44" s="1"/>
  <c r="J270" i="44"/>
  <c r="J271" i="44" s="1" a="1"/>
  <c r="J271" i="44" s="1"/>
  <c r="J287" i="44"/>
  <c r="J288" i="44" s="1" a="1"/>
  <c r="J288" i="44" s="1"/>
  <c r="J279" i="44"/>
  <c r="J280" i="44" s="1" a="1"/>
  <c r="J280" i="44" s="1"/>
  <c r="J262" i="44"/>
  <c r="J263" i="44" s="1" a="1"/>
  <c r="J263" i="44" s="1"/>
  <c r="H270" i="44"/>
  <c r="H271" i="44" s="1" a="1"/>
  <c r="H271" i="44" s="1"/>
  <c r="H287" i="44"/>
  <c r="H288" i="44" s="1" a="1"/>
  <c r="H288" i="44" s="1"/>
  <c r="H262" i="44"/>
  <c r="H263" i="44" s="1" a="1"/>
  <c r="H263" i="44" s="1"/>
  <c r="H279" i="44"/>
  <c r="H280" i="44" s="1" a="1"/>
  <c r="H280" i="44" s="1"/>
  <c r="I299" i="44"/>
  <c r="I306" i="44" s="1"/>
  <c r="I300" i="44"/>
  <c r="I365" i="44" s="1"/>
  <c r="I366" i="44" s="1" a="1"/>
  <c r="I366" i="44" s="1"/>
  <c r="K262" i="44"/>
  <c r="K263" i="44" s="1" a="1"/>
  <c r="K263" i="44" s="1"/>
  <c r="K279" i="44"/>
  <c r="K280" i="44" s="1" a="1"/>
  <c r="K280" i="44" s="1"/>
  <c r="K270" i="44"/>
  <c r="K271" i="44" s="1" a="1"/>
  <c r="K271" i="44" s="1"/>
  <c r="K287" i="44"/>
  <c r="K288" i="44" s="1" a="1"/>
  <c r="K288" i="44" s="1"/>
  <c r="G299" i="44"/>
  <c r="G342" i="44" s="1"/>
  <c r="G343" i="44" s="1" a="1"/>
  <c r="G343" i="44" s="1"/>
  <c r="G300" i="44"/>
  <c r="G365" i="44" s="1"/>
  <c r="G279" i="44"/>
  <c r="G280" i="44" s="1" a="1"/>
  <c r="G280" i="44" s="1"/>
  <c r="G262" i="44"/>
  <c r="G263" i="44" s="1" a="1"/>
  <c r="G263" i="44" s="1"/>
  <c r="G287" i="44"/>
  <c r="G288" i="44" s="1" a="1"/>
  <c r="G288" i="44" s="1"/>
  <c r="I262" i="44"/>
  <c r="I263" i="44" s="1" a="1"/>
  <c r="I263" i="44" s="1"/>
  <c r="I279" i="44"/>
  <c r="I280" i="44" s="1" a="1"/>
  <c r="I280" i="44" s="1"/>
  <c r="I270" i="44"/>
  <c r="I271" i="44" s="1" a="1"/>
  <c r="I271" i="44" s="1"/>
  <c r="I287" i="44"/>
  <c r="I288" i="44" s="1" a="1"/>
  <c r="I288" i="44" s="1"/>
  <c r="G272" i="44"/>
  <c r="G273" i="44" s="1"/>
  <c r="G274" i="44" s="1"/>
  <c r="G275" i="44" s="1" a="1"/>
  <c r="G275" i="44" s="1"/>
  <c r="H137" i="44" a="1"/>
  <c r="H137" i="44" s="1"/>
  <c r="H138" i="44" s="1"/>
  <c r="K137" i="44" a="1"/>
  <c r="K137" i="44" s="1"/>
  <c r="G55" i="44"/>
  <c r="G62" i="44" s="1"/>
  <c r="H92" i="44" a="1"/>
  <c r="H92" i="44" s="1"/>
  <c r="H93" i="44" s="1"/>
  <c r="K92" i="44" a="1"/>
  <c r="K92" i="44" s="1"/>
  <c r="K93" i="44" s="1"/>
  <c r="H84" i="44"/>
  <c r="H129" i="44"/>
  <c r="K129" i="44"/>
  <c r="H121" i="44"/>
  <c r="K76" i="44"/>
  <c r="H76" i="44"/>
  <c r="K107" i="44"/>
  <c r="H98" i="44"/>
  <c r="K84" i="44"/>
  <c r="H114" i="44"/>
  <c r="K121" i="44"/>
  <c r="K122" i="44" s="1" a="1"/>
  <c r="K122" i="44" s="1"/>
  <c r="K123" i="44" s="1"/>
  <c r="K124" i="44" s="1"/>
  <c r="K125" i="44" s="1" a="1"/>
  <c r="K125" i="44" s="1"/>
  <c r="H107" i="44"/>
  <c r="K98" i="44"/>
  <c r="K114" i="44"/>
  <c r="K69" i="44"/>
  <c r="H69" i="44"/>
  <c r="K62" i="44"/>
  <c r="H62" i="44"/>
  <c r="J56" i="44"/>
  <c r="J121" i="44" s="1"/>
  <c r="I56" i="44"/>
  <c r="I107" i="44" s="1"/>
  <c r="G56" i="44"/>
  <c r="G114" i="44" s="1"/>
  <c r="I55" i="44"/>
  <c r="I84" i="44" s="1"/>
  <c r="J55" i="44"/>
  <c r="J76" i="44" s="1"/>
  <c r="G281" i="44" l="1"/>
  <c r="G282" i="44" s="1"/>
  <c r="G283" i="44" s="1"/>
  <c r="G284" i="44" s="1" a="1"/>
  <c r="G284" i="44" s="1"/>
  <c r="J272" i="44"/>
  <c r="J273" i="44" s="1"/>
  <c r="J274" i="44" s="1"/>
  <c r="J275" i="44" s="1" a="1"/>
  <c r="J275" i="44" s="1"/>
  <c r="H264" i="44"/>
  <c r="H265" i="44" s="1"/>
  <c r="H266" i="44" s="1"/>
  <c r="H267" i="44" s="1" a="1"/>
  <c r="H267" i="44" s="1"/>
  <c r="J281" i="44"/>
  <c r="J282" i="44" s="1"/>
  <c r="J283" i="44" s="1"/>
  <c r="J284" i="44" s="1" a="1"/>
  <c r="J284" i="44" s="1"/>
  <c r="K264" i="44"/>
  <c r="K265" i="44" s="1"/>
  <c r="K266" i="44" s="1"/>
  <c r="K267" i="44" s="1" a="1"/>
  <c r="K267" i="44" s="1"/>
  <c r="J313" i="44"/>
  <c r="J320" i="44"/>
  <c r="J321" i="44" s="1" a="1"/>
  <c r="J321" i="44" s="1"/>
  <c r="K351" i="44"/>
  <c r="H281" i="44"/>
  <c r="H282" i="44" s="1"/>
  <c r="H283" i="44" s="1"/>
  <c r="H284" i="44" s="1" a="1"/>
  <c r="H284" i="44" s="1"/>
  <c r="J351" i="44"/>
  <c r="K320" i="44"/>
  <c r="K321" i="44" s="1" a="1"/>
  <c r="K321" i="44" s="1"/>
  <c r="K281" i="44"/>
  <c r="K282" i="44" s="1"/>
  <c r="K283" i="44" s="1"/>
  <c r="K284" i="44" s="1" a="1"/>
  <c r="K284" i="44" s="1"/>
  <c r="H380" i="44"/>
  <c r="H381" i="44" s="1" a="1"/>
  <c r="H381" i="44" s="1"/>
  <c r="H328" i="44"/>
  <c r="H329" i="44" s="1" a="1"/>
  <c r="H329" i="44" s="1"/>
  <c r="I264" i="44"/>
  <c r="I265" i="44" s="1"/>
  <c r="I266" i="44" s="1"/>
  <c r="I267" i="44" s="1" a="1"/>
  <c r="I267" i="44" s="1"/>
  <c r="H373" i="44"/>
  <c r="H374" i="44" s="1" a="1"/>
  <c r="H374" i="44" s="1"/>
  <c r="H335" i="44"/>
  <c r="H336" i="44" s="1" a="1"/>
  <c r="H336" i="44" s="1"/>
  <c r="K365" i="44"/>
  <c r="K366" i="44" s="1" a="1"/>
  <c r="K366" i="44" s="1"/>
  <c r="H320" i="44"/>
  <c r="H321" i="44" s="1" a="1"/>
  <c r="H321" i="44" s="1"/>
  <c r="I320" i="44"/>
  <c r="G380" i="44"/>
  <c r="G381" i="44" s="1" a="1"/>
  <c r="G381" i="44" s="1"/>
  <c r="I313" i="44"/>
  <c r="H289" i="44"/>
  <c r="H290" i="44" s="1"/>
  <c r="H291" i="44" s="1"/>
  <c r="H292" i="44" s="1" a="1"/>
  <c r="H292" i="44" s="1"/>
  <c r="G328" i="44"/>
  <c r="G329" i="44" s="1" a="1"/>
  <c r="G329" i="44" s="1"/>
  <c r="G320" i="44"/>
  <c r="I328" i="44"/>
  <c r="I329" i="44" s="1" a="1"/>
  <c r="I329" i="44" s="1"/>
  <c r="H313" i="44"/>
  <c r="H342" i="44"/>
  <c r="H343" i="44" s="1" a="1"/>
  <c r="H343" i="44" s="1"/>
  <c r="J365" i="44"/>
  <c r="J366" i="44" s="1" a="1"/>
  <c r="J366" i="44" s="1"/>
  <c r="G373" i="44"/>
  <c r="G374" i="44" s="1" a="1"/>
  <c r="G374" i="44" s="1"/>
  <c r="I272" i="44"/>
  <c r="I273" i="44" s="1"/>
  <c r="I274" i="44" s="1"/>
  <c r="I275" i="44" s="1" a="1"/>
  <c r="I275" i="44" s="1"/>
  <c r="G358" i="44"/>
  <c r="G359" i="44" s="1" a="1"/>
  <c r="G359" i="44" s="1"/>
  <c r="H365" i="44"/>
  <c r="H366" i="44" s="1" a="1"/>
  <c r="H366" i="44" s="1"/>
  <c r="K306" i="44"/>
  <c r="J380" i="44"/>
  <c r="J381" i="44" s="1" a="1"/>
  <c r="J381" i="44" s="1"/>
  <c r="I373" i="44"/>
  <c r="I374" i="44" s="1" a="1"/>
  <c r="I374" i="44" s="1"/>
  <c r="J358" i="44"/>
  <c r="J289" i="44"/>
  <c r="J290" i="44" s="1"/>
  <c r="J291" i="44" s="1"/>
  <c r="J292" i="44" s="1" a="1"/>
  <c r="J292" i="44" s="1"/>
  <c r="J335" i="44"/>
  <c r="J336" i="44" s="1" a="1"/>
  <c r="J336" i="44" s="1"/>
  <c r="K272" i="44"/>
  <c r="K273" i="44" s="1"/>
  <c r="K274" i="44" s="1"/>
  <c r="K275" i="44" s="1" a="1"/>
  <c r="K275" i="44" s="1"/>
  <c r="I335" i="44"/>
  <c r="I336" i="44" s="1" a="1"/>
  <c r="I336" i="44" s="1"/>
  <c r="H351" i="44"/>
  <c r="K380" i="44"/>
  <c r="K381" i="44" s="1" a="1"/>
  <c r="K381" i="44" s="1"/>
  <c r="J306" i="44"/>
  <c r="G313" i="44"/>
  <c r="G314" i="44" s="1" a="1"/>
  <c r="G314" i="44" s="1"/>
  <c r="I358" i="44"/>
  <c r="K373" i="44"/>
  <c r="K374" i="44" s="1" a="1"/>
  <c r="K374" i="44" s="1"/>
  <c r="G306" i="44"/>
  <c r="G307" i="44" s="1" a="1"/>
  <c r="G307" i="44" s="1"/>
  <c r="I380" i="44"/>
  <c r="I381" i="44" s="1" a="1"/>
  <c r="I381" i="44" s="1"/>
  <c r="K328" i="44"/>
  <c r="K329" i="44" s="1" a="1"/>
  <c r="K329" i="44" s="1"/>
  <c r="G335" i="44"/>
  <c r="I342" i="44"/>
  <c r="I343" i="44" s="1" a="1"/>
  <c r="I343" i="44" s="1"/>
  <c r="I351" i="44"/>
  <c r="K342" i="44"/>
  <c r="K343" i="44" s="1" a="1"/>
  <c r="K343" i="44" s="1"/>
  <c r="G351" i="44"/>
  <c r="G352" i="44" s="1" a="1"/>
  <c r="G352" i="44" s="1"/>
  <c r="K313" i="44"/>
  <c r="J342" i="44"/>
  <c r="J343" i="44" s="1" a="1"/>
  <c r="J343" i="44" s="1"/>
  <c r="G97" i="51"/>
  <c r="R97" i="51"/>
  <c r="G382" i="44"/>
  <c r="K337" i="44"/>
  <c r="K97" i="51"/>
  <c r="H272" i="44"/>
  <c r="K289" i="44"/>
  <c r="K290" i="44" s="1"/>
  <c r="K291" i="44" s="1"/>
  <c r="K292" i="44" s="1" a="1"/>
  <c r="K292" i="44" s="1"/>
  <c r="H93" i="51"/>
  <c r="R93" i="51"/>
  <c r="K93" i="51"/>
  <c r="G264" i="44"/>
  <c r="J97" i="51"/>
  <c r="I281" i="44"/>
  <c r="Q93" i="51"/>
  <c r="T93" i="51"/>
  <c r="I289" i="44"/>
  <c r="G289" i="44"/>
  <c r="G290" i="44" s="1"/>
  <c r="G291" i="44" s="1"/>
  <c r="G292" i="44" s="1" a="1"/>
  <c r="G292" i="44" s="1"/>
  <c r="J264" i="44"/>
  <c r="I93" i="51"/>
  <c r="H367" i="44"/>
  <c r="H368" i="44" s="1"/>
  <c r="H369" i="44" s="1" a="1"/>
  <c r="H369" i="44" s="1"/>
  <c r="J322" i="44"/>
  <c r="J323" i="44" s="1"/>
  <c r="J324" i="44" s="1" a="1"/>
  <c r="J324" i="44" s="1"/>
  <c r="K322" i="44"/>
  <c r="K323" i="44" s="1"/>
  <c r="K324" i="44" s="1" a="1"/>
  <c r="K324" i="44" s="1"/>
  <c r="K382" i="44"/>
  <c r="K383" i="44" s="1"/>
  <c r="K384" i="44" s="1" a="1"/>
  <c r="K384" i="44" s="1"/>
  <c r="J344" i="44"/>
  <c r="J345" i="44" s="1"/>
  <c r="J346" i="44" s="1" a="1"/>
  <c r="J346" i="44" s="1"/>
  <c r="H337" i="44"/>
  <c r="H338" i="44" s="1"/>
  <c r="H339" i="44" s="1" a="1"/>
  <c r="H339" i="44" s="1"/>
  <c r="H330" i="44"/>
  <c r="H331" i="44" s="1"/>
  <c r="H332" i="44" s="1" a="1"/>
  <c r="H332" i="44" s="1"/>
  <c r="G344" i="44"/>
  <c r="G345" i="44" s="1"/>
  <c r="G346" i="44" s="1" a="1"/>
  <c r="G346" i="44" s="1"/>
  <c r="J330" i="44"/>
  <c r="J331" i="44" s="1"/>
  <c r="J332" i="44" s="1" a="1"/>
  <c r="J332" i="44" s="1"/>
  <c r="I337" i="44"/>
  <c r="I338" i="44" s="1"/>
  <c r="I339" i="44" s="1" a="1"/>
  <c r="I339" i="44" s="1"/>
  <c r="H130" i="44" a="1"/>
  <c r="H130" i="44" s="1"/>
  <c r="H131" i="44" s="1"/>
  <c r="H132" i="44" s="1"/>
  <c r="H133" i="44" s="1" a="1"/>
  <c r="H133" i="44" s="1"/>
  <c r="K138" i="44"/>
  <c r="K139" i="44" s="1"/>
  <c r="K140" i="44" s="1" a="1"/>
  <c r="K140" i="44" s="1"/>
  <c r="H139" i="44"/>
  <c r="H140" i="44" s="1" a="1"/>
  <c r="H140" i="44" s="1"/>
  <c r="K130" i="44" a="1"/>
  <c r="K130" i="44" s="1"/>
  <c r="K131" i="44" s="1"/>
  <c r="G69" i="44"/>
  <c r="U23" i="51"/>
  <c r="U12" i="51" s="1" a="1"/>
  <c r="U12" i="51" s="1"/>
  <c r="G63" i="44" a="1"/>
  <c r="G63" i="44" s="1"/>
  <c r="G64" i="44" s="1"/>
  <c r="B172" i="42"/>
  <c r="K94" i="44"/>
  <c r="K95" i="44" s="1" a="1"/>
  <c r="K95" i="44" s="1"/>
  <c r="I85" i="44" a="1"/>
  <c r="I85" i="44" s="1"/>
  <c r="K85" i="44" a="1"/>
  <c r="K85" i="44" s="1"/>
  <c r="K86" i="44" s="1"/>
  <c r="H85" i="44" a="1"/>
  <c r="H85" i="44" s="1"/>
  <c r="H86" i="44" s="1"/>
  <c r="H87" i="44" s="1"/>
  <c r="H88" i="44" s="1" a="1"/>
  <c r="H88" i="44" s="1"/>
  <c r="H94" i="44"/>
  <c r="H95" i="44" s="1" a="1"/>
  <c r="H95" i="44" s="1"/>
  <c r="I121" i="44"/>
  <c r="I122" i="44" s="1" a="1"/>
  <c r="I122" i="44" s="1"/>
  <c r="I123" i="44" s="1"/>
  <c r="I124" i="44" s="1"/>
  <c r="I125" i="44" s="1" a="1"/>
  <c r="I125" i="44" s="1"/>
  <c r="J129" i="44"/>
  <c r="J77" i="44" a="1"/>
  <c r="J77" i="44" s="1"/>
  <c r="J78" i="44" s="1"/>
  <c r="J79" i="44" s="1"/>
  <c r="J80" i="44" s="1" a="1"/>
  <c r="J80" i="44" s="1"/>
  <c r="G115" i="44" a="1"/>
  <c r="G115" i="44" s="1"/>
  <c r="G116" i="44" s="1"/>
  <c r="G117" i="44" s="1"/>
  <c r="G118" i="44" s="1" a="1"/>
  <c r="G118" i="44" s="1"/>
  <c r="J122" i="44" a="1"/>
  <c r="J122" i="44" s="1"/>
  <c r="J123" i="44" s="1"/>
  <c r="J124" i="44" s="1"/>
  <c r="J125" i="44" s="1" a="1"/>
  <c r="J125" i="44" s="1"/>
  <c r="K99" i="44" a="1"/>
  <c r="K99" i="44" s="1"/>
  <c r="K100" i="44" s="1"/>
  <c r="K101" i="44" s="1"/>
  <c r="K102" i="44" s="1" a="1"/>
  <c r="K102" i="44" s="1"/>
  <c r="H77" i="44" a="1"/>
  <c r="H77" i="44" s="1"/>
  <c r="H78" i="44" s="1"/>
  <c r="H79" i="44" s="1"/>
  <c r="J114" i="44"/>
  <c r="G84" i="44"/>
  <c r="G129" i="44"/>
  <c r="I76" i="44"/>
  <c r="G91" i="44"/>
  <c r="J107" i="44"/>
  <c r="G121" i="44"/>
  <c r="K77" i="44" a="1"/>
  <c r="K77" i="44" s="1"/>
  <c r="K78" i="44" s="1"/>
  <c r="K79" i="44" s="1"/>
  <c r="K80" i="44" s="1" a="1"/>
  <c r="K80" i="44" s="1"/>
  <c r="I98" i="44"/>
  <c r="J84" i="44"/>
  <c r="G76" i="44"/>
  <c r="H122" i="44" a="1"/>
  <c r="H122" i="44" s="1"/>
  <c r="H123" i="44" s="1"/>
  <c r="H124" i="44" s="1"/>
  <c r="H125" i="44" s="1" a="1"/>
  <c r="H125" i="44" s="1"/>
  <c r="I136" i="44"/>
  <c r="G107" i="44"/>
  <c r="I129" i="44"/>
  <c r="I114" i="44"/>
  <c r="H99" i="44" a="1"/>
  <c r="H99" i="44" s="1"/>
  <c r="H100" i="44" s="1"/>
  <c r="H101" i="44" s="1"/>
  <c r="H102" i="44" s="1" a="1"/>
  <c r="H102" i="44" s="1"/>
  <c r="J98" i="44"/>
  <c r="G98" i="44"/>
  <c r="I91" i="44"/>
  <c r="J91" i="44"/>
  <c r="J136" i="44"/>
  <c r="G136" i="44"/>
  <c r="J69" i="44"/>
  <c r="I69" i="44"/>
  <c r="J62" i="44"/>
  <c r="I62" i="44"/>
  <c r="J337" i="44" l="1"/>
  <c r="J338" i="44" s="1"/>
  <c r="J339" i="44" s="1" a="1"/>
  <c r="J339" i="44" s="1"/>
  <c r="U93" i="51"/>
  <c r="U128" i="51" s="1" a="1"/>
  <c r="U128" i="51" s="1"/>
  <c r="I97" i="51"/>
  <c r="I86" i="51" s="1" a="1"/>
  <c r="I86" i="51" s="1"/>
  <c r="J367" i="44"/>
  <c r="J368" i="44" s="1"/>
  <c r="J369" i="44" s="1" a="1"/>
  <c r="J369" i="44" s="1"/>
  <c r="G315" i="44"/>
  <c r="G316" i="44" s="1"/>
  <c r="G317" i="44" s="1" a="1"/>
  <c r="G317" i="44" s="1"/>
  <c r="K330" i="44"/>
  <c r="K331" i="44" s="1"/>
  <c r="K332" i="44" s="1" a="1"/>
  <c r="K332" i="44" s="1"/>
  <c r="I330" i="44"/>
  <c r="I331" i="44" s="1"/>
  <c r="I332" i="44" s="1" a="1"/>
  <c r="I332" i="44" s="1"/>
  <c r="I321" i="44" a="1"/>
  <c r="I321" i="44" s="1"/>
  <c r="I322" i="44" s="1"/>
  <c r="I323" i="44" s="1"/>
  <c r="G330" i="44"/>
  <c r="G331" i="44" s="1"/>
  <c r="G332" i="44" s="1" a="1"/>
  <c r="G332" i="44" s="1"/>
  <c r="G375" i="44"/>
  <c r="G376" i="44" s="1"/>
  <c r="G377" i="44" s="1" a="1"/>
  <c r="G377" i="44" s="1"/>
  <c r="G308" i="44"/>
  <c r="G309" i="44" s="1"/>
  <c r="G310" i="44" s="1" a="1"/>
  <c r="G310" i="44" s="1"/>
  <c r="K344" i="44"/>
  <c r="K345" i="44" s="1"/>
  <c r="K346" i="44" s="1" a="1"/>
  <c r="K346" i="44" s="1"/>
  <c r="T97" i="51"/>
  <c r="T132" i="51" s="1" a="1"/>
  <c r="T132" i="51" s="1"/>
  <c r="I344" i="44"/>
  <c r="I345" i="44" s="1"/>
  <c r="I346" i="44" s="1" a="1"/>
  <c r="I346" i="44" s="1"/>
  <c r="I375" i="44"/>
  <c r="I376" i="44" s="1"/>
  <c r="I377" i="44" s="1" a="1"/>
  <c r="I377" i="44" s="1"/>
  <c r="K375" i="44"/>
  <c r="K376" i="44" s="1"/>
  <c r="K377" i="44" s="1" a="1"/>
  <c r="K377" i="44" s="1"/>
  <c r="G336" i="44" a="1"/>
  <c r="G336" i="44" s="1"/>
  <c r="G337" i="44" s="1"/>
  <c r="G338" i="44" s="1"/>
  <c r="H80" i="44" a="1"/>
  <c r="H80" i="44" s="1"/>
  <c r="H23" i="51"/>
  <c r="H12" i="51" s="1" a="1"/>
  <c r="H12" i="51" s="1"/>
  <c r="Q128" i="51" a="1"/>
  <c r="Q128" i="51" s="1"/>
  <c r="Q82" i="51" a="1"/>
  <c r="Q82" i="51" s="1"/>
  <c r="H128" i="51" a="1"/>
  <c r="H128" i="51" s="1"/>
  <c r="H82" i="51" a="1"/>
  <c r="H82" i="51" s="1"/>
  <c r="R128" i="51" a="1"/>
  <c r="R128" i="51" s="1"/>
  <c r="R82" i="51" a="1"/>
  <c r="R82" i="51" s="1"/>
  <c r="U82" i="51" a="1"/>
  <c r="U82" i="51" s="1"/>
  <c r="I132" i="51" a="1"/>
  <c r="I132" i="51" s="1"/>
  <c r="G132" i="51" a="1"/>
  <c r="G132" i="51" s="1"/>
  <c r="G86" i="51" a="1"/>
  <c r="G86" i="51" s="1"/>
  <c r="T128" i="51" a="1"/>
  <c r="T128" i="51" s="1"/>
  <c r="T82" i="51" a="1"/>
  <c r="T82" i="51" s="1"/>
  <c r="I128" i="51" a="1"/>
  <c r="I128" i="51" s="1"/>
  <c r="I82" i="51" a="1"/>
  <c r="I82" i="51" s="1"/>
  <c r="J132" i="51" a="1"/>
  <c r="J132" i="51" s="1"/>
  <c r="J86" i="51" a="1"/>
  <c r="J86" i="51" s="1"/>
  <c r="K132" i="51" a="1"/>
  <c r="K132" i="51" s="1"/>
  <c r="K86" i="51" a="1"/>
  <c r="K86" i="51" s="1"/>
  <c r="R132" i="51" a="1"/>
  <c r="R132" i="51" s="1"/>
  <c r="R86" i="51" a="1"/>
  <c r="R86" i="51" s="1"/>
  <c r="K128" i="51" a="1"/>
  <c r="K128" i="51" s="1"/>
  <c r="K82" i="51" a="1"/>
  <c r="K82" i="51" s="1"/>
  <c r="U47" i="51"/>
  <c r="U97" i="51"/>
  <c r="Q97" i="51"/>
  <c r="U58" i="51" a="1"/>
  <c r="U58" i="51" s="1"/>
  <c r="K96" i="51"/>
  <c r="G100" i="51"/>
  <c r="I100" i="51"/>
  <c r="G95" i="51"/>
  <c r="T96" i="51"/>
  <c r="K100" i="51"/>
  <c r="J100" i="51"/>
  <c r="J96" i="51"/>
  <c r="R96" i="51"/>
  <c r="K338" i="44"/>
  <c r="K339" i="44" s="1" a="1"/>
  <c r="K339" i="44" s="1"/>
  <c r="G94" i="51"/>
  <c r="H344" i="44"/>
  <c r="H345" i="44" s="1"/>
  <c r="H346" i="44" s="1" a="1"/>
  <c r="H346" i="44" s="1"/>
  <c r="I98" i="51"/>
  <c r="G360" i="44"/>
  <c r="H322" i="44"/>
  <c r="S98" i="51"/>
  <c r="J98" i="51"/>
  <c r="Q98" i="51"/>
  <c r="J375" i="44"/>
  <c r="J376" i="44" s="1"/>
  <c r="J377" i="44" s="1" a="1"/>
  <c r="J377" i="44" s="1"/>
  <c r="K367" i="44"/>
  <c r="H375" i="44"/>
  <c r="I382" i="44"/>
  <c r="H98" i="51"/>
  <c r="G353" i="44"/>
  <c r="G354" i="44" s="1"/>
  <c r="G355" i="44" s="1" a="1"/>
  <c r="G355" i="44" s="1"/>
  <c r="G383" i="44"/>
  <c r="G384" i="44" s="1" a="1"/>
  <c r="G384" i="44" s="1"/>
  <c r="J99" i="51"/>
  <c r="I99" i="51"/>
  <c r="I367" i="44"/>
  <c r="H99" i="51"/>
  <c r="U99" i="51"/>
  <c r="K98" i="51"/>
  <c r="J382" i="44"/>
  <c r="H382" i="44"/>
  <c r="H383" i="44" s="1"/>
  <c r="H384" i="44" s="1" a="1"/>
  <c r="H384" i="44" s="1"/>
  <c r="H273" i="44"/>
  <c r="H274" i="44" s="1"/>
  <c r="H275" i="44" s="1" a="1"/>
  <c r="H275" i="44" s="1"/>
  <c r="J265" i="44"/>
  <c r="J266" i="44" s="1"/>
  <c r="J267" i="44" s="1" a="1"/>
  <c r="J267" i="44" s="1"/>
  <c r="I282" i="44"/>
  <c r="I283" i="44" s="1"/>
  <c r="I284" i="44" s="1" a="1"/>
  <c r="I284" i="44" s="1"/>
  <c r="I290" i="44"/>
  <c r="I291" i="44" s="1"/>
  <c r="I292" i="44" s="1" a="1"/>
  <c r="I292" i="44" s="1"/>
  <c r="G265" i="44"/>
  <c r="G266" i="44" s="1"/>
  <c r="G267" i="44" s="1" a="1"/>
  <c r="G267" i="44" s="1"/>
  <c r="R25" i="51"/>
  <c r="R14" i="51" s="1" a="1"/>
  <c r="R14" i="51" s="1"/>
  <c r="J137" i="44" a="1"/>
  <c r="J137" i="44" s="1"/>
  <c r="K132" i="44"/>
  <c r="K133" i="44" s="1" a="1"/>
  <c r="K133" i="44" s="1"/>
  <c r="G137" i="44" a="1"/>
  <c r="G137" i="44" s="1"/>
  <c r="G138" i="44" s="1"/>
  <c r="G139" i="44" s="1"/>
  <c r="G140" i="44" s="1" a="1"/>
  <c r="G140" i="44" s="1"/>
  <c r="I137" i="44" a="1"/>
  <c r="I137" i="44" s="1"/>
  <c r="I138" i="44" s="1"/>
  <c r="I139" i="44" s="1"/>
  <c r="I140" i="44" s="1" a="1"/>
  <c r="I140" i="44" s="1"/>
  <c r="R26" i="51"/>
  <c r="R15" i="51" s="1" a="1"/>
  <c r="R15" i="51" s="1"/>
  <c r="I130" i="44" a="1"/>
  <c r="I130" i="44" s="1"/>
  <c r="I131" i="44" s="1"/>
  <c r="I132" i="44" s="1"/>
  <c r="I133" i="44" s="1" a="1"/>
  <c r="I133" i="44" s="1"/>
  <c r="G130" i="44" a="1"/>
  <c r="G130" i="44" s="1"/>
  <c r="G131" i="44" s="1"/>
  <c r="J130" i="44" a="1"/>
  <c r="J130" i="44" s="1"/>
  <c r="U26" i="51"/>
  <c r="U15" i="51" s="1" a="1"/>
  <c r="U15" i="51" s="1"/>
  <c r="G65" i="44"/>
  <c r="G66" i="44" s="1" a="1"/>
  <c r="G66" i="44" s="1"/>
  <c r="S23" i="51"/>
  <c r="S12" i="51" s="1" a="1"/>
  <c r="S12" i="51" s="1"/>
  <c r="R23" i="51"/>
  <c r="R12" i="51" s="1" a="1"/>
  <c r="R12" i="51" s="1"/>
  <c r="K27" i="51"/>
  <c r="K16" i="51" s="1" a="1"/>
  <c r="K16" i="51" s="1"/>
  <c r="H26" i="51"/>
  <c r="H15" i="51" s="1" a="1"/>
  <c r="H15" i="51" s="1"/>
  <c r="H25" i="51"/>
  <c r="H14" i="51" s="1" a="1"/>
  <c r="H14" i="51" s="1"/>
  <c r="K23" i="51"/>
  <c r="K12" i="51" s="1" a="1"/>
  <c r="K12" i="51" s="1"/>
  <c r="T23" i="51"/>
  <c r="T12" i="51" s="1" a="1"/>
  <c r="T12" i="51" s="1"/>
  <c r="H27" i="51"/>
  <c r="H16" i="51" s="1" a="1"/>
  <c r="H16" i="51" s="1"/>
  <c r="K26" i="51"/>
  <c r="K15" i="51" s="1" a="1"/>
  <c r="K15" i="51" s="1"/>
  <c r="Q22" i="51"/>
  <c r="Q11" i="51" s="1" a="1"/>
  <c r="Q11" i="51" s="1"/>
  <c r="J23" i="51"/>
  <c r="J12" i="51" s="1" a="1"/>
  <c r="J12" i="51" s="1"/>
  <c r="J92" i="44" a="1"/>
  <c r="J92" i="44" s="1"/>
  <c r="J93" i="44" s="1"/>
  <c r="I92" i="44" a="1"/>
  <c r="I92" i="44" s="1"/>
  <c r="I93" i="44" s="1"/>
  <c r="G92" i="44" a="1"/>
  <c r="G92" i="44" s="1"/>
  <c r="G93" i="44" s="1"/>
  <c r="G94" i="44" s="1"/>
  <c r="G95" i="44" s="1" a="1"/>
  <c r="G95" i="44" s="1"/>
  <c r="K87" i="44"/>
  <c r="K88" i="44" s="1" a="1"/>
  <c r="K88" i="44" s="1"/>
  <c r="J85" i="44" a="1"/>
  <c r="J85" i="44" s="1"/>
  <c r="J86" i="44" s="1"/>
  <c r="G85" i="44" a="1"/>
  <c r="G85" i="44" s="1"/>
  <c r="G86" i="44" s="1"/>
  <c r="I86" i="44"/>
  <c r="I87" i="44" s="1"/>
  <c r="I88" i="44" s="1" a="1"/>
  <c r="I88" i="44" s="1"/>
  <c r="I77" i="44" a="1"/>
  <c r="I77" i="44" s="1"/>
  <c r="I78" i="44" s="1"/>
  <c r="I79" i="44" s="1"/>
  <c r="I80" i="44" s="1" a="1"/>
  <c r="I80" i="44" s="1"/>
  <c r="G108" i="44" a="1"/>
  <c r="G108" i="44" s="1"/>
  <c r="G109" i="44" s="1"/>
  <c r="G110" i="44" s="1"/>
  <c r="G111" i="44" s="1" a="1"/>
  <c r="G111" i="44" s="1"/>
  <c r="I99" i="44" a="1"/>
  <c r="I99" i="44" s="1"/>
  <c r="I100" i="44" s="1"/>
  <c r="I101" i="44" s="1"/>
  <c r="I102" i="44" s="1" a="1"/>
  <c r="I102" i="44" s="1"/>
  <c r="G99" i="44" a="1"/>
  <c r="G99" i="44" s="1"/>
  <c r="G100" i="44" s="1"/>
  <c r="G101" i="44" s="1"/>
  <c r="G102" i="44" s="1" a="1"/>
  <c r="G102" i="44" s="1"/>
  <c r="J99" i="44" a="1"/>
  <c r="J99" i="44" s="1"/>
  <c r="J100" i="44" s="1"/>
  <c r="J101" i="44" s="1"/>
  <c r="J102" i="44" s="1" a="1"/>
  <c r="J102" i="44" s="1"/>
  <c r="G70" i="44" a="1"/>
  <c r="G70" i="44" s="1"/>
  <c r="G71" i="44" s="1"/>
  <c r="G98" i="51" l="1"/>
  <c r="G133" i="51" s="1" a="1"/>
  <c r="G133" i="51" s="1"/>
  <c r="T86" i="51" a="1"/>
  <c r="T86" i="51" s="1"/>
  <c r="I324" i="44" a="1"/>
  <c r="I324" i="44" s="1"/>
  <c r="I96" i="51"/>
  <c r="G339" i="44" a="1"/>
  <c r="G339" i="44" s="1"/>
  <c r="G99" i="51"/>
  <c r="N14" i="50"/>
  <c r="N16" i="50"/>
  <c r="N15" i="50"/>
  <c r="F15" i="50"/>
  <c r="F16" i="50"/>
  <c r="F14" i="50"/>
  <c r="H51" i="51"/>
  <c r="R49" i="51"/>
  <c r="U50" i="51"/>
  <c r="K51" i="51"/>
  <c r="K50" i="51"/>
  <c r="H49" i="51"/>
  <c r="R50" i="51"/>
  <c r="H50" i="51"/>
  <c r="Q46" i="51"/>
  <c r="R121" i="51"/>
  <c r="R117" i="51"/>
  <c r="R131" i="51" a="1"/>
  <c r="R131" i="51" s="1"/>
  <c r="R85" i="51" a="1"/>
  <c r="R85" i="51" s="1"/>
  <c r="K131" i="51" a="1"/>
  <c r="K131" i="51" s="1"/>
  <c r="K85" i="51" a="1"/>
  <c r="K85" i="51" s="1"/>
  <c r="U132" i="51" a="1"/>
  <c r="U132" i="51" s="1"/>
  <c r="U86" i="51" a="1"/>
  <c r="U86" i="51" s="1"/>
  <c r="K133" i="51" a="1"/>
  <c r="K133" i="51" s="1"/>
  <c r="K87" i="51" a="1"/>
  <c r="K87" i="51" s="1"/>
  <c r="S133" i="51" a="1"/>
  <c r="S133" i="51" s="1"/>
  <c r="S87" i="51" a="1"/>
  <c r="S87" i="51" s="1"/>
  <c r="U134" i="51" a="1"/>
  <c r="U134" i="51" s="1"/>
  <c r="U88" i="51" a="1"/>
  <c r="U88" i="51" s="1"/>
  <c r="G87" i="51" a="1"/>
  <c r="G87" i="51" s="1"/>
  <c r="J131" i="51" a="1"/>
  <c r="J131" i="51" s="1"/>
  <c r="J85" i="51" a="1"/>
  <c r="J85" i="51" s="1"/>
  <c r="K121" i="51"/>
  <c r="G121" i="51"/>
  <c r="T117" i="51"/>
  <c r="H133" i="51" a="1"/>
  <c r="H133" i="51" s="1"/>
  <c r="H87" i="51" a="1"/>
  <c r="H87" i="51" s="1"/>
  <c r="H134" i="51" a="1"/>
  <c r="H134" i="51" s="1"/>
  <c r="H88" i="51" a="1"/>
  <c r="H88" i="51" s="1"/>
  <c r="J135" i="51" a="1"/>
  <c r="J135" i="51" s="1"/>
  <c r="J89" i="51" a="1"/>
  <c r="J89" i="51" s="1"/>
  <c r="H117" i="51"/>
  <c r="I121" i="51"/>
  <c r="T121" i="51"/>
  <c r="I134" i="51" a="1"/>
  <c r="I134" i="51" s="1"/>
  <c r="I88" i="51" a="1"/>
  <c r="I88" i="51" s="1"/>
  <c r="T131" i="51" a="1"/>
  <c r="T131" i="51" s="1"/>
  <c r="T85" i="51" a="1"/>
  <c r="T85" i="51" s="1"/>
  <c r="J133" i="51" a="1"/>
  <c r="J133" i="51" s="1"/>
  <c r="J87" i="51" a="1"/>
  <c r="J87" i="51" s="1"/>
  <c r="K135" i="51" a="1"/>
  <c r="K135" i="51" s="1"/>
  <c r="K89" i="51" a="1"/>
  <c r="K89" i="51" s="1"/>
  <c r="J134" i="51" a="1"/>
  <c r="J134" i="51" s="1"/>
  <c r="J88" i="51" a="1"/>
  <c r="J88" i="51" s="1"/>
  <c r="G129" i="51" a="1"/>
  <c r="G129" i="51" s="1"/>
  <c r="G83" i="51" a="1"/>
  <c r="G83" i="51" s="1"/>
  <c r="G130" i="51" a="1"/>
  <c r="G130" i="51" s="1"/>
  <c r="G84" i="51" a="1"/>
  <c r="G84" i="51" s="1"/>
  <c r="Q132" i="51" a="1"/>
  <c r="Q132" i="51" s="1"/>
  <c r="Q86" i="51" a="1"/>
  <c r="Q86" i="51" s="1"/>
  <c r="K117" i="51"/>
  <c r="I117" i="51"/>
  <c r="U117" i="51"/>
  <c r="Q117" i="51"/>
  <c r="G135" i="51" a="1"/>
  <c r="G135" i="51" s="1"/>
  <c r="G89" i="51" a="1"/>
  <c r="G89" i="51" s="1"/>
  <c r="I133" i="51" a="1"/>
  <c r="I133" i="51" s="1"/>
  <c r="I87" i="51" a="1"/>
  <c r="I87" i="51" s="1"/>
  <c r="J121" i="51"/>
  <c r="Q133" i="51" a="1"/>
  <c r="Q133" i="51" s="1"/>
  <c r="Q87" i="51" a="1"/>
  <c r="Q87" i="51" s="1"/>
  <c r="I135" i="51" a="1"/>
  <c r="I135" i="51" s="1"/>
  <c r="I89" i="51" a="1"/>
  <c r="I89" i="51" s="1"/>
  <c r="J47" i="51"/>
  <c r="H47" i="51"/>
  <c r="K47" i="51"/>
  <c r="R47" i="51"/>
  <c r="S47" i="51"/>
  <c r="T47" i="51"/>
  <c r="S97" i="51"/>
  <c r="R61" i="51" a="1"/>
  <c r="R61" i="51" s="1"/>
  <c r="T58" i="51" a="1"/>
  <c r="T58" i="51" s="1"/>
  <c r="J58" i="51" a="1"/>
  <c r="J58" i="51" s="1"/>
  <c r="H61" i="51" a="1"/>
  <c r="H61" i="51" s="1"/>
  <c r="K58" i="51" a="1"/>
  <c r="K58" i="51" s="1"/>
  <c r="H60" i="51" a="1"/>
  <c r="H60" i="51" s="1"/>
  <c r="Q57" i="51" a="1"/>
  <c r="Q57" i="51" s="1"/>
  <c r="K62" i="51" a="1"/>
  <c r="K62" i="51" s="1"/>
  <c r="R60" i="51" a="1"/>
  <c r="R60" i="51" s="1"/>
  <c r="H58" i="51" a="1"/>
  <c r="H58" i="51" s="1"/>
  <c r="K61" i="51" a="1"/>
  <c r="K61" i="51" s="1"/>
  <c r="R58" i="51" a="1"/>
  <c r="R58" i="51" s="1"/>
  <c r="H62" i="51" a="1"/>
  <c r="H62" i="51" s="1"/>
  <c r="S58" i="51" a="1"/>
  <c r="S58" i="51" s="1"/>
  <c r="U61" i="51" a="1"/>
  <c r="U61" i="51" s="1"/>
  <c r="J93" i="51"/>
  <c r="U98" i="51"/>
  <c r="H97" i="51"/>
  <c r="K99" i="51"/>
  <c r="K368" i="44"/>
  <c r="K369" i="44" s="1" a="1"/>
  <c r="K369" i="44" s="1"/>
  <c r="H376" i="44"/>
  <c r="H377" i="44" s="1" a="1"/>
  <c r="H377" i="44" s="1"/>
  <c r="Q94" i="51"/>
  <c r="T98" i="51"/>
  <c r="H323" i="44"/>
  <c r="H324" i="44" s="1" a="1"/>
  <c r="H324" i="44" s="1"/>
  <c r="H100" i="51"/>
  <c r="R99" i="51"/>
  <c r="Q99" i="51"/>
  <c r="I383" i="44"/>
  <c r="I384" i="44" s="1" a="1"/>
  <c r="I384" i="44" s="1"/>
  <c r="G361" i="44"/>
  <c r="G362" i="44" s="1" a="1"/>
  <c r="G362" i="44" s="1"/>
  <c r="J383" i="44"/>
  <c r="J384" i="44" s="1" a="1"/>
  <c r="J384" i="44" s="1"/>
  <c r="I368" i="44"/>
  <c r="I369" i="44" s="1" a="1"/>
  <c r="I369" i="44" s="1"/>
  <c r="G93" i="51"/>
  <c r="S93" i="51"/>
  <c r="G132" i="44"/>
  <c r="G133" i="44" s="1" a="1"/>
  <c r="G133" i="44" s="1"/>
  <c r="S26" i="51"/>
  <c r="S15" i="51" s="1" a="1"/>
  <c r="S15" i="51" s="1"/>
  <c r="Q26" i="51"/>
  <c r="Q15" i="51" s="1" a="1"/>
  <c r="Q15" i="51" s="1"/>
  <c r="S25" i="51"/>
  <c r="S14" i="51" s="1" a="1"/>
  <c r="S14" i="51" s="1"/>
  <c r="J131" i="44"/>
  <c r="J132" i="44" s="1"/>
  <c r="J133" i="44" s="1" a="1"/>
  <c r="J133" i="44" s="1"/>
  <c r="U25" i="51"/>
  <c r="U14" i="51" s="1" a="1"/>
  <c r="U14" i="51" s="1"/>
  <c r="J138" i="44"/>
  <c r="J139" i="44" s="1"/>
  <c r="J140" i="44" s="1" a="1"/>
  <c r="J140" i="44" s="1"/>
  <c r="G21" i="51"/>
  <c r="G10" i="51" s="1" a="1"/>
  <c r="G10" i="51" s="1"/>
  <c r="Q21" i="51"/>
  <c r="Q10" i="51" s="1" a="1"/>
  <c r="Q10" i="51" s="1"/>
  <c r="G27" i="51"/>
  <c r="G16" i="51" s="1" a="1"/>
  <c r="G16" i="51" s="1"/>
  <c r="I27" i="51"/>
  <c r="I16" i="51" s="1" a="1"/>
  <c r="I16" i="51" s="1"/>
  <c r="G26" i="51"/>
  <c r="G15" i="51" s="1" a="1"/>
  <c r="G15" i="51" s="1"/>
  <c r="I25" i="51"/>
  <c r="I14" i="51" s="1" a="1"/>
  <c r="I14" i="51" s="1"/>
  <c r="K25" i="51"/>
  <c r="K14" i="51" s="1" a="1"/>
  <c r="K14" i="51" s="1"/>
  <c r="J27" i="51"/>
  <c r="J16" i="51" s="1" a="1"/>
  <c r="J16" i="51" s="1"/>
  <c r="I23" i="51"/>
  <c r="I12" i="51" s="1" a="1"/>
  <c r="I12" i="51" s="1"/>
  <c r="G87" i="44"/>
  <c r="G88" i="44" s="1" a="1"/>
  <c r="G88" i="44" s="1"/>
  <c r="J87" i="44"/>
  <c r="J88" i="44" s="1" a="1"/>
  <c r="J88" i="44" s="1"/>
  <c r="I94" i="44"/>
  <c r="I95" i="44" s="1" a="1"/>
  <c r="I95" i="44" s="1"/>
  <c r="J94" i="44"/>
  <c r="J95" i="44" s="1" a="1"/>
  <c r="J95" i="44" s="1"/>
  <c r="G72" i="44"/>
  <c r="G73" i="44" s="1" a="1"/>
  <c r="G73" i="44" s="1"/>
  <c r="I131" i="51" l="1" a="1"/>
  <c r="I131" i="51" s="1"/>
  <c r="I85" i="51" a="1"/>
  <c r="I85" i="51" s="1"/>
  <c r="G134" i="51" a="1"/>
  <c r="G134" i="51" s="1"/>
  <c r="G88" i="51" a="1"/>
  <c r="G88" i="51" s="1"/>
  <c r="E34" i="50" s="1"/>
  <c r="E38" i="50" s="1"/>
  <c r="Q14" i="50"/>
  <c r="Q16" i="50"/>
  <c r="Q15" i="50"/>
  <c r="G33" i="50"/>
  <c r="G37" i="50" s="1"/>
  <c r="G32" i="50"/>
  <c r="G36" i="50" s="1"/>
  <c r="G34" i="50"/>
  <c r="G38" i="50" s="1"/>
  <c r="O14" i="50"/>
  <c r="O16" i="50"/>
  <c r="O15" i="50"/>
  <c r="I16" i="50"/>
  <c r="I14" i="50"/>
  <c r="I15" i="50"/>
  <c r="H33" i="50"/>
  <c r="H37" i="50" s="1"/>
  <c r="H32" i="50"/>
  <c r="H36" i="50" s="1"/>
  <c r="H34" i="50"/>
  <c r="H38" i="50" s="1"/>
  <c r="F32" i="50"/>
  <c r="F36" i="50" s="1"/>
  <c r="F33" i="50"/>
  <c r="F37" i="50" s="1"/>
  <c r="F34" i="50"/>
  <c r="F38" i="50" s="1"/>
  <c r="I51" i="51"/>
  <c r="U49" i="51"/>
  <c r="I49" i="51"/>
  <c r="K49" i="51"/>
  <c r="G50" i="51"/>
  <c r="G51" i="51"/>
  <c r="S49" i="51"/>
  <c r="Q50" i="51"/>
  <c r="J51" i="51"/>
  <c r="S50" i="51"/>
  <c r="S128" i="51" a="1"/>
  <c r="S128" i="51" s="1"/>
  <c r="S82" i="51" a="1"/>
  <c r="S82" i="51" s="1"/>
  <c r="G128" i="51" a="1"/>
  <c r="G128" i="51" s="1"/>
  <c r="G82" i="51" a="1"/>
  <c r="G82" i="51" s="1"/>
  <c r="G124" i="51"/>
  <c r="G119" i="51"/>
  <c r="J122" i="51"/>
  <c r="H122" i="51"/>
  <c r="K122" i="51"/>
  <c r="H132" i="51" a="1"/>
  <c r="H132" i="51" s="1"/>
  <c r="H86" i="51" a="1"/>
  <c r="H86" i="51" s="1"/>
  <c r="U133" i="51" a="1"/>
  <c r="U133" i="51" s="1"/>
  <c r="U87" i="51" a="1"/>
  <c r="U87" i="51" s="1"/>
  <c r="G122" i="51"/>
  <c r="U121" i="51"/>
  <c r="J120" i="51"/>
  <c r="T133" i="51" a="1"/>
  <c r="T133" i="51" s="1"/>
  <c r="T87" i="51" a="1"/>
  <c r="T87" i="51" s="1"/>
  <c r="Q129" i="51" a="1"/>
  <c r="Q129" i="51" s="1"/>
  <c r="Q83" i="51" a="1"/>
  <c r="Q83" i="51" s="1"/>
  <c r="J128" i="51" a="1"/>
  <c r="J128" i="51" s="1"/>
  <c r="J82" i="51" a="1"/>
  <c r="J82" i="51" s="1"/>
  <c r="G118" i="51"/>
  <c r="T120" i="51"/>
  <c r="J124" i="51"/>
  <c r="U123" i="51"/>
  <c r="K120" i="51"/>
  <c r="H135" i="51" a="1"/>
  <c r="H135" i="51" s="1"/>
  <c r="H89" i="51" a="1"/>
  <c r="H89" i="51" s="1"/>
  <c r="S132" i="51" a="1"/>
  <c r="S132" i="51" s="1"/>
  <c r="S86" i="51" a="1"/>
  <c r="S86" i="51" s="1"/>
  <c r="I124" i="51"/>
  <c r="J123" i="51"/>
  <c r="I123" i="51"/>
  <c r="Q134" i="51" a="1"/>
  <c r="Q134" i="51" s="1"/>
  <c r="Q88" i="51" a="1"/>
  <c r="Q88" i="51" s="1"/>
  <c r="H123" i="51"/>
  <c r="S122" i="51"/>
  <c r="R120" i="51"/>
  <c r="R134" i="51" a="1"/>
  <c r="R134" i="51" s="1"/>
  <c r="R88" i="51" a="1"/>
  <c r="R88" i="51" s="1"/>
  <c r="K134" i="51" a="1"/>
  <c r="K134" i="51" s="1"/>
  <c r="K88" i="51" a="1"/>
  <c r="K88" i="51" s="1"/>
  <c r="I32" i="50" s="1"/>
  <c r="I36" i="50" s="1"/>
  <c r="Q122" i="51"/>
  <c r="I122" i="51"/>
  <c r="Q121" i="51"/>
  <c r="K124" i="51"/>
  <c r="G45" i="51"/>
  <c r="Q45" i="51"/>
  <c r="I47" i="51"/>
  <c r="J62" i="51" a="1"/>
  <c r="J62" i="51" s="1"/>
  <c r="Q61" i="51" a="1"/>
  <c r="Q61" i="51" s="1"/>
  <c r="G56" i="51" a="1"/>
  <c r="G56" i="51" s="1"/>
  <c r="G61" i="51" a="1"/>
  <c r="G61" i="51" s="1"/>
  <c r="S61" i="51" a="1"/>
  <c r="S61" i="51" s="1"/>
  <c r="I58" i="51" a="1"/>
  <c r="I58" i="51" s="1"/>
  <c r="K60" i="51" a="1"/>
  <c r="K60" i="51" s="1"/>
  <c r="I60" i="51" a="1"/>
  <c r="I60" i="51" s="1"/>
  <c r="I62" i="51" a="1"/>
  <c r="I62" i="51" s="1"/>
  <c r="G62" i="51" a="1"/>
  <c r="G62" i="51" s="1"/>
  <c r="Q56" i="51" a="1"/>
  <c r="Q56" i="51" s="1"/>
  <c r="U60" i="51" a="1"/>
  <c r="U60" i="51" s="1"/>
  <c r="S60" i="51" a="1"/>
  <c r="S60" i="51" s="1"/>
  <c r="U96" i="51"/>
  <c r="R98" i="51"/>
  <c r="S96" i="51"/>
  <c r="H96" i="51"/>
  <c r="T99" i="51"/>
  <c r="Q95" i="51"/>
  <c r="S99" i="51"/>
  <c r="Q25" i="51"/>
  <c r="T26" i="51"/>
  <c r="T15" i="51" s="1" a="1"/>
  <c r="T15" i="51" s="1"/>
  <c r="T25" i="51"/>
  <c r="T14" i="51" s="1" a="1"/>
  <c r="T14" i="51" s="1"/>
  <c r="F20" i="50"/>
  <c r="F18" i="50"/>
  <c r="N20" i="50"/>
  <c r="N19" i="50"/>
  <c r="N18" i="50"/>
  <c r="I26" i="51"/>
  <c r="I15" i="51" s="1" a="1"/>
  <c r="I15" i="51" s="1"/>
  <c r="G14" i="50" s="1"/>
  <c r="J26" i="51"/>
  <c r="J15" i="51" s="1" a="1"/>
  <c r="J15" i="51" s="1"/>
  <c r="J25" i="51"/>
  <c r="J14" i="51" s="1" a="1"/>
  <c r="J14" i="51" s="1"/>
  <c r="G22" i="51"/>
  <c r="G11" i="51" s="1" a="1"/>
  <c r="G11" i="51" s="1"/>
  <c r="G25" i="51"/>
  <c r="G14" i="51" s="1" a="1"/>
  <c r="G14" i="51" s="1"/>
  <c r="E33" i="50" l="1"/>
  <c r="E37" i="50" s="1"/>
  <c r="E32" i="50"/>
  <c r="E36" i="50" s="1"/>
  <c r="M33" i="50"/>
  <c r="M37" i="50" s="1"/>
  <c r="I120" i="51"/>
  <c r="G123" i="51"/>
  <c r="M34" i="50"/>
  <c r="M38" i="50" s="1"/>
  <c r="M32" i="50"/>
  <c r="M36" i="50" s="1"/>
  <c r="Q33" i="50"/>
  <c r="Q37" i="50" s="1"/>
  <c r="Q32" i="50"/>
  <c r="Q36" i="50" s="1"/>
  <c r="Q34" i="50"/>
  <c r="Q38" i="50" s="1"/>
  <c r="H16" i="50"/>
  <c r="H15" i="50"/>
  <c r="H14" i="50"/>
  <c r="I34" i="50"/>
  <c r="I38" i="50" s="1"/>
  <c r="E15" i="50"/>
  <c r="E16" i="50"/>
  <c r="E14" i="50"/>
  <c r="I33" i="50"/>
  <c r="I37" i="50" s="1"/>
  <c r="G15" i="50"/>
  <c r="P16" i="50"/>
  <c r="P14" i="50"/>
  <c r="P15" i="50"/>
  <c r="G16" i="50"/>
  <c r="I50" i="51"/>
  <c r="J50" i="51"/>
  <c r="J49" i="51"/>
  <c r="T49" i="51"/>
  <c r="G49" i="51"/>
  <c r="T50" i="51"/>
  <c r="G46" i="51"/>
  <c r="S134" i="51" a="1"/>
  <c r="S134" i="51" s="1"/>
  <c r="S88" i="51" a="1"/>
  <c r="S88" i="51" s="1"/>
  <c r="R133" i="51" a="1"/>
  <c r="R133" i="51" s="1"/>
  <c r="R87" i="51" a="1"/>
  <c r="R87" i="51" s="1"/>
  <c r="T122" i="51"/>
  <c r="U122" i="51"/>
  <c r="G117" i="51"/>
  <c r="K123" i="51"/>
  <c r="S121" i="51"/>
  <c r="H121" i="51"/>
  <c r="S117" i="51"/>
  <c r="H131" i="51" a="1"/>
  <c r="H131" i="51" s="1"/>
  <c r="H85" i="51" a="1"/>
  <c r="H85" i="51" s="1"/>
  <c r="R123" i="51"/>
  <c r="S131" i="51" a="1"/>
  <c r="S131" i="51" s="1"/>
  <c r="S85" i="51" a="1"/>
  <c r="S85" i="51" s="1"/>
  <c r="H124" i="51"/>
  <c r="J117" i="51"/>
  <c r="Q130" i="51" a="1"/>
  <c r="Q130" i="51" s="1"/>
  <c r="Q84" i="51" a="1"/>
  <c r="Q84" i="51" s="1"/>
  <c r="T134" i="51" a="1"/>
  <c r="T134" i="51" s="1"/>
  <c r="T88" i="51" a="1"/>
  <c r="T88" i="51" s="1"/>
  <c r="P32" i="50" s="1"/>
  <c r="P36" i="50" s="1"/>
  <c r="Q123" i="51"/>
  <c r="U131" i="51" a="1"/>
  <c r="U131" i="51" s="1"/>
  <c r="U85" i="51" a="1"/>
  <c r="U85" i="51" s="1"/>
  <c r="Q118" i="51"/>
  <c r="Q60" i="51" a="1"/>
  <c r="Q60" i="51" s="1"/>
  <c r="Q14" i="51" a="1"/>
  <c r="Q14" i="51" s="1"/>
  <c r="G57" i="51" a="1"/>
  <c r="G57" i="51" s="1"/>
  <c r="J61" i="51" a="1"/>
  <c r="J61" i="51" s="1"/>
  <c r="G60" i="51" a="1"/>
  <c r="G60" i="51" s="1"/>
  <c r="J60" i="51" a="1"/>
  <c r="J60" i="51" s="1"/>
  <c r="T60" i="51" a="1"/>
  <c r="T60" i="51" s="1"/>
  <c r="I61" i="51" a="1"/>
  <c r="I61" i="51" s="1"/>
  <c r="T61" i="51" a="1"/>
  <c r="T61" i="51" s="1"/>
  <c r="F19" i="50"/>
  <c r="Q20" i="50"/>
  <c r="Q18" i="50"/>
  <c r="Q19" i="50"/>
  <c r="O20" i="50"/>
  <c r="I20" i="50"/>
  <c r="O18" i="50"/>
  <c r="I18" i="50"/>
  <c r="O19" i="50"/>
  <c r="P33" i="50" l="1"/>
  <c r="P37" i="50" s="1"/>
  <c r="P34" i="50"/>
  <c r="P38" i="50" s="1"/>
  <c r="M15" i="50"/>
  <c r="M19" i="50" s="1"/>
  <c r="M16" i="50"/>
  <c r="M20" i="50" s="1"/>
  <c r="M14" i="50"/>
  <c r="M18" i="50" s="1"/>
  <c r="O34" i="50"/>
  <c r="O38" i="50" s="1"/>
  <c r="O32" i="50"/>
  <c r="O36" i="50" s="1"/>
  <c r="O33" i="50"/>
  <c r="O37" i="50" s="1"/>
  <c r="N34" i="50"/>
  <c r="N38" i="50" s="1"/>
  <c r="N33" i="50"/>
  <c r="N37" i="50" s="1"/>
  <c r="N32" i="50"/>
  <c r="N36" i="50" s="1"/>
  <c r="Q49" i="51"/>
  <c r="F3" i="51" s="1"/>
  <c r="H120" i="51"/>
  <c r="T123" i="51"/>
  <c r="S120" i="51"/>
  <c r="R122" i="51"/>
  <c r="Q119" i="51"/>
  <c r="U120" i="51"/>
  <c r="S123" i="51"/>
  <c r="I19" i="50"/>
  <c r="G20" i="50"/>
  <c r="H20" i="50"/>
  <c r="H18" i="50"/>
  <c r="I44" i="50"/>
  <c r="Q44" i="50"/>
  <c r="Q43" i="50"/>
  <c r="P20" i="50"/>
  <c r="P19" i="50"/>
  <c r="P18" i="50"/>
  <c r="Q45" i="50"/>
  <c r="G18" i="50"/>
  <c r="E18" i="50"/>
  <c r="E20" i="50"/>
  <c r="F45" i="50"/>
  <c r="I43" i="50"/>
  <c r="I45" i="50"/>
  <c r="F43" i="50"/>
  <c r="F44" i="50"/>
  <c r="O44" i="50" l="1"/>
  <c r="N45" i="50"/>
  <c r="N44" i="50"/>
  <c r="N43" i="50"/>
  <c r="E19" i="50"/>
  <c r="H19" i="50"/>
  <c r="G19" i="50"/>
  <c r="G3" i="51"/>
  <c r="O43" i="50"/>
  <c r="O45" i="50"/>
  <c r="G45" i="50"/>
  <c r="G44" i="50"/>
  <c r="M43" i="50"/>
  <c r="M44" i="50"/>
  <c r="M45" i="50"/>
  <c r="H45" i="50"/>
  <c r="H44" i="50"/>
  <c r="H43" i="50"/>
  <c r="G43" i="50"/>
  <c r="P45" i="50"/>
  <c r="P43" i="50"/>
  <c r="P44" i="50"/>
  <c r="E44" i="50"/>
  <c r="E43" i="50"/>
  <c r="E45" i="50"/>
  <c r="H3" i="50" l="1"/>
  <c r="G3" i="50"/>
  <c r="B59" i="49" l="1"/>
  <c r="B237" i="49" l="1"/>
  <c r="B290" i="49" s="1"/>
  <c r="B167" i="44" l="1"/>
  <c r="B173" i="44" l="1"/>
  <c r="B184" i="44" l="1"/>
  <c r="B208" i="44" l="1"/>
  <c r="B222" i="44" s="1"/>
  <c r="B251" i="44" l="1"/>
  <c r="B386" i="44" s="1"/>
  <c r="B411" i="44" l="1"/>
  <c r="B417" i="44" l="1"/>
  <c r="B428" i="44" s="1"/>
  <c r="B452" i="44" s="1"/>
  <c r="B466" i="44" s="1"/>
  <c r="K25" i="49" l="1"/>
  <c r="K27" i="49" l="1"/>
  <c r="K28" i="49" l="1"/>
  <c r="K29" i="4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F9785F8-8E6C-42C1-8B54-7D2A2D9AD5A4}" keepAlive="1" name="Query - VDOdecisions" description="Connection to the 'VDOdecisions' query in the workbook." type="5" refreshedVersion="6" background="1" saveData="1">
    <dbPr connection="Provider=Microsoft.Mashup.OleDb.1;Data Source=$Workbook$;Location=VDOdecisions;Extended Properties=&quot;&quot;" command="SELECT * FROM [VDOdecisions]"/>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<sst xmlns="http://schemas.openxmlformats.org/spreadsheetml/2006/main" count="6296" uniqueCount="444">
  <si>
    <t>VDO calculation model</t>
  </si>
  <si>
    <t>Essential Services Commission</t>
  </si>
  <si>
    <t>Contents</t>
  </si>
  <si>
    <t>Worksheet</t>
  </si>
  <si>
    <t>Name</t>
  </si>
  <si>
    <t>Link</t>
  </si>
  <si>
    <t>Description</t>
  </si>
  <si>
    <t>Disclaimer</t>
  </si>
  <si>
    <t>This page contains a declaration regarding the limitations and use of this model.</t>
  </si>
  <si>
    <t>-</t>
  </si>
  <si>
    <t>User guide</t>
  </si>
  <si>
    <t>Instructions for model operation.</t>
  </si>
  <si>
    <t>Information</t>
  </si>
  <si>
    <t>General assumptions</t>
  </si>
  <si>
    <t>Assumptions and constants used in the model.</t>
  </si>
  <si>
    <t>Checks</t>
  </si>
  <si>
    <t>Worksheet description:</t>
  </si>
  <si>
    <t>[Please provide a description of what this sheet does and any specific details or other notes the user needs to know]</t>
  </si>
  <si>
    <t>User Guide</t>
  </si>
  <si>
    <t>Section/Item notes (where necessary)</t>
  </si>
  <si>
    <t>Model Structure</t>
  </si>
  <si>
    <t>Worksheets</t>
  </si>
  <si>
    <t>Inputs</t>
  </si>
  <si>
    <t>Cost element</t>
  </si>
  <si>
    <t>Cost item</t>
  </si>
  <si>
    <t>F-CurrentVDO_Input</t>
  </si>
  <si>
    <t>D-NextVDO_Input</t>
  </si>
  <si>
    <t>F-NextVDO_Input</t>
  </si>
  <si>
    <t>NA</t>
  </si>
  <si>
    <t>Usage profile</t>
  </si>
  <si>
    <t>Customer type</t>
  </si>
  <si>
    <t>Residential</t>
  </si>
  <si>
    <t>Small business</t>
  </si>
  <si>
    <t>This worksheet contains all inputs used for calculating the VDO cost stacks.</t>
  </si>
  <si>
    <t>Cost stack inputs</t>
  </si>
  <si>
    <t>Year</t>
  </si>
  <si>
    <t>VDO decision</t>
  </si>
  <si>
    <t>Fixed/Variable</t>
  </si>
  <si>
    <t>Unit</t>
  </si>
  <si>
    <t>F-CurrentVDO_InputDate</t>
  </si>
  <si>
    <t>D-NextVDO_InputDate</t>
  </si>
  <si>
    <t>F-NextVDO_InputDate</t>
  </si>
  <si>
    <t>Retail</t>
  </si>
  <si>
    <t>Retail operating cost - base</t>
  </si>
  <si>
    <t>Fixed</t>
  </si>
  <si>
    <t>$</t>
  </si>
  <si>
    <t>All</t>
  </si>
  <si>
    <t>Retail operating cost - regulatory cost allowance</t>
  </si>
  <si>
    <t>Retail operating cost - 5 min settlement allowance</t>
  </si>
  <si>
    <t>Retail operating cost - bad debt allowance</t>
  </si>
  <si>
    <t>Customer acquisition and retention cost</t>
  </si>
  <si>
    <t>Solar</t>
  </si>
  <si>
    <t>Feed-in tariff (FiT)</t>
  </si>
  <si>
    <t>ESC licence fees</t>
  </si>
  <si>
    <t>Reliability and emergency reserve trader (RERT)</t>
  </si>
  <si>
    <t>$/week</t>
  </si>
  <si>
    <t>Full retail competition (FRC) operations</t>
  </si>
  <si>
    <t>Network</t>
  </si>
  <si>
    <t>Metering - Ausnet</t>
  </si>
  <si>
    <t>$/year</t>
  </si>
  <si>
    <t>Metering - Citipower</t>
  </si>
  <si>
    <t>Metering - Jemena</t>
  </si>
  <si>
    <t>Metering - Powercor</t>
  </si>
  <si>
    <t>Metering - United Energy</t>
  </si>
  <si>
    <t>Wholesale</t>
  </si>
  <si>
    <t>Price - RES - Ausnet</t>
  </si>
  <si>
    <t>Variable</t>
  </si>
  <si>
    <t>$/MWh</t>
  </si>
  <si>
    <t>Price - RES - Citipower</t>
  </si>
  <si>
    <t>Price - RES - Jemena</t>
  </si>
  <si>
    <t>Price - RES - Powercor</t>
  </si>
  <si>
    <t>Price - RES - United Energy</t>
  </si>
  <si>
    <t>Volatility - RES - Ausnet</t>
  </si>
  <si>
    <t>Volatility - RES - Citipower</t>
  </si>
  <si>
    <t>Volatility - RES - Jemena</t>
  </si>
  <si>
    <t>Volatility - RES - Powercor</t>
  </si>
  <si>
    <t>Volatility - RES - United Energy</t>
  </si>
  <si>
    <t>Price - SME - Ausnet</t>
  </si>
  <si>
    <t>Price - SME - Citipower</t>
  </si>
  <si>
    <t>Price - SME - Jemena</t>
  </si>
  <si>
    <t>Price - SME - Powercor</t>
  </si>
  <si>
    <t>Price - SME - United Energy</t>
  </si>
  <si>
    <t>Volatility - SME - Ausnet</t>
  </si>
  <si>
    <t>Volatility - SME - Citipower</t>
  </si>
  <si>
    <t>Volatility - SME - Jemena</t>
  </si>
  <si>
    <t>Volatility - SME - Powercor</t>
  </si>
  <si>
    <t>Volatility - SME - United Energy</t>
  </si>
  <si>
    <t>Environmental</t>
  </si>
  <si>
    <t>Victorian energy upgrades (VEU) - Price</t>
  </si>
  <si>
    <t>$/certificate</t>
  </si>
  <si>
    <t>Large-scale renewable energy target (LRET) - Price</t>
  </si>
  <si>
    <t>Small-scale renewable energy scheme (SRES) - Price</t>
  </si>
  <si>
    <t>Victorian energy upgrades (VEU) - Liability</t>
  </si>
  <si>
    <t>%/year</t>
  </si>
  <si>
    <t>Large-scale renewable energy target (LRET) - Liability</t>
  </si>
  <si>
    <t>Small-scale renewable energy scheme (SRES) - Liability</t>
  </si>
  <si>
    <t>General NEM fees</t>
  </si>
  <si>
    <t>Full retail competition (FRC) operations (OBSOLETE)</t>
  </si>
  <si>
    <t>National transmission planner</t>
  </si>
  <si>
    <t>Ancillary services</t>
  </si>
  <si>
    <t>Anytime - Block 1 - RES - Ausnet</t>
  </si>
  <si>
    <t>c/kWh</t>
  </si>
  <si>
    <t>Anytime - Balance - RES - Ausnet</t>
  </si>
  <si>
    <t>Anytime - Single rate - RES - Citipower</t>
  </si>
  <si>
    <t>Anytime - Single rate - RES - Jemena</t>
  </si>
  <si>
    <t>Anytime - Single rate - RES - Powercor</t>
  </si>
  <si>
    <t>Anytime - Single rate - RES - United Energy</t>
  </si>
  <si>
    <t>Anytime - Block 1 - SME - Ausnet</t>
  </si>
  <si>
    <t>Anytime - Balance - SME - Ausnet</t>
  </si>
  <si>
    <t>Anytime - Single rate - SME - Citipower</t>
  </si>
  <si>
    <t>Anytime - Single rate - SME - Jemena</t>
  </si>
  <si>
    <t>Anytime - Single rate - SME - Powercor</t>
  </si>
  <si>
    <t>Anytime - Single rate - SME - United Energy</t>
  </si>
  <si>
    <t>TOU - Peak - RES - Ausnet</t>
  </si>
  <si>
    <t>TOU - Peak - RES - Citipower</t>
  </si>
  <si>
    <t>TOU - Peak - RES - Jemena</t>
  </si>
  <si>
    <t>TOU - Peak - RES - Powercor</t>
  </si>
  <si>
    <t>TOU - Peak - RES - United Energy</t>
  </si>
  <si>
    <t>TOU - Off peak - RES - Ausnet</t>
  </si>
  <si>
    <t>TOU - Off peak - RES - Citipower</t>
  </si>
  <si>
    <t>TOU - Off peak - RES - Jemena</t>
  </si>
  <si>
    <t>TOU - Off peak - RES - Powercor</t>
  </si>
  <si>
    <t>TOU - Off peak - RES - United Energy</t>
  </si>
  <si>
    <t>TOU - Peak - SME - Ausnet</t>
  </si>
  <si>
    <t>TOU - Peak - SME - Citipower</t>
  </si>
  <si>
    <t>TOU - Peak - SME - Jemena</t>
  </si>
  <si>
    <t>TOU - Peak - SME - Powercor</t>
  </si>
  <si>
    <t>TOU - Peak - SME - United Energy</t>
  </si>
  <si>
    <t>TOU - Off peak - SME - Ausnet</t>
  </si>
  <si>
    <t>TOU - Off peak - SME - Citipower</t>
  </si>
  <si>
    <t>TOU - Off peak - SME - Jemena</t>
  </si>
  <si>
    <t>TOU - Off peak - SME - Powercor</t>
  </si>
  <si>
    <t>TOU - Off peak - SME - United Energy</t>
  </si>
  <si>
    <t>Controlled load - RES - Ausnet</t>
  </si>
  <si>
    <t>Controlled load - RES - Citipower</t>
  </si>
  <si>
    <t>Controlled load - RES - Jemena</t>
  </si>
  <si>
    <t>Controlled load - RES - Powercor</t>
  </si>
  <si>
    <t>Controlled load - RES - United Energy</t>
  </si>
  <si>
    <t>Retail margin</t>
  </si>
  <si>
    <t>Retail operating margin</t>
  </si>
  <si>
    <t>%</t>
  </si>
  <si>
    <t>Marginal loss factors</t>
  </si>
  <si>
    <t>Marginal loss factor - Ausnet</t>
  </si>
  <si>
    <t>Marginal loss factor - Citipower</t>
  </si>
  <si>
    <t>Marginal loss factor - Jemena</t>
  </si>
  <si>
    <t>Marginal loss factor - Powercor</t>
  </si>
  <si>
    <t>Marginal loss factor - United Energy</t>
  </si>
  <si>
    <t>Distribution loss factors</t>
  </si>
  <si>
    <t>Distribution loss factor - Ausnet</t>
  </si>
  <si>
    <t>Distribution loss factor - Citipower</t>
  </si>
  <si>
    <t>Distribution loss factor - Jemena</t>
  </si>
  <si>
    <t>Distribution loss factor - Powercor</t>
  </si>
  <si>
    <t>Distribution loss factor - United Energy</t>
  </si>
  <si>
    <t>Profile name</t>
  </si>
  <si>
    <t>Usage type</t>
  </si>
  <si>
    <t>Ref</t>
  </si>
  <si>
    <t>Residential - small</t>
  </si>
  <si>
    <t>Block 1</t>
  </si>
  <si>
    <t>kWh/year</t>
  </si>
  <si>
    <t>Residential - medium</t>
  </si>
  <si>
    <t>Residential - large</t>
  </si>
  <si>
    <t>Small business - small</t>
  </si>
  <si>
    <t>Small business - medium</t>
  </si>
  <si>
    <t>Small business - large</t>
  </si>
  <si>
    <t>Balance</t>
  </si>
  <si>
    <t>Annual</t>
  </si>
  <si>
    <t>Peak</t>
  </si>
  <si>
    <t>General Assumptions</t>
  </si>
  <si>
    <t>Constants</t>
  </si>
  <si>
    <t>Number of days in a year</t>
  </si>
  <si>
    <t>[DiY]</t>
  </si>
  <si>
    <t>Number of months in a year</t>
  </si>
  <si>
    <t>[MiY]</t>
  </si>
  <si>
    <t>Number of months in a quarter year</t>
  </si>
  <si>
    <t>[MiQ]</t>
  </si>
  <si>
    <t>Weeks in a year</t>
  </si>
  <si>
    <t>[WiY]</t>
  </si>
  <si>
    <t>Financial units</t>
  </si>
  <si>
    <t>AUD</t>
  </si>
  <si>
    <t>[AUD]</t>
  </si>
  <si>
    <t>Financial year end month</t>
  </si>
  <si>
    <t>N/A</t>
  </si>
  <si>
    <t>Goods &amp; Services Tax (GST)</t>
  </si>
  <si>
    <t>[GST]</t>
  </si>
  <si>
    <t>This worksheet contains indices used to adjust cost stack elements by CPI (where necessary).</t>
  </si>
  <si>
    <t>CPI</t>
  </si>
  <si>
    <t>Indices "as at" for previous VDO decisions</t>
  </si>
  <si>
    <t>Decision paper</t>
  </si>
  <si>
    <t>Date</t>
  </si>
  <si>
    <t>Indice</t>
  </si>
  <si>
    <t>VDO 2019</t>
  </si>
  <si>
    <t>VDO 2020</t>
  </si>
  <si>
    <t>VDO 2021 - Draft</t>
  </si>
  <si>
    <t>VDO 2021 - Final</t>
  </si>
  <si>
    <t>VDO 2022 - Draft</t>
  </si>
  <si>
    <t>VDO 2022 - Final</t>
  </si>
  <si>
    <t>CPI indices</t>
  </si>
  <si>
    <t>ABS All groups CPI, Australia</t>
  </si>
  <si>
    <t>Series ID A2325846C</t>
  </si>
  <si>
    <t>Period</t>
  </si>
  <si>
    <t>Rate checks:</t>
  </si>
  <si>
    <t>Calculation</t>
  </si>
  <si>
    <t>Rates</t>
  </si>
  <si>
    <t>Fixed costs</t>
  </si>
  <si>
    <t>Ausnet</t>
  </si>
  <si>
    <t>Citipower</t>
  </si>
  <si>
    <t>Jemena</t>
  </si>
  <si>
    <t>Powercor</t>
  </si>
  <si>
    <t>United Energy</t>
  </si>
  <si>
    <t>Other</t>
  </si>
  <si>
    <t>Solar (FiT)</t>
  </si>
  <si>
    <t>Metering</t>
  </si>
  <si>
    <t>Residential charges - daily supply</t>
  </si>
  <si>
    <t>GST</t>
  </si>
  <si>
    <t>Total fixed costs</t>
  </si>
  <si>
    <t>Small business charges - daily supply</t>
  </si>
  <si>
    <t>Variable costs</t>
  </si>
  <si>
    <t>Environmental programs</t>
  </si>
  <si>
    <t>$/kWh</t>
  </si>
  <si>
    <t>Wholesale cost</t>
  </si>
  <si>
    <t>Network losses</t>
  </si>
  <si>
    <t>Residential charges - usage</t>
  </si>
  <si>
    <t>Network charge</t>
  </si>
  <si>
    <t>Controlled load</t>
  </si>
  <si>
    <t>Small business charges - usage</t>
  </si>
  <si>
    <t>Non cost items</t>
  </si>
  <si>
    <t>Indice at VDO decision</t>
  </si>
  <si>
    <t>CPI increase</t>
  </si>
  <si>
    <t>Retail operating cost</t>
  </si>
  <si>
    <t>Marginal loss factor</t>
  </si>
  <si>
    <t>Distribution loss factor</t>
  </si>
  <si>
    <t>Total loss factor</t>
  </si>
  <si>
    <t>Retail costs</t>
  </si>
  <si>
    <t>Fixed network charges</t>
  </si>
  <si>
    <t>Variable network charges</t>
  </si>
  <si>
    <t>Residential wholesale</t>
  </si>
  <si>
    <t>Price - RES</t>
  </si>
  <si>
    <t>Volatility - RES</t>
  </si>
  <si>
    <t>Small business wholesale</t>
  </si>
  <si>
    <t>Price - SME</t>
  </si>
  <si>
    <t>Volatility - SME</t>
  </si>
  <si>
    <t>Environmental &amp; Solar</t>
  </si>
  <si>
    <t>Victorian Energy Upgrades (VEU)</t>
  </si>
  <si>
    <t>VEU cost</t>
  </si>
  <si>
    <t>Large-scale Renewable Energy Target (LRET)</t>
  </si>
  <si>
    <t>LRET cost</t>
  </si>
  <si>
    <t>Small-scale Renewable Energy Scheme (SRES)</t>
  </si>
  <si>
    <t>SRES cost</t>
  </si>
  <si>
    <t>Feed-in Tariff (FiT)</t>
  </si>
  <si>
    <t>True up</t>
  </si>
  <si>
    <t>Environmental costs</t>
  </si>
  <si>
    <t>Pass through (Yes/No)</t>
  </si>
  <si>
    <t>Large-scale renewable energy target (LRET)</t>
  </si>
  <si>
    <t>No</t>
  </si>
  <si>
    <t>Cost</t>
  </si>
  <si>
    <t>Difference</t>
  </si>
  <si>
    <t>Network loss adjustment</t>
  </si>
  <si>
    <t>Profit margin adjustment</t>
  </si>
  <si>
    <t>LRET True up</t>
  </si>
  <si>
    <t>Small-scale renewable energy scheme (SRES)</t>
  </si>
  <si>
    <t>SRES True up</t>
  </si>
  <si>
    <t>Victorian energy upgrades (VEU)</t>
  </si>
  <si>
    <t>VEU True up</t>
  </si>
  <si>
    <t>Rate name</t>
  </si>
  <si>
    <t>Compliant Maximum Annual Bill (CMAB)</t>
  </si>
  <si>
    <t>Percentage change</t>
  </si>
  <si>
    <t>CPI uplift factor</t>
  </si>
  <si>
    <t>VD-CurrentVDO_InputDate</t>
  </si>
  <si>
    <t>VD-CurrentVDO_Input</t>
  </si>
  <si>
    <t>VF-CurrentVDO_InputDate</t>
  </si>
  <si>
    <t>VF-CurrentVDO_Input</t>
  </si>
  <si>
    <t>VDO 2021 - Variation draft</t>
  </si>
  <si>
    <t>Anytime - supply charge - RES - Ausnet</t>
  </si>
  <si>
    <t>Anytime - supply charge - RES - Citipower</t>
  </si>
  <si>
    <t>Anytime - supply charge - RES - Jemena</t>
  </si>
  <si>
    <t>Anytime - supply charge - RES - Powercor</t>
  </si>
  <si>
    <t>Anytime - supply charge - RES - United Energy</t>
  </si>
  <si>
    <t>Anytime - supply charge - SME - Ausnet</t>
  </si>
  <si>
    <t>Anytime - supply charge - SME - Citipower</t>
  </si>
  <si>
    <t>Anytime - supply charge - SME - Jemena</t>
  </si>
  <si>
    <t>Anytime - supply charge - SME - Powercor</t>
  </si>
  <si>
    <t>Anytime - supply charge - SME - United Energy</t>
  </si>
  <si>
    <t>TOU - supply charge - RES - Ausnet</t>
  </si>
  <si>
    <t>TOU - supply charge - RES - Citipower</t>
  </si>
  <si>
    <t>TOU - supply charge - RES - Jemena</t>
  </si>
  <si>
    <t>TOU - supply charge - RES - Powercor</t>
  </si>
  <si>
    <t>TOU - supply charge - RES - United Energy</t>
  </si>
  <si>
    <t>TOU - supply charge - SME - Ausnet</t>
  </si>
  <si>
    <t>TOU - supply charge - SME - Citipower</t>
  </si>
  <si>
    <t>TOU - supply charge - SME - Jemena</t>
  </si>
  <si>
    <t>TOU - supply charge - SME - Powercor</t>
  </si>
  <si>
    <t>TOU - supply charge - SME - United Energy</t>
  </si>
  <si>
    <t>VDO 2021 - Variation final</t>
  </si>
  <si>
    <t>Checks:</t>
  </si>
  <si>
    <t>Calc_Rates</t>
  </si>
  <si>
    <t>OP_Rates</t>
  </si>
  <si>
    <t>WACC adjustment</t>
  </si>
  <si>
    <t>GST adjustment</t>
  </si>
  <si>
    <t>Tariff type</t>
  </si>
  <si>
    <t>Network costs</t>
  </si>
  <si>
    <t>Time period, decision/actual</t>
  </si>
  <si>
    <t>Anytime - supply charge - RES</t>
  </si>
  <si>
    <t>True up time period, months</t>
  </si>
  <si>
    <t>Proportion of annual</t>
  </si>
  <si>
    <t>Actual time period, months</t>
  </si>
  <si>
    <t>Anytime - Block 1 - RES</t>
  </si>
  <si>
    <t>Anytime - Balance - RES</t>
  </si>
  <si>
    <t>Anytime - Single rate - RES</t>
  </si>
  <si>
    <t>Rate type</t>
  </si>
  <si>
    <t>Anytime - supply charge - SME</t>
  </si>
  <si>
    <t>Anytime - Block 1 - SME</t>
  </si>
  <si>
    <t>Anytime - Balance - SME</t>
  </si>
  <si>
    <t>Anytime - Single rate - SME</t>
  </si>
  <si>
    <t>Anytime - Residential</t>
  </si>
  <si>
    <t>Anytime - Small business</t>
  </si>
  <si>
    <t>TOU - Residential</t>
  </si>
  <si>
    <t>TOU - Small business</t>
  </si>
  <si>
    <t>TOU - supply charge - RES</t>
  </si>
  <si>
    <t>TOU - Peak - RES</t>
  </si>
  <si>
    <t>TOU - Off peak - RES</t>
  </si>
  <si>
    <t>TOU - supply charge - SME</t>
  </si>
  <si>
    <t>TOU - Peak - SME</t>
  </si>
  <si>
    <t>TOU - Off peak - SME</t>
  </si>
  <si>
    <t>Anytime - supply cost true up</t>
  </si>
  <si>
    <t>Anytime - usage cost true up</t>
  </si>
  <si>
    <t>TOU - supply cost true up</t>
  </si>
  <si>
    <t>TOU - usage cost true up</t>
  </si>
  <si>
    <t>Anytime - supply cost - residential</t>
  </si>
  <si>
    <t>Anytime - usage cost - residential</t>
  </si>
  <si>
    <t>Anytime - supply cost - small business</t>
  </si>
  <si>
    <t>Anytime - usage cost - small business</t>
  </si>
  <si>
    <t>TOU - supply cost - residential</t>
  </si>
  <si>
    <t>TOU - usage cost - residential</t>
  </si>
  <si>
    <t>TOU - supply cost - small business</t>
  </si>
  <si>
    <t>TOU - usage cost - small business</t>
  </si>
  <si>
    <t>True up inputs</t>
  </si>
  <si>
    <t>WACC (annual)</t>
  </si>
  <si>
    <t>Network true up rate months</t>
  </si>
  <si>
    <t>Single rate</t>
  </si>
  <si>
    <t>Anytime - supply</t>
  </si>
  <si>
    <t>TOU - supply</t>
  </si>
  <si>
    <t>Network true up cost start date</t>
  </si>
  <si>
    <t>Network true up cost end date</t>
  </si>
  <si>
    <t>Network true up rate start date</t>
  </si>
  <si>
    <t>Network true up rate end date</t>
  </si>
  <si>
    <t>Anytime</t>
  </si>
  <si>
    <t>TOU</t>
  </si>
  <si>
    <t>Adjusted WACC</t>
  </si>
  <si>
    <t>Input_ForRateCalc</t>
  </si>
  <si>
    <t>Usage profile inputs</t>
  </si>
  <si>
    <t>VDO decisions</t>
  </si>
  <si>
    <t>Index</t>
  </si>
  <si>
    <t>Decision/Actual</t>
  </si>
  <si>
    <t>Actual</t>
  </si>
  <si>
    <t>Decision</t>
  </si>
  <si>
    <t>Decision ref</t>
  </si>
  <si>
    <t>[blank]</t>
  </si>
  <si>
    <t>Network true up rates</t>
  </si>
  <si>
    <t>True up rate calculation</t>
  </si>
  <si>
    <t>Environmental true up rates</t>
  </si>
  <si>
    <t>Environmental true up rate months</t>
  </si>
  <si>
    <t>Network true up cost months</t>
  </si>
  <si>
    <t>Environmental true up cost months</t>
  </si>
  <si>
    <t>LRET true up</t>
  </si>
  <si>
    <t>SRES true up</t>
  </si>
  <si>
    <t>VEU true up</t>
  </si>
  <si>
    <t>Environmental variable rate true ups</t>
  </si>
  <si>
    <t>Environmental true ups - checks</t>
  </si>
  <si>
    <t>Network true ups - checks</t>
  </si>
  <si>
    <t>Environmental true up values</t>
  </si>
  <si>
    <t>Off peak</t>
  </si>
  <si>
    <t>VIC avg</t>
  </si>
  <si>
    <t>AVG per month</t>
  </si>
  <si>
    <t>Disclaimer, copyright &amp; terms and conditions of use
The VDO Price Determination model (model) does not constitute a decision or determination by the Essential Services Commission (commission). The model has been designed by the commission to enable it to calculate the tariffs a retailer may charge prescribed customers under a standing offer.
Limited access to this model is made available to third parties (users) for information purposes only and for the sole purpose of illustrating the modelling framework used by the commission to calculate the VDO tariffs.  The commission gives no warranty and makes no representation as to the accuracy, reliability, timeliness or other features of the data contained in the model for use other than calculation by the commission of the VDO tariffs.
Copyright and all other intellectual property rights in the model vests with the commission.  The commission hereby permits a user to view the model, download and use the model, and display and print the model from the commission’s website only in unaltered form, for the purposes of internal study, research, criticism or review by the user only, provided the user acknowledges the source of the model or any parts of the model.
A user must not disrupt, modify or interfere with the model, or alter or tamper with any information or material in or associated with the model, or gain or attempt to gain unauthorized access to secure parts of the model.  A user must not make the model available to a third party and must direct a third party to access the model directly from the commission’s website.
By viewing, downloading, using, displaying or printing the model or parts of the model, you agree to be bound by the disclaimer, copyright provisions and these terms and conditions of use. 
Note:  If you have obtained the model otherwise than by downloading it from the commission’s website, the model may have been modified by a previous user. The commission accepts no liability in relation to modifications made by any user.</t>
  </si>
  <si>
    <t>Anytime usage</t>
  </si>
  <si>
    <t>TOU usage</t>
  </si>
  <si>
    <t>Controlled load - RES</t>
  </si>
  <si>
    <t>Controlled load cost - residential</t>
  </si>
  <si>
    <t>VDO residential rates</t>
  </si>
  <si>
    <t>VDO small business rates</t>
  </si>
  <si>
    <t>1 month impact (TOU)</t>
  </si>
  <si>
    <t>VDO period</t>
  </si>
  <si>
    <t>Total customers</t>
  </si>
  <si>
    <t>July</t>
  </si>
  <si>
    <t>August</t>
  </si>
  <si>
    <t>June</t>
  </si>
  <si>
    <t>Total usage</t>
  </si>
  <si>
    <t>Item</t>
  </si>
  <si>
    <t>No.</t>
  </si>
  <si>
    <t>TOU check</t>
  </si>
  <si>
    <t>Block check</t>
  </si>
  <si>
    <t>Single rate check</t>
  </si>
  <si>
    <t>Network true up cost days</t>
  </si>
  <si>
    <t>Usage per customer</t>
  </si>
  <si>
    <t>Value</t>
  </si>
  <si>
    <t>Yes</t>
  </si>
  <si>
    <t>Controlled load - usage cost true up</t>
  </si>
  <si>
    <t>Input_Usage</t>
  </si>
  <si>
    <t>Input_DecisionActual</t>
  </si>
  <si>
    <t>Cost recovery days</t>
  </si>
  <si>
    <t>Input_TUEnv_Actual</t>
  </si>
  <si>
    <t>Input_TUNet_Actual</t>
  </si>
  <si>
    <t>Input_TUNet_Props</t>
  </si>
  <si>
    <t>Calc_TUV_Net_1</t>
  </si>
  <si>
    <t>Calc_TUV_Env_1</t>
  </si>
  <si>
    <t>TUNet_Usage_Actual_1</t>
  </si>
  <si>
    <t>Calc_TUV_Env_2</t>
  </si>
  <si>
    <t>Calc_TUV_Net_2</t>
  </si>
  <si>
    <t>TUNet_Usage_Actual_2</t>
  </si>
  <si>
    <t>Calc_TUR_Env_1</t>
  </si>
  <si>
    <t>Calc_TUV_EnvGroup_1</t>
  </si>
  <si>
    <t>Input_TUNet_Dates</t>
  </si>
  <si>
    <t>Usage per customer - Block 1 - Ausnet</t>
  </si>
  <si>
    <t>Network true up values per customers - Calc_TUV_NetGroup_1</t>
  </si>
  <si>
    <t>Network true up rates per customer per day - Calc_TUR_Net_1</t>
  </si>
  <si>
    <t>Network true up values per customers - Calc_TUV_NetGroup_2</t>
  </si>
  <si>
    <t>Network true up rates per customer per day - Calc_TUR_Net_2</t>
  </si>
  <si>
    <t>Usage per customer - Block 1</t>
  </si>
  <si>
    <t>Usage per customer - Balance</t>
  </si>
  <si>
    <t>Usage per customer - Single rate</t>
  </si>
  <si>
    <t>C/21/23129, 'Data1', col J</t>
  </si>
  <si>
    <t>Latest extract</t>
  </si>
  <si>
    <t>Source ref</t>
  </si>
  <si>
    <t>Quarter</t>
  </si>
  <si>
    <t>TUNet_Usage_PerRate_2</t>
  </si>
  <si>
    <t>TUNet_Usage_PerRate_1</t>
  </si>
  <si>
    <t>Residential True Up</t>
  </si>
  <si>
    <t>Residential calculated rate</t>
  </si>
  <si>
    <t>Small business calculated rate</t>
  </si>
  <si>
    <t>Small business True Up</t>
  </si>
  <si>
    <t>Small-scale renewable energy scheme (SRES) - Liability true up (2021 only)</t>
  </si>
  <si>
    <t>Large-scale renewable energy target (LRET) - Liability true up (2021 only)</t>
  </si>
  <si>
    <t>Energy Consumers Australia</t>
  </si>
  <si>
    <t>Calc_TU_rates</t>
  </si>
  <si>
    <t>Calculation methodology - cost stack rates</t>
  </si>
  <si>
    <t>Calc_TU_values</t>
  </si>
  <si>
    <t>OP_CMAB</t>
  </si>
  <si>
    <t>All cost and non-cost inputs used in the model.</t>
  </si>
  <si>
    <t>Calculations for cost stack rates.</t>
  </si>
  <si>
    <t>Output annual bills for Compliant Maximum Annual Bill (CMAB).</t>
  </si>
  <si>
    <t>Calculations for total true up amounts to be recovered.</t>
  </si>
  <si>
    <t>Calculations for true up rates to be applied over the determination period.</t>
  </si>
  <si>
    <t>Output rates (both from cost stack calculation and true up) for all tariffs.</t>
  </si>
  <si>
    <t>Contains CPI indices used in the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</si>
</sst>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8" formatCode="&quot;$&quot;#,##0.00;[Red]\-&quot;$&quot;#,##0.00"/>
    <numFmt numFmtId="164" formatCode="&quot;$&quot;#,##0_);[Red]\(&quot;$&quot;#,##0\)"/>
    <numFmt numFmtId="165" formatCode="&quot;$&quot;#,##0.00_);[Red]\(&quot;$&quot;#,##0.00\)"/>
    <numFmt numFmtId="166" formatCode="[Green][=0]&quot;OK&quot;;[Red]&quot;Err&quot;"/>
    <numFmt numFmtId="167" formatCode="0.0000"/>
    <numFmt numFmtId="168" formatCode="&quot;$&quot;#,##0.0000;[Red]\-&quot;$&quot;#,##0.0000"/>
    <numFmt numFmtId="169" formatCode="&quot;$&quot;#,##0.00000;[Red]\-&quot;$&quot;#,##0.00000"/>
    <numFmt numFmtId="170" formatCode="#&quot;.&quot;##"/>
    <numFmt numFmtId="171" formatCode="[Green][=0]&quot;OK&quot;;[Red]&quot;Error&quot;"/>
    <numFmt numFmtId="172" formatCode="0.00000"/>
    <numFmt numFmtId="173" formatCode="0.0%"/>
    <numFmt numFmtId="174" formatCode="0.0"/>
    <numFmt numFmtId="175" formatCode="&quot;$&quot;#,##0.0;[Red]\-&quot;$&quot;#,##0.0"/>
    <numFmt numFmtId="176" formatCode="&quot;$&quot;#,##0.000000;[Red]\-&quot;$&quot;#,##0.000000"/>
    <numFmt numFmtId="177" formatCode="&quot;$&quot;#,##0.0000000;[Red]\-&quot;$&quot;#,##0.0000000"/>
    <numFmt numFmtId="178" formatCode="&quot;$&quot;#,##0.00000000;[Red]\-&quot;$&quot;#,##0.00000000"/>
    <numFmt numFmtId="179" formatCode="&quot;$&quot;#,##0.00;[Red]&quot;$&quot;#,##0.00"/>
  </numFmts>
  <fonts count="36" x14ac:knownFonts="1">
    <font>
      <sz val="11"/>
      <color theme="1"/>
      <name val="Calibri"/>
      <family val="2"/>
      <scheme val="minor"/>
    </font>
    <font>
      <b/>
      <sz val="14"/>
      <color theme="0"/>
      <name val="Calibri"/>
      <family val="2"/>
      <scheme val="minor"/>
    </font>
    <font>
      <b/>
      <sz val="12"/>
      <color theme="1"/>
      <name val="Calibri"/>
      <family val="2"/>
      <scheme val="minor"/>
    </font>
    <font>
      <b/>
      <sz val="12"/>
      <color rgb="FF4986A0"/>
      <name val="Calibri"/>
      <family val="2"/>
      <scheme val="minor"/>
    </font>
    <font>
      <b/>
      <sz val="12"/>
      <name val="Calibri"/>
      <family val="2"/>
      <scheme val="minor"/>
    </font>
    <font>
      <b/>
      <sz val="12"/>
      <color rgb="FFCE0058"/>
      <name val="Calibri"/>
      <family val="2"/>
      <scheme val="minor"/>
    </font>
    <font>
      <sz val="11"/>
      <color theme="0"/>
      <name val="Calibri"/>
      <family val="2"/>
      <scheme val="minor"/>
    </font>
    <font>
      <sz val="11"/>
      <name val="Calibri"/>
      <family val="2"/>
      <scheme val="minor"/>
    </font>
    <font>
      <sz val="11"/>
      <color rgb="FF236192"/>
      <name val="Calibri"/>
      <family val="2"/>
      <scheme val="minor"/>
    </font>
    <font>
      <b/>
      <sz val="12"/>
      <color theme="0"/>
      <name val="Calibri"/>
      <family val="2"/>
      <scheme val="minor"/>
    </font>
    <font>
      <b/>
      <sz val="18"/>
      <color theme="0"/>
      <name val="Calibri"/>
      <family val="2"/>
      <scheme val="minor"/>
    </font>
    <font>
      <b/>
      <sz val="12"/>
      <color rgb="FF236192"/>
      <name val="Calibri"/>
      <family val="2"/>
      <scheme val="minor"/>
    </font>
    <font>
      <sz val="10"/>
      <color indexed="9"/>
      <name val="Verdana"/>
      <family val="2"/>
    </font>
    <font>
      <sz val="11"/>
      <color rgb="FF7F7F7F"/>
      <name val="Calibri"/>
      <family val="2"/>
      <scheme val="minor"/>
    </font>
    <font>
      <b/>
      <sz val="22"/>
      <color theme="0"/>
      <name val="Calibri"/>
      <family val="2"/>
      <scheme val="minor"/>
    </font>
    <font>
      <sz val="11"/>
      <color rgb="FFED8B00"/>
      <name val="Calibri"/>
      <family val="2"/>
      <scheme val="minor"/>
    </font>
    <font>
      <sz val="11"/>
      <color theme="1" tint="0.24994659260841701"/>
      <name val="Calibri"/>
      <family val="2"/>
      <scheme val="minor"/>
    </font>
    <font>
      <b/>
      <sz val="11"/>
      <name val="Calibri"/>
      <family val="2"/>
      <scheme val="minor"/>
    </font>
    <font>
      <sz val="11"/>
      <color theme="1"/>
      <name val="Calibri"/>
      <family val="2"/>
      <scheme val="minor"/>
    </font>
    <font>
      <i/>
      <sz val="11"/>
      <color rgb="FF7F7F7F"/>
      <name val="Calibri"/>
      <family val="2"/>
      <scheme val="minor"/>
    </font>
    <font>
      <sz val="12"/>
      <color rgb="FFCE0058"/>
      <name val="Calibri"/>
      <family val="2"/>
      <scheme val="minor"/>
    </font>
    <font>
      <sz val="11"/>
      <color rgb="FF4986A0"/>
      <name val="Calibri"/>
      <family val="2"/>
      <scheme val="minor"/>
    </font>
    <font>
      <sz val="12"/>
      <color rgb="FF4986A0"/>
      <name val="Calibri"/>
      <family val="2"/>
      <scheme val="minor"/>
    </font>
    <font>
      <sz val="12"/>
      <color theme="0"/>
      <name val="Calibri"/>
      <family val="2"/>
      <scheme val="minor"/>
    </font>
    <font>
      <sz val="12"/>
      <color theme="3"/>
      <name val="Calibri"/>
      <family val="2"/>
      <scheme val="minor"/>
    </font>
    <font>
      <sz val="12"/>
      <color theme="1"/>
      <name val="Calibri"/>
      <family val="2"/>
      <scheme val="minor"/>
    </font>
    <font>
      <sz val="11"/>
      <color rgb="FFCE0058"/>
      <name val="Calibri"/>
      <family val="2"/>
      <scheme val="minor"/>
    </font>
    <font>
      <sz val="11"/>
      <color rgb="FFFA7D00"/>
      <name val="Calibri"/>
      <family val="2"/>
      <scheme val="minor"/>
    </font>
    <font>
      <sz val="22"/>
      <color theme="0"/>
      <name val="Calibri"/>
      <family val="2"/>
      <scheme val="minor"/>
    </font>
    <font>
      <b/>
      <sz val="11"/>
      <color theme="1"/>
      <name val="Calibri"/>
      <family val="2"/>
      <scheme val="minor"/>
    </font>
    <font>
      <sz val="8"/>
      <name val="Calibri"/>
      <family val="2"/>
      <scheme val="minor"/>
    </font>
    <font>
      <b/>
      <sz val="10"/>
      <color theme="1"/>
      <name val="Verdana"/>
      <family val="2"/>
    </font>
    <font>
      <b/>
      <sz val="10"/>
      <color theme="0"/>
      <name val="Verdana"/>
      <family val="2"/>
    </font>
    <font>
      <b/>
      <sz val="11"/>
      <color theme="0"/>
      <name val="Verdana"/>
      <family val="2"/>
    </font>
    <font>
      <i/>
      <sz val="11"/>
      <color theme="1" tint="0.499984740745262"/>
      <name val="Calibri"/>
      <family val="2"/>
      <scheme val="minor"/>
    </font>
    <font>
      <sz val="11"/>
      <color rgb="FFFFB13F"/>
      <name val="Calibri"/>
      <family val="2"/>
      <scheme val="minor"/>
    </font>
  </fonts>
  <fills count="14">
    <fill>
      <patternFill patternType="none"/>
    </fill>
    <fill>
      <patternFill patternType="gray125"/>
    </fill>
    <fill>
      <patternFill patternType="solid">
        <fgColor rgb="FF236192"/>
        <bgColor indexed="64"/>
      </patternFill>
    </fill>
    <fill>
      <patternFill patternType="solid">
        <fgColor theme="0" tint="-0.14999847407452621"/>
        <bgColor indexed="64"/>
      </patternFill>
    </fill>
    <fill>
      <patternFill patternType="solid">
        <fgColor rgb="FF236192"/>
        <bgColor rgb="FF00A1DE"/>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rgb="FF4986A0"/>
        <bgColor indexed="64"/>
      </patternFill>
    </fill>
    <fill>
      <patternFill patternType="solid">
        <fgColor rgb="FFAFCDDB"/>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E0058"/>
        <bgColor indexed="64"/>
      </patternFill>
    </fill>
    <fill>
      <patternFill patternType="solid">
        <fgColor rgb="FFD3DFE9"/>
        <bgColor indexed="64"/>
      </patternFill>
    </fill>
  </fills>
  <borders count="25">
    <border>
      <left/>
      <right/>
      <top/>
      <bottom/>
      <diagonal/>
    </border>
    <border>
      <left/>
      <right/>
      <top/>
      <bottom style="thin">
        <color theme="0"/>
      </bottom>
      <diagonal/>
    </border>
    <border>
      <left/>
      <right/>
      <top/>
      <bottom style="medium">
        <color rgb="FFCE0058"/>
      </bottom>
      <diagonal/>
    </border>
    <border>
      <left style="hair">
        <color rgb="FF7F7F7F"/>
      </left>
      <right style="hair">
        <color rgb="FF7F7F7F"/>
      </right>
      <top style="hair">
        <color rgb="FF7F7F7F"/>
      </top>
      <bottom style="hair">
        <color rgb="FF7F7F7F"/>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rgb="FFCE0058"/>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rgb="FFFF8001"/>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top style="thin">
        <color rgb="FF4986A0"/>
      </top>
      <bottom style="double">
        <color rgb="FF4986A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rgb="FFBFBFBF"/>
      </bottom>
      <diagonal/>
    </border>
    <border>
      <left style="thin">
        <color theme="0"/>
      </left>
      <right style="thin">
        <color theme="0"/>
      </right>
      <top style="thin">
        <color rgb="FFFFFFFF"/>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left>
      <right/>
      <top style="thin">
        <color theme="0"/>
      </top>
      <bottom/>
      <diagonal/>
    </border>
  </borders>
  <cellStyleXfs count="42">
    <xf numFmtId="0" fontId="0" fillId="0" borderId="0">
      <alignment vertical="top"/>
    </xf>
    <xf numFmtId="0" fontId="14" fillId="2" borderId="0" applyNumberFormat="0" applyProtection="0">
      <alignment horizontal="left" vertical="center"/>
    </xf>
    <xf numFmtId="0" fontId="10" fillId="2" borderId="1" applyNumberFormat="0" applyProtection="0">
      <alignment horizontal="left" vertical="center"/>
    </xf>
    <xf numFmtId="0" fontId="2" fillId="0" borderId="2" applyNumberFormat="0" applyFill="0" applyProtection="0">
      <alignment horizontal="left" vertical="center"/>
    </xf>
    <xf numFmtId="0" fontId="3" fillId="0" borderId="0" applyNumberFormat="0" applyFill="0" applyProtection="0">
      <alignment horizontal="left" vertical="center"/>
    </xf>
    <xf numFmtId="0" fontId="14" fillId="2" borderId="0" applyProtection="0">
      <alignment horizontal="left" vertical="center"/>
    </xf>
    <xf numFmtId="0" fontId="5" fillId="0" borderId="0" applyFill="0" applyProtection="0">
      <alignment horizontal="left" vertical="center"/>
    </xf>
    <xf numFmtId="0" fontId="7" fillId="9" borderId="7" applyNumberFormat="0">
      <alignment horizontal="center" vertical="center"/>
      <protection locked="0"/>
    </xf>
    <xf numFmtId="0" fontId="8" fillId="0" borderId="3" applyNumberFormat="0" applyProtection="0">
      <alignment horizontal="center" vertical="center"/>
    </xf>
    <xf numFmtId="0" fontId="9" fillId="2" borderId="0" applyProtection="0">
      <alignment horizontal="left" vertical="center"/>
    </xf>
    <xf numFmtId="0" fontId="6" fillId="2" borderId="0">
      <alignment horizontal="left" vertical="center"/>
    </xf>
    <xf numFmtId="0" fontId="10" fillId="2" borderId="1" applyProtection="0">
      <alignment horizontal="left" vertical="center"/>
    </xf>
    <xf numFmtId="0" fontId="11" fillId="0" borderId="0">
      <alignment horizontal="center" vertical="center"/>
    </xf>
    <xf numFmtId="0" fontId="12" fillId="4" borderId="4" applyBorder="0">
      <alignment horizontal="left" vertical="center"/>
    </xf>
    <xf numFmtId="0" fontId="13" fillId="0" borderId="0">
      <alignment horizontal="center" vertical="top"/>
    </xf>
    <xf numFmtId="0" fontId="16" fillId="6" borderId="7">
      <alignment horizontal="center" vertical="center"/>
    </xf>
    <xf numFmtId="0" fontId="15" fillId="5" borderId="7">
      <alignment vertical="top"/>
    </xf>
    <xf numFmtId="0" fontId="21" fillId="5" borderId="7">
      <alignment vertical="top"/>
    </xf>
    <xf numFmtId="0" fontId="2" fillId="0" borderId="2" applyFill="0" applyProtection="0">
      <alignment horizontal="left" vertical="center"/>
    </xf>
    <xf numFmtId="166" fontId="26" fillId="5" borderId="7" applyAlignment="0" applyProtection="0"/>
    <xf numFmtId="0" fontId="18" fillId="10" borderId="5" applyNumberFormat="0" applyFont="0" applyAlignment="0" applyProtection="0"/>
    <xf numFmtId="0" fontId="19" fillId="0" borderId="0" applyNumberFormat="0" applyFill="0" applyBorder="0" applyProtection="0">
      <alignment vertical="top"/>
    </xf>
    <xf numFmtId="171" fontId="20" fillId="5" borderId="7" applyProtection="0">
      <alignment horizontal="center" vertical="top"/>
    </xf>
    <xf numFmtId="0" fontId="2" fillId="0" borderId="6" applyFill="0" applyProtection="0">
      <alignment horizontal="left" vertical="center"/>
    </xf>
    <xf numFmtId="0" fontId="23" fillId="8" borderId="7">
      <alignment horizontal="center" vertical="top"/>
    </xf>
    <xf numFmtId="0" fontId="18" fillId="0" borderId="8">
      <alignment vertical="top"/>
    </xf>
    <xf numFmtId="0" fontId="22" fillId="0" borderId="0">
      <alignment vertical="top"/>
    </xf>
    <xf numFmtId="0" fontId="14" fillId="2" borderId="0" applyNumberFormat="0" applyProtection="0">
      <alignment horizontal="left" vertical="center"/>
    </xf>
    <xf numFmtId="0" fontId="10" fillId="2" borderId="1" applyNumberFormat="0" applyProtection="0">
      <alignment horizontal="left" vertical="center"/>
    </xf>
    <xf numFmtId="0" fontId="2" fillId="0" borderId="2" applyNumberFormat="0" applyFill="0" applyProtection="0">
      <alignment horizontal="left" vertical="center"/>
    </xf>
    <xf numFmtId="0" fontId="3" fillId="0" borderId="0" applyNumberFormat="0" applyFill="0" applyProtection="0">
      <alignment horizontal="left" vertical="center"/>
    </xf>
    <xf numFmtId="0" fontId="4" fillId="0" borderId="0" applyFill="0" applyProtection="0">
      <alignment horizontal="left" vertical="center"/>
    </xf>
    <xf numFmtId="0" fontId="5" fillId="0" borderId="0" applyFill="0" applyProtection="0">
      <alignment horizontal="left" vertical="center"/>
    </xf>
    <xf numFmtId="0" fontId="7" fillId="0" borderId="8" applyAlignment="0" applyProtection="0">
      <alignment horizontal="left" vertical="center"/>
    </xf>
    <xf numFmtId="0" fontId="1" fillId="2" borderId="0">
      <alignment horizontal="center" vertical="center"/>
    </xf>
    <xf numFmtId="0" fontId="6" fillId="7" borderId="7">
      <alignment horizontal="center" vertical="center"/>
    </xf>
    <xf numFmtId="0" fontId="27" fillId="0" borderId="9" applyNumberFormat="0" applyFill="0" applyAlignment="0" applyProtection="0"/>
    <xf numFmtId="170" fontId="33" fillId="2" borderId="0">
      <alignment horizontal="left" vertical="center"/>
    </xf>
    <xf numFmtId="0" fontId="35" fillId="2" borderId="0">
      <alignment horizontal="left" vertical="center"/>
    </xf>
    <xf numFmtId="0" fontId="29" fillId="0" borderId="15" applyNumberFormat="0" applyFill="0" applyAlignment="0" applyProtection="0"/>
    <xf numFmtId="0" fontId="34" fillId="0" borderId="16">
      <alignment horizontal="left" vertical="center"/>
    </xf>
    <xf numFmtId="0" fontId="7" fillId="0" borderId="23" applyAlignment="0" applyProtection="0">
      <alignment horizontal="left" vertical="center"/>
    </xf>
  </cellStyleXfs>
  <cellXfs count="185">
    <xf numFmtId="0" fontId="0" fillId="0" borderId="0" xfId="0">
      <alignment vertical="top"/>
    </xf>
    <xf numFmtId="0" fontId="5" fillId="0" borderId="0" xfId="6">
      <alignment horizontal="left" vertical="center"/>
    </xf>
    <xf numFmtId="0" fontId="7" fillId="9" borderId="7" xfId="7">
      <alignment horizontal="center" vertical="center"/>
      <protection locked="0"/>
    </xf>
    <xf numFmtId="0" fontId="9" fillId="2" borderId="0" xfId="9">
      <alignment horizontal="left" vertical="center"/>
    </xf>
    <xf numFmtId="0" fontId="0" fillId="3" borderId="0" xfId="0" applyFill="1">
      <alignment vertical="top"/>
    </xf>
    <xf numFmtId="0" fontId="0" fillId="3" borderId="0" xfId="0" applyFill="1" applyAlignment="1">
      <alignment wrapText="1"/>
    </xf>
    <xf numFmtId="0" fontId="0" fillId="0" borderId="0" xfId="0" applyAlignment="1">
      <alignment horizontal="center"/>
    </xf>
    <xf numFmtId="0" fontId="11" fillId="0" borderId="0" xfId="12">
      <alignment horizontal="center" vertical="center"/>
    </xf>
    <xf numFmtId="0" fontId="0" fillId="0" borderId="0" xfId="0" applyAlignment="1">
      <alignment vertical="top" wrapText="1"/>
    </xf>
    <xf numFmtId="0" fontId="6" fillId="2" borderId="0" xfId="10" applyAlignment="1">
      <alignment horizontal="left" vertical="top" wrapText="1"/>
    </xf>
    <xf numFmtId="0" fontId="0" fillId="3" borderId="0" xfId="0" applyFill="1" applyAlignment="1">
      <alignment vertical="top" wrapText="1"/>
    </xf>
    <xf numFmtId="0" fontId="35" fillId="2" borderId="0" xfId="38" applyFill="1" applyAlignment="1">
      <alignment horizontal="left" vertical="top"/>
    </xf>
    <xf numFmtId="15" fontId="7" fillId="9" borderId="7" xfId="7" applyNumberFormat="1">
      <alignment horizontal="center" vertical="center"/>
      <protection locked="0"/>
    </xf>
    <xf numFmtId="0" fontId="7" fillId="9" borderId="7" xfId="7" applyNumberFormat="1">
      <alignment horizontal="center" vertical="center"/>
      <protection locked="0"/>
    </xf>
    <xf numFmtId="0" fontId="13" fillId="0" borderId="0" xfId="14">
      <alignment horizontal="center" vertical="top"/>
    </xf>
    <xf numFmtId="0" fontId="0" fillId="3" borderId="0" xfId="0" applyFill="1" applyAlignment="1">
      <alignment horizontal="center" vertical="top"/>
    </xf>
    <xf numFmtId="0" fontId="0" fillId="2" borderId="0" xfId="0" applyFill="1" applyAlignment="1">
      <alignment horizontal="center"/>
    </xf>
    <xf numFmtId="0" fontId="0" fillId="2" borderId="0" xfId="0" applyFill="1">
      <alignment vertical="top"/>
    </xf>
    <xf numFmtId="0" fontId="18" fillId="0" borderId="8" xfId="25">
      <alignment vertical="top"/>
    </xf>
    <xf numFmtId="0" fontId="14" fillId="2" borderId="0" xfId="5">
      <alignment horizontal="left" vertical="center"/>
    </xf>
    <xf numFmtId="0" fontId="10" fillId="2" borderId="1" xfId="11">
      <alignment horizontal="left" vertical="center"/>
    </xf>
    <xf numFmtId="0" fontId="10" fillId="2" borderId="1" xfId="11" applyAlignment="1">
      <alignment horizontal="center" vertical="center"/>
    </xf>
    <xf numFmtId="0" fontId="2" fillId="0" borderId="2" xfId="18">
      <alignment horizontal="left" vertical="center"/>
    </xf>
    <xf numFmtId="0" fontId="22" fillId="0" borderId="0" xfId="26">
      <alignment vertical="top"/>
    </xf>
    <xf numFmtId="0" fontId="14" fillId="2" borderId="0" xfId="5" applyAlignment="1">
      <alignment horizontal="center" vertical="center"/>
    </xf>
    <xf numFmtId="0" fontId="9" fillId="2" borderId="0" xfId="9" applyAlignment="1">
      <alignment horizontal="center" vertical="center"/>
    </xf>
    <xf numFmtId="0" fontId="6" fillId="2" borderId="0" xfId="10" applyAlignment="1">
      <alignment horizontal="center" vertical="top"/>
    </xf>
    <xf numFmtId="0" fontId="0" fillId="0" borderId="0" xfId="0" applyAlignment="1">
      <alignment horizontal="center" vertical="top" wrapText="1"/>
    </xf>
    <xf numFmtId="0" fontId="28" fillId="2" borderId="0" xfId="5" applyFont="1" applyAlignment="1">
      <alignment horizontal="center" vertical="center"/>
    </xf>
    <xf numFmtId="0" fontId="7" fillId="9" borderId="7" xfId="7" applyAlignment="1">
      <alignment horizontal="right" vertical="center"/>
      <protection locked="0"/>
    </xf>
    <xf numFmtId="0" fontId="16" fillId="6" borderId="7" xfId="15" applyAlignment="1">
      <alignment horizontal="right" vertical="center"/>
    </xf>
    <xf numFmtId="0" fontId="22" fillId="0" borderId="0" xfId="26" applyAlignment="1">
      <alignment horizontal="right" vertical="center"/>
    </xf>
    <xf numFmtId="0" fontId="6" fillId="7" borderId="7" xfId="35">
      <alignment horizontal="center" vertical="center"/>
    </xf>
    <xf numFmtId="0" fontId="23" fillId="8" borderId="7" xfId="24">
      <alignment horizontal="center" vertical="top"/>
    </xf>
    <xf numFmtId="0" fontId="23" fillId="8" borderId="10" xfId="24" applyBorder="1">
      <alignment horizontal="center" vertical="top"/>
    </xf>
    <xf numFmtId="0" fontId="18" fillId="0" borderId="11" xfId="25" applyBorder="1">
      <alignment vertical="top"/>
    </xf>
    <xf numFmtId="0" fontId="7" fillId="9" borderId="12" xfId="7" applyBorder="1" applyAlignment="1">
      <alignment horizontal="right" vertical="center"/>
      <protection locked="0"/>
    </xf>
    <xf numFmtId="15" fontId="18" fillId="0" borderId="8" xfId="25" applyNumberFormat="1" applyAlignment="1">
      <alignment horizontal="left" vertical="top"/>
    </xf>
    <xf numFmtId="2" fontId="7" fillId="9" borderId="12" xfId="7" applyNumberFormat="1" applyBorder="1">
      <alignment horizontal="center" vertical="center"/>
      <protection locked="0"/>
    </xf>
    <xf numFmtId="0" fontId="23" fillId="8" borderId="10" xfId="24" applyBorder="1" applyAlignment="1">
      <alignment horizontal="center" vertical="top"/>
    </xf>
    <xf numFmtId="0" fontId="23" fillId="8" borderId="13" xfId="24" applyBorder="1" applyAlignment="1">
      <alignment horizontal="center" vertical="top"/>
    </xf>
    <xf numFmtId="15" fontId="16" fillId="6" borderId="7" xfId="15" applyNumberFormat="1">
      <alignment horizontal="center" vertical="center"/>
    </xf>
    <xf numFmtId="0" fontId="23" fillId="8" borderId="7" xfId="24" applyAlignment="1">
      <alignment horizontal="right" vertical="top"/>
    </xf>
    <xf numFmtId="0" fontId="23" fillId="8" borderId="7" xfId="24" applyAlignment="1">
      <alignment horizontal="left" vertical="top"/>
    </xf>
    <xf numFmtId="167" fontId="7" fillId="9" borderId="7" xfId="7" applyNumberFormat="1" applyAlignment="1">
      <alignment horizontal="right" vertical="center"/>
      <protection locked="0"/>
    </xf>
    <xf numFmtId="10" fontId="7" fillId="0" borderId="8" xfId="33" applyNumberFormat="1" applyAlignment="1">
      <alignment vertical="top"/>
    </xf>
    <xf numFmtId="0" fontId="29" fillId="0" borderId="8" xfId="25" applyFont="1">
      <alignment vertical="top"/>
    </xf>
    <xf numFmtId="0" fontId="0" fillId="0" borderId="8" xfId="0" applyBorder="1">
      <alignment vertical="top"/>
    </xf>
    <xf numFmtId="0" fontId="0" fillId="0" borderId="8" xfId="25" applyFont="1">
      <alignment vertical="top"/>
    </xf>
    <xf numFmtId="0" fontId="23" fillId="8" borderId="10" xfId="24" applyBorder="1" applyAlignment="1">
      <alignment horizontal="right" vertical="top"/>
    </xf>
    <xf numFmtId="168" fontId="7" fillId="0" borderId="8" xfId="33" applyNumberFormat="1" applyAlignment="1">
      <alignment vertical="top"/>
    </xf>
    <xf numFmtId="168" fontId="15" fillId="5" borderId="7" xfId="16" applyNumberFormat="1">
      <alignment vertical="top"/>
    </xf>
    <xf numFmtId="2" fontId="7" fillId="9" borderId="7" xfId="7" applyNumberFormat="1" applyAlignment="1">
      <alignment horizontal="right" vertical="center"/>
      <protection locked="0"/>
    </xf>
    <xf numFmtId="167" fontId="18" fillId="0" borderId="8" xfId="25" applyNumberFormat="1">
      <alignment vertical="top"/>
    </xf>
    <xf numFmtId="2" fontId="18" fillId="0" borderId="8" xfId="25" applyNumberFormat="1">
      <alignment vertical="top"/>
    </xf>
    <xf numFmtId="2" fontId="0" fillId="0" borderId="8" xfId="25" applyNumberFormat="1" applyFont="1">
      <alignment vertical="top"/>
    </xf>
    <xf numFmtId="167" fontId="0" fillId="0" borderId="8" xfId="25" applyNumberFormat="1" applyFont="1">
      <alignment vertical="top"/>
    </xf>
    <xf numFmtId="0" fontId="29" fillId="0" borderId="8" xfId="0" applyFont="1" applyBorder="1">
      <alignment vertical="top"/>
    </xf>
    <xf numFmtId="9" fontId="7" fillId="9" borderId="7" xfId="7" applyNumberFormat="1">
      <alignment horizontal="center" vertical="center"/>
      <protection locked="0"/>
    </xf>
    <xf numFmtId="0" fontId="0" fillId="0" borderId="11" xfId="0" applyBorder="1">
      <alignment vertical="top"/>
    </xf>
    <xf numFmtId="10" fontId="7" fillId="0" borderId="11" xfId="33" applyNumberFormat="1" applyBorder="1" applyAlignment="1">
      <alignment vertical="top"/>
    </xf>
    <xf numFmtId="168" fontId="7" fillId="0" borderId="11" xfId="33" applyNumberFormat="1" applyBorder="1" applyAlignment="1">
      <alignment vertical="top"/>
    </xf>
    <xf numFmtId="165" fontId="7" fillId="0" borderId="8" xfId="33" applyNumberFormat="1" applyAlignment="1">
      <alignment vertical="top" wrapText="1"/>
    </xf>
    <xf numFmtId="168" fontId="17" fillId="0" borderId="8" xfId="33" applyNumberFormat="1" applyFont="1" applyAlignment="1">
      <alignment vertical="top" wrapText="1"/>
    </xf>
    <xf numFmtId="0" fontId="6" fillId="7" borderId="12" xfId="35" applyBorder="1">
      <alignment horizontal="center" vertical="center"/>
    </xf>
    <xf numFmtId="0" fontId="15" fillId="5" borderId="7" xfId="16">
      <alignment vertical="top"/>
    </xf>
    <xf numFmtId="168" fontId="7" fillId="0" borderId="8" xfId="33" applyNumberFormat="1" applyAlignment="1">
      <alignment vertical="top" wrapText="1"/>
    </xf>
    <xf numFmtId="168" fontId="0" fillId="0" borderId="0" xfId="0" applyNumberFormat="1">
      <alignment vertical="top"/>
    </xf>
    <xf numFmtId="169" fontId="0" fillId="0" borderId="0" xfId="0" applyNumberFormat="1">
      <alignment vertical="top"/>
    </xf>
    <xf numFmtId="169" fontId="7" fillId="0" borderId="8" xfId="33" applyNumberFormat="1" applyAlignment="1">
      <alignment vertical="top" wrapText="1"/>
    </xf>
    <xf numFmtId="0" fontId="4" fillId="0" borderId="0" xfId="31">
      <alignment horizontal="left" vertical="center"/>
    </xf>
    <xf numFmtId="0" fontId="6" fillId="7" borderId="7" xfId="35" applyAlignment="1">
      <alignment horizontal="left" vertical="center"/>
    </xf>
    <xf numFmtId="0" fontId="23" fillId="8" borderId="13" xfId="24" applyBorder="1" applyAlignment="1">
      <alignment horizontal="right" vertical="top"/>
    </xf>
    <xf numFmtId="167" fontId="7" fillId="0" borderId="8" xfId="33" applyNumberFormat="1" applyAlignment="1">
      <alignment vertical="top"/>
    </xf>
    <xf numFmtId="165" fontId="0" fillId="0" borderId="0" xfId="0" applyNumberFormat="1">
      <alignment vertical="top"/>
    </xf>
    <xf numFmtId="0" fontId="31" fillId="13" borderId="4" xfId="0" applyFont="1" applyFill="1" applyBorder="1" applyAlignment="1">
      <alignment horizontal="center" vertical="center"/>
    </xf>
    <xf numFmtId="0" fontId="32" fillId="11" borderId="4" xfId="0" applyFont="1" applyFill="1" applyBorder="1" applyAlignment="1">
      <alignment horizontal="center" vertical="center"/>
    </xf>
    <xf numFmtId="0" fontId="32" fillId="2" borderId="4" xfId="0" applyFont="1" applyFill="1" applyBorder="1" applyAlignment="1">
      <alignment horizontal="center" vertical="center"/>
    </xf>
    <xf numFmtId="0" fontId="32" fillId="12" borderId="4" xfId="0" applyFont="1" applyFill="1" applyBorder="1" applyAlignment="1">
      <alignment horizontal="center" vertical="center"/>
    </xf>
    <xf numFmtId="171" fontId="20" fillId="5" borderId="7" xfId="22" applyAlignment="1">
      <alignment horizontal="right" vertical="top"/>
    </xf>
    <xf numFmtId="168" fontId="15" fillId="5" borderId="12" xfId="16" applyNumberFormat="1" applyBorder="1">
      <alignment vertical="top"/>
    </xf>
    <xf numFmtId="171" fontId="20" fillId="5" borderId="7" xfId="22" applyAlignment="1">
      <alignment horizontal="center" vertical="center"/>
    </xf>
    <xf numFmtId="0" fontId="23" fillId="2" borderId="0" xfId="9" applyFont="1" applyAlignment="1">
      <alignment horizontal="center"/>
    </xf>
    <xf numFmtId="0" fontId="18" fillId="0" borderId="8" xfId="25" applyAlignment="1">
      <alignment horizontal="left" vertical="top"/>
    </xf>
    <xf numFmtId="15" fontId="16" fillId="6" borderId="7" xfId="15" applyNumberFormat="1" applyAlignment="1">
      <alignment horizontal="right" vertical="center"/>
    </xf>
    <xf numFmtId="15" fontId="7" fillId="9" borderId="7" xfId="7" applyNumberFormat="1" applyAlignment="1">
      <alignment horizontal="right" vertical="center"/>
      <protection locked="0"/>
    </xf>
    <xf numFmtId="0" fontId="18" fillId="0" borderId="8" xfId="25" applyAlignment="1">
      <alignment horizontal="center" vertical="top"/>
    </xf>
    <xf numFmtId="15" fontId="18" fillId="0" borderId="8" xfId="25" applyNumberFormat="1" applyFill="1" applyAlignment="1">
      <alignment horizontal="left" vertical="top"/>
    </xf>
    <xf numFmtId="172" fontId="0" fillId="0" borderId="0" xfId="0" applyNumberFormat="1">
      <alignment vertical="top"/>
    </xf>
    <xf numFmtId="166" fontId="26" fillId="5" borderId="7" xfId="19" applyAlignment="1">
      <alignment vertical="top" wrapText="1"/>
    </xf>
    <xf numFmtId="10" fontId="0" fillId="0" borderId="0" xfId="0" applyNumberFormat="1">
      <alignment vertical="top"/>
    </xf>
    <xf numFmtId="9" fontId="18" fillId="0" borderId="8" xfId="25" applyNumberFormat="1">
      <alignment vertical="top"/>
    </xf>
    <xf numFmtId="0" fontId="23" fillId="8" borderId="14" xfId="24" applyBorder="1">
      <alignment horizontal="center" vertical="top"/>
    </xf>
    <xf numFmtId="0" fontId="0" fillId="0" borderId="0" xfId="0" applyBorder="1">
      <alignment vertical="top"/>
    </xf>
    <xf numFmtId="0" fontId="18" fillId="0" borderId="8" xfId="25" applyFont="1">
      <alignment vertical="top"/>
    </xf>
    <xf numFmtId="0" fontId="18" fillId="0" borderId="11" xfId="25" applyFont="1" applyBorder="1">
      <alignment vertical="top"/>
    </xf>
    <xf numFmtId="167" fontId="16" fillId="6" borderId="7" xfId="15" applyNumberFormat="1" applyAlignment="1">
      <alignment horizontal="right" vertical="center"/>
    </xf>
    <xf numFmtId="165" fontId="18" fillId="0" borderId="8" xfId="25" applyNumberFormat="1" applyAlignment="1">
      <alignment vertical="top" wrapText="1"/>
    </xf>
    <xf numFmtId="164" fontId="0" fillId="0" borderId="0" xfId="0" applyNumberFormat="1">
      <alignment vertical="top"/>
    </xf>
    <xf numFmtId="173" fontId="0" fillId="0" borderId="0" xfId="0" applyNumberFormat="1">
      <alignment vertical="top"/>
    </xf>
    <xf numFmtId="0" fontId="23" fillId="2" borderId="0" xfId="9" applyFont="1" applyAlignment="1">
      <alignment horizontal="left"/>
    </xf>
    <xf numFmtId="9" fontId="0" fillId="0" borderId="8" xfId="25" applyNumberFormat="1" applyFont="1">
      <alignment vertical="top"/>
    </xf>
    <xf numFmtId="0" fontId="35" fillId="2" borderId="0" xfId="38">
      <alignment horizontal="left" vertical="center"/>
    </xf>
    <xf numFmtId="0" fontId="18" fillId="0" borderId="8" xfId="25" applyFill="1">
      <alignment vertical="top"/>
    </xf>
    <xf numFmtId="3" fontId="7" fillId="9" borderId="7" xfId="7" applyNumberFormat="1" applyAlignment="1">
      <alignment horizontal="right" vertical="center"/>
      <protection locked="0"/>
    </xf>
    <xf numFmtId="172" fontId="18" fillId="0" borderId="8" xfId="25" applyNumberFormat="1">
      <alignment vertical="top"/>
    </xf>
    <xf numFmtId="172" fontId="0" fillId="0" borderId="8" xfId="25" applyNumberFormat="1" applyFont="1">
      <alignment vertical="top"/>
    </xf>
    <xf numFmtId="0" fontId="16" fillId="6" borderId="7" xfId="15" applyAlignment="1">
      <alignment horizontal="left" vertical="center"/>
    </xf>
    <xf numFmtId="3" fontId="0" fillId="0" borderId="0" xfId="0" applyNumberFormat="1">
      <alignment vertical="top"/>
    </xf>
    <xf numFmtId="2" fontId="18" fillId="0" borderId="8" xfId="25" applyNumberFormat="1" applyFill="1">
      <alignment vertical="top"/>
    </xf>
    <xf numFmtId="0" fontId="23" fillId="8" borderId="7" xfId="24" applyNumberFormat="1" applyFont="1" applyFill="1" applyBorder="1" applyAlignment="1">
      <alignment vertical="top"/>
    </xf>
    <xf numFmtId="0" fontId="23" fillId="8" borderId="10" xfId="24" applyNumberFormat="1" applyFont="1" applyFill="1" applyBorder="1" applyAlignment="1">
      <alignment vertical="top"/>
    </xf>
    <xf numFmtId="0" fontId="23" fillId="8" borderId="10" xfId="24" applyNumberFormat="1" applyFont="1" applyFill="1" applyBorder="1" applyAlignment="1">
      <alignment horizontal="right" vertical="top"/>
    </xf>
    <xf numFmtId="165" fontId="7" fillId="0" borderId="8" xfId="33" applyNumberFormat="1" applyAlignment="1">
      <alignment vertical="top"/>
    </xf>
    <xf numFmtId="2" fontId="0" fillId="0" borderId="0" xfId="0" applyNumberFormat="1">
      <alignment vertical="top"/>
    </xf>
    <xf numFmtId="0" fontId="18" fillId="0" borderId="0" xfId="25" applyBorder="1">
      <alignment vertical="top"/>
    </xf>
    <xf numFmtId="0" fontId="0" fillId="0" borderId="8" xfId="25" applyFont="1" applyBorder="1">
      <alignment vertical="top"/>
    </xf>
    <xf numFmtId="0" fontId="0" fillId="0" borderId="0" xfId="25" applyFont="1" applyBorder="1">
      <alignment vertical="top"/>
    </xf>
    <xf numFmtId="0" fontId="0" fillId="0" borderId="8" xfId="25" applyFont="1" applyAlignment="1">
      <alignment horizontal="left" vertical="top" indent="1"/>
    </xf>
    <xf numFmtId="2" fontId="29" fillId="0" borderId="8" xfId="25" applyNumberFormat="1" applyFont="1">
      <alignment vertical="top"/>
    </xf>
    <xf numFmtId="0" fontId="5" fillId="0" borderId="0" xfId="32">
      <alignment horizontal="left" vertical="center"/>
    </xf>
    <xf numFmtId="165" fontId="15" fillId="5" borderId="7" xfId="16" applyNumberFormat="1">
      <alignment vertical="top"/>
    </xf>
    <xf numFmtId="0" fontId="7" fillId="9" borderId="13" xfId="7" applyBorder="1" applyAlignment="1">
      <alignment horizontal="right" vertical="center"/>
      <protection locked="0"/>
    </xf>
    <xf numFmtId="168" fontId="0" fillId="0" borderId="8" xfId="25" applyNumberFormat="1" applyFont="1">
      <alignment vertical="top"/>
    </xf>
    <xf numFmtId="167" fontId="18" fillId="0" borderId="8" xfId="25" applyNumberFormat="1" applyAlignment="1">
      <alignment horizontal="right" vertical="top"/>
    </xf>
    <xf numFmtId="10" fontId="18" fillId="0" borderId="8" xfId="25" applyNumberFormat="1" applyAlignment="1">
      <alignment horizontal="right" vertical="top"/>
    </xf>
    <xf numFmtId="0" fontId="23" fillId="8" borderId="7" xfId="24" applyNumberFormat="1" applyFont="1" applyFill="1" applyBorder="1" applyAlignment="1">
      <alignment horizontal="right" vertical="top"/>
    </xf>
    <xf numFmtId="0" fontId="23" fillId="8" borderId="18" xfId="24" applyNumberFormat="1" applyFont="1" applyFill="1" applyBorder="1" applyAlignment="1">
      <alignment vertical="top"/>
    </xf>
    <xf numFmtId="0" fontId="0" fillId="0" borderId="17" xfId="25" applyFont="1" applyBorder="1">
      <alignment vertical="top"/>
    </xf>
    <xf numFmtId="0" fontId="23" fillId="8" borderId="18" xfId="24" applyBorder="1">
      <alignment horizontal="center" vertical="top"/>
    </xf>
    <xf numFmtId="176" fontId="15" fillId="5" borderId="7" xfId="16" applyNumberFormat="1">
      <alignment vertical="top"/>
    </xf>
    <xf numFmtId="177" fontId="15" fillId="5" borderId="7" xfId="16" applyNumberFormat="1">
      <alignment vertical="top"/>
    </xf>
    <xf numFmtId="176" fontId="0" fillId="0" borderId="8" xfId="25" applyNumberFormat="1" applyFont="1">
      <alignment vertical="top"/>
    </xf>
    <xf numFmtId="178" fontId="0" fillId="0" borderId="8" xfId="25" applyNumberFormat="1" applyFont="1">
      <alignment vertical="top"/>
    </xf>
    <xf numFmtId="165" fontId="17" fillId="0" borderId="8" xfId="33" applyNumberFormat="1" applyFont="1" applyAlignment="1">
      <alignment vertical="top"/>
    </xf>
    <xf numFmtId="165" fontId="29" fillId="0" borderId="8" xfId="25" applyNumberFormat="1" applyFont="1">
      <alignment vertical="top"/>
    </xf>
    <xf numFmtId="165" fontId="0" fillId="0" borderId="8" xfId="25" applyNumberFormat="1" applyFont="1">
      <alignment vertical="top"/>
    </xf>
    <xf numFmtId="165" fontId="7" fillId="0" borderId="8" xfId="33" applyNumberFormat="1" applyFont="1" applyAlignment="1">
      <alignment vertical="top"/>
    </xf>
    <xf numFmtId="168" fontId="18" fillId="0" borderId="8" xfId="25" applyNumberFormat="1">
      <alignment vertical="top"/>
    </xf>
    <xf numFmtId="0" fontId="16" fillId="6" borderId="20" xfId="15" applyBorder="1" applyAlignment="1">
      <alignment horizontal="left" vertical="center"/>
    </xf>
    <xf numFmtId="0" fontId="16" fillId="6" borderId="12" xfId="15" applyBorder="1" applyAlignment="1">
      <alignment horizontal="left" vertical="center"/>
    </xf>
    <xf numFmtId="0" fontId="23" fillId="8" borderId="21" xfId="24" applyBorder="1">
      <alignment horizontal="center" vertical="top"/>
    </xf>
    <xf numFmtId="0" fontId="23" fillId="8" borderId="13" xfId="24" applyBorder="1">
      <alignment horizontal="center" vertical="top"/>
    </xf>
    <xf numFmtId="0" fontId="16" fillId="6" borderId="19" xfId="15" applyBorder="1" applyAlignment="1">
      <alignment horizontal="left" vertical="center"/>
    </xf>
    <xf numFmtId="0" fontId="16" fillId="6" borderId="22" xfId="15" applyBorder="1" applyAlignment="1">
      <alignment horizontal="left" vertical="center"/>
    </xf>
    <xf numFmtId="0" fontId="23" fillId="8" borderId="10" xfId="24" applyNumberFormat="1" applyFont="1" applyFill="1" applyBorder="1" applyAlignment="1">
      <alignment horizontal="center" vertical="top"/>
    </xf>
    <xf numFmtId="9" fontId="6" fillId="7" borderId="7" xfId="35" applyNumberFormat="1">
      <alignment horizontal="center" vertical="center"/>
    </xf>
    <xf numFmtId="9" fontId="6" fillId="7" borderId="12" xfId="35" applyNumberFormat="1" applyBorder="1">
      <alignment horizontal="center" vertical="center"/>
    </xf>
    <xf numFmtId="0" fontId="23" fillId="8" borderId="13" xfId="24" applyNumberFormat="1" applyFont="1" applyFill="1" applyBorder="1" applyAlignment="1">
      <alignment horizontal="center" vertical="top"/>
    </xf>
    <xf numFmtId="166" fontId="26" fillId="5" borderId="7" xfId="19" applyAlignment="1">
      <alignment vertical="top"/>
    </xf>
    <xf numFmtId="3" fontId="0" fillId="0" borderId="8" xfId="25" applyNumberFormat="1" applyFont="1">
      <alignment vertical="top"/>
    </xf>
    <xf numFmtId="1" fontId="0" fillId="0" borderId="8" xfId="25" applyNumberFormat="1" applyFont="1">
      <alignment vertical="top"/>
    </xf>
    <xf numFmtId="0" fontId="0" fillId="0" borderId="11" xfId="25" applyFont="1" applyBorder="1">
      <alignment vertical="top"/>
    </xf>
    <xf numFmtId="0" fontId="7" fillId="9" borderId="12" xfId="7" applyBorder="1">
      <alignment horizontal="center" vertical="center"/>
      <protection locked="0"/>
    </xf>
    <xf numFmtId="0" fontId="6" fillId="7" borderId="22" xfId="35" applyBorder="1" applyAlignment="1">
      <alignment horizontal="left" vertical="center"/>
    </xf>
    <xf numFmtId="3" fontId="0" fillId="0" borderId="11" xfId="25" applyNumberFormat="1" applyFont="1" applyBorder="1">
      <alignment vertical="top"/>
    </xf>
    <xf numFmtId="15" fontId="15" fillId="5" borderId="7" xfId="16" applyNumberFormat="1">
      <alignment vertical="top"/>
    </xf>
    <xf numFmtId="3" fontId="0" fillId="0" borderId="0" xfId="25" applyNumberFormat="1" applyFont="1" applyBorder="1">
      <alignment vertical="top"/>
    </xf>
    <xf numFmtId="3" fontId="0" fillId="0" borderId="8" xfId="25" applyNumberFormat="1" applyFont="1" applyBorder="1">
      <alignment vertical="top"/>
    </xf>
    <xf numFmtId="2" fontId="7" fillId="9" borderId="22" xfId="7" applyNumberFormat="1" applyBorder="1" applyAlignment="1">
      <alignment horizontal="right" vertical="center"/>
      <protection locked="0"/>
    </xf>
    <xf numFmtId="3" fontId="7" fillId="9" borderId="22" xfId="7" applyNumberFormat="1" applyBorder="1" applyAlignment="1">
      <alignment horizontal="right" vertical="center"/>
      <protection locked="0"/>
    </xf>
    <xf numFmtId="0" fontId="7" fillId="9" borderId="24" xfId="7" applyBorder="1" applyAlignment="1">
      <alignment horizontal="right" vertical="center"/>
      <protection locked="0"/>
    </xf>
    <xf numFmtId="0" fontId="18" fillId="0" borderId="8" xfId="25" applyFill="1" applyBorder="1">
      <alignment vertical="top"/>
    </xf>
    <xf numFmtId="0" fontId="18" fillId="0" borderId="8" xfId="25" applyFill="1" applyBorder="1" applyAlignment="1">
      <alignment horizontal="center" vertical="top"/>
    </xf>
    <xf numFmtId="0" fontId="18" fillId="0" borderId="8" xfId="25" applyAlignment="1">
      <alignment horizontal="right" vertical="top"/>
    </xf>
    <xf numFmtId="174" fontId="11" fillId="0" borderId="0" xfId="12" applyNumberFormat="1">
      <alignment horizontal="center" vertical="center"/>
    </xf>
    <xf numFmtId="0" fontId="0" fillId="0" borderId="8" xfId="25" applyFont="1" applyFill="1">
      <alignment vertical="top"/>
    </xf>
    <xf numFmtId="0" fontId="23" fillId="8" borderId="10" xfId="24" applyBorder="1" applyAlignment="1">
      <alignment horizontal="left" vertical="top"/>
    </xf>
    <xf numFmtId="168" fontId="15" fillId="5" borderId="7" xfId="16" applyNumberFormat="1" applyAlignment="1">
      <alignment vertical="top" wrapText="1"/>
    </xf>
    <xf numFmtId="171" fontId="20" fillId="5" borderId="7" xfId="22" applyAlignment="1">
      <alignment horizontal="right" vertical="top" wrapText="1"/>
    </xf>
    <xf numFmtId="0" fontId="6" fillId="7" borderId="7" xfId="35" applyAlignment="1">
      <alignment horizontal="center" vertical="top" wrapText="1"/>
    </xf>
    <xf numFmtId="167" fontId="7" fillId="0" borderId="11" xfId="33" applyNumberFormat="1" applyBorder="1" applyAlignment="1">
      <alignment vertical="top"/>
    </xf>
    <xf numFmtId="172" fontId="16" fillId="6" borderId="7" xfId="15" applyNumberFormat="1" applyAlignment="1">
      <alignment horizontal="right" vertical="center"/>
    </xf>
    <xf numFmtId="172" fontId="7" fillId="9" borderId="7" xfId="7" applyNumberFormat="1" applyAlignment="1">
      <alignment horizontal="right" vertical="center"/>
      <protection locked="0"/>
    </xf>
    <xf numFmtId="0" fontId="23" fillId="8" borderId="7" xfId="24" applyNumberFormat="1" applyFont="1" applyFill="1" applyBorder="1" applyAlignment="1">
      <alignment horizontal="center" vertical="top"/>
    </xf>
    <xf numFmtId="0" fontId="0" fillId="0" borderId="0" xfId="0" applyNumberFormat="1">
      <alignment vertical="top"/>
    </xf>
    <xf numFmtId="0" fontId="7" fillId="0" borderId="8" xfId="33" applyFill="1" applyAlignment="1">
      <alignment vertical="top"/>
    </xf>
    <xf numFmtId="167" fontId="0" fillId="0" borderId="0" xfId="0" applyNumberFormat="1">
      <alignment vertical="top"/>
    </xf>
    <xf numFmtId="175" fontId="0" fillId="0" borderId="0" xfId="0" applyNumberFormat="1">
      <alignment vertical="top"/>
    </xf>
    <xf numFmtId="8" fontId="7" fillId="0" borderId="8" xfId="33" applyNumberFormat="1" applyAlignment="1">
      <alignment vertical="top"/>
    </xf>
    <xf numFmtId="179" fontId="0" fillId="0" borderId="0" xfId="0" applyNumberFormat="1">
      <alignment vertical="top"/>
    </xf>
    <xf numFmtId="0" fontId="35" fillId="2" borderId="0" xfId="38" quotePrefix="1">
      <alignment horizontal="left" vertical="center"/>
    </xf>
    <xf numFmtId="0" fontId="6" fillId="2" borderId="0" xfId="10" applyAlignment="1">
      <alignment horizontal="left" vertical="center" wrapText="1"/>
    </xf>
    <xf numFmtId="0" fontId="24" fillId="0" borderId="0" xfId="0" applyFont="1" applyAlignment="1">
      <alignment horizontal="left" vertical="top" wrapText="1"/>
    </xf>
    <xf numFmtId="0" fontId="25" fillId="0" borderId="0" xfId="0" applyFont="1" applyAlignment="1">
      <alignment horizontal="left" vertical="top" wrapText="1"/>
    </xf>
  </cellXfs>
  <cellStyles count="42">
    <cellStyle name="Auto-label" xfId="40" xr:uid="{73CCA8BC-5AD7-4E85-A6E0-32EF7EF688EF}"/>
    <cellStyle name="Auto-populated" xfId="35" xr:uid="{92CD633B-B870-4480-A542-76D077643B78}"/>
    <cellStyle name="Banner_H3" xfId="13" xr:uid="{FE5785C0-235B-4C70-900C-EF2001520144}"/>
    <cellStyle name="Body_H1" xfId="37" xr:uid="{3D3122E7-4A4D-43F7-8A2F-A315DF102D9A}"/>
    <cellStyle name="Calculation" xfId="8" builtinId="22" hidden="1" customBuiltin="1"/>
    <cellStyle name="Calculation" xfId="33" xr:uid="{02E3DF3F-3256-4406-B889-2D6690639BEB}"/>
    <cellStyle name="Check Cell" xfId="19" builtinId="23" customBuiltin="1"/>
    <cellStyle name="Check result" xfId="22" xr:uid="{7CA6913E-F58F-4741-9988-4121D79BFD7B}"/>
    <cellStyle name="Defined names" xfId="14" xr:uid="{4248BE1A-3F2D-4913-B913-A6FBE3436F34}"/>
    <cellStyle name="Explanatory Text" xfId="21" builtinId="53" customBuiltin="1"/>
    <cellStyle name="External link" xfId="17" xr:uid="{FAB4C5FD-358F-4CD6-BC6E-724C598431E5}"/>
    <cellStyle name="Formulas" xfId="41" xr:uid="{F112E758-6F5C-4D3B-8A1A-B0DFEBB4A882}"/>
    <cellStyle name="Hard-coded" xfId="15" xr:uid="{200D9EA9-3A37-415F-8834-A52A844D661D}"/>
    <cellStyle name="Heading 1" xfId="1" builtinId="16" hidden="1" customBuiltin="1"/>
    <cellStyle name="Heading 1" xfId="27" builtinId="16" customBuiltin="1"/>
    <cellStyle name="Heading 2" xfId="2" builtinId="17" hidden="1" customBuiltin="1"/>
    <cellStyle name="Heading 2" xfId="28" builtinId="17" customBuiltin="1"/>
    <cellStyle name="Heading 3" xfId="3" builtinId="18" hidden="1" customBuiltin="1"/>
    <cellStyle name="Heading 3" xfId="29" builtinId="18" customBuiltin="1"/>
    <cellStyle name="Heading 4" xfId="4" builtinId="19" hidden="1" customBuiltin="1"/>
    <cellStyle name="Heading 4" xfId="30" builtinId="19" customBuiltin="1"/>
    <cellStyle name="Heading 5" xfId="31" xr:uid="{94E6345E-6BD4-45F0-9D01-9D42661ECA31}"/>
    <cellStyle name="Heading 6" xfId="32" xr:uid="{69B6DADD-1AE3-442B-9C06-14D5E52B303F}"/>
    <cellStyle name="Heading 7" xfId="9" xr:uid="{65CE4549-62A3-4210-9F25-2F9839E1F791}"/>
    <cellStyle name="Heading 8" xfId="23" xr:uid="{9E45A076-5177-4FEE-A6E2-BC3208B3DF96}"/>
    <cellStyle name="Hyperlink" xfId="38" builtinId="8" customBuiltin="1"/>
    <cellStyle name="Input" xfId="7" builtinId="20" customBuiltin="1"/>
    <cellStyle name="Internal link/lookup" xfId="16" xr:uid="{2D1739BB-E732-4E26-A2B2-CCA56472379C}"/>
    <cellStyle name="Linked Cell" xfId="36" builtinId="24" hidden="1"/>
    <cellStyle name="Model title heading" xfId="5" xr:uid="{49720198-0457-4C71-953B-1E69023AC69A}"/>
    <cellStyle name="Normal" xfId="0" builtinId="0" customBuiltin="1"/>
    <cellStyle name="Normal 2" xfId="10" xr:uid="{F85F6E40-0042-4237-9B34-A53CE09B085A}"/>
    <cellStyle name="Note" xfId="20" builtinId="10" customBuiltin="1"/>
    <cellStyle name="Numbering" xfId="12" xr:uid="{7BCF1B39-1E88-4D0F-9909-781FF2652C1A}"/>
    <cellStyle name="Numbering 3" xfId="34" xr:uid="{513ECFB5-F1B0-4A60-8F3D-7675E1A0F618}"/>
    <cellStyle name="Other heading 1" xfId="6" xr:uid="{5A2EFDA9-BC12-42D8-8C23-4D391E77FA8E}"/>
    <cellStyle name="Section heading" xfId="18" xr:uid="{9F4B368D-F879-44E3-8E17-29DD8542A9E8}"/>
    <cellStyle name="Sheet heading" xfId="11" xr:uid="{6DEA63FE-C2FC-4D51-AFD8-F668D7E75EDD}"/>
    <cellStyle name="Table cell" xfId="25" xr:uid="{33044786-416C-4FE4-85B1-41BEF94590D6}"/>
    <cellStyle name="Table col heading" xfId="24" xr:uid="{796CBF3A-5CFE-4864-B572-7D991870B886}"/>
    <cellStyle name="Table heading" xfId="26" xr:uid="{C6E1E3D7-B02B-4DF4-8CAA-43F258527446}"/>
    <cellStyle name="Total" xfId="39" builtinId="25" customBuiltin="1"/>
  </cellStyles>
  <dxfs count="605">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diagonalUp="0" diagonalDown="0">
        <left style="thin">
          <color theme="0"/>
        </left>
        <right/>
        <top style="thin">
          <color theme="0"/>
        </top>
        <bottom style="thin">
          <color theme="0"/>
        </bottom>
        <vertical/>
        <horizontal/>
      </border>
    </dxf>
    <dxf>
      <numFmt numFmtId="168" formatCode="&quot;$&quot;#,##0.0000;[Red]\-&quot;$&quot;#,##0.0000"/>
    </dxf>
    <dxf>
      <numFmt numFmtId="168" formatCode="&quot;$&quot;#,##0.0000;[Red]\-&quot;$&quot;#,##0.0000"/>
    </dxf>
    <dxf>
      <numFmt numFmtId="168" formatCode="&quot;$&quot;#,##0.0000;[Red]\-&quot;$&quot;#,##0.0000"/>
    </dxf>
    <dxf>
      <numFmt numFmtId="168" formatCode="&quot;$&quot;#,##0.0000;[Red]\-&quot;$&quot;#,##0.0000"/>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diagonalUp="0" diagonalDown="0">
        <left style="thin">
          <color theme="0"/>
        </left>
        <right/>
        <top style="thin">
          <color theme="0"/>
        </top>
        <bottom style="thin">
          <color theme="0"/>
        </bottom>
        <vertical/>
        <horizontal/>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outline="0">
        <left style="thin">
          <color theme="0" tint="-0.24994659260841701"/>
        </lef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right style="thin">
          <color theme="0" tint="-0.24994659260841701"/>
        </right>
      </border>
    </dxf>
    <dxf>
      <border outline="0">
        <right style="thin">
          <color theme="0" tint="-0.24994659260841701"/>
        </right>
      </border>
    </dxf>
    <dxf>
      <border outline="0">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outline="0">
        <left style="thin">
          <color theme="0" tint="-0.24994659260841701"/>
        </lef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right style="thin">
          <color theme="0" tint="-0.24994659260841701"/>
        </right>
      </border>
    </dxf>
    <dxf>
      <border outline="0">
        <right style="thin">
          <color theme="0" tint="-0.24994659260841701"/>
        </right>
      </border>
    </dxf>
    <dxf>
      <border outline="0">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diagonalUp="0" diagonalDown="0">
        <left style="thin">
          <color theme="0"/>
        </left>
        <right/>
        <top style="thin">
          <color theme="0"/>
        </top>
        <bottom style="thin">
          <color theme="0"/>
        </bottom>
        <vertical/>
        <horizontal/>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diagonalUp="0" diagonalDown="0">
        <left style="thin">
          <color theme="0"/>
        </left>
        <right/>
        <top style="thin">
          <color theme="0"/>
        </top>
        <bottom style="thin">
          <color theme="0"/>
        </bottom>
        <vertical/>
        <horizontal/>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diagonalUp="0" diagonalDown="0" outline="0">
        <left style="thin">
          <color theme="0"/>
        </left>
        <right/>
        <top style="thin">
          <color theme="0"/>
        </top>
        <bottom style="thin">
          <color theme="0"/>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diagonalUp="0" diagonalDown="0" outline="0">
        <left style="thin">
          <color theme="0"/>
        </left>
        <right/>
        <top style="thin">
          <color theme="0"/>
        </top>
        <bottom style="thin">
          <color theme="0"/>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diagonalUp="0" diagonalDown="0" outline="0">
        <left style="thin">
          <color theme="0"/>
        </left>
        <right/>
        <top style="thin">
          <color theme="0"/>
        </top>
        <bottom style="thin">
          <color theme="0"/>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diagonalUp="0" diagonalDown="0">
        <left style="thin">
          <color theme="0"/>
        </left>
        <right/>
        <top style="thin">
          <color theme="0"/>
        </top>
        <bottom style="thin">
          <color theme="0"/>
        </bottom>
        <vertical/>
        <horizontal/>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76" formatCode="&quot;$&quot;#,##0.000000;[Red]\-&quot;$&quot;#,##0.000000"/>
      <border outline="0">
        <left style="thin">
          <color theme="0"/>
        </left>
      </border>
    </dxf>
    <dxf>
      <numFmt numFmtId="176" formatCode="&quot;$&quot;#,##0.000000;[Red]\-&quot;$&quot;#,##0.000000"/>
      <border outline="0">
        <left style="thin">
          <color theme="0"/>
        </left>
        <right style="thin">
          <color theme="0"/>
        </right>
      </border>
    </dxf>
    <dxf>
      <numFmt numFmtId="176" formatCode="&quot;$&quot;#,##0.000000;[Red]\-&quot;$&quot;#,##0.000000"/>
      <border outline="0">
        <left style="thin">
          <color theme="0"/>
        </left>
        <right style="thin">
          <color theme="0"/>
        </right>
      </border>
    </dxf>
    <dxf>
      <numFmt numFmtId="176" formatCode="&quot;$&quot;#,##0.000000;[Red]\-&quot;$&quot;#,##0.000000"/>
      <border outline="0">
        <left style="thin">
          <color theme="0"/>
        </left>
        <right style="thin">
          <color theme="0"/>
        </right>
      </border>
    </dxf>
    <dxf>
      <numFmt numFmtId="176" formatCode="&quot;$&quot;#,##0.000000;[Red]\-&quot;$&quot;#,##0.000000"/>
      <border outline="0">
        <right style="thin">
          <color theme="0"/>
        </right>
      </border>
    </dxf>
    <dxf>
      <border outline="0">
        <right style="thin">
          <color theme="0"/>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6" formatCode="&quot;$&quot;#,##0.000000;[Red]\-&quot;$&quot;#,##0.000000"/>
      <border outline="0">
        <left style="thin">
          <color theme="0" tint="-0.24994659260841701"/>
        </left>
      </border>
    </dxf>
    <dxf>
      <numFmt numFmtId="176" formatCode="&quot;$&quot;#,##0.000000;[Red]\-&quot;$&quot;#,##0.000000"/>
      <border outline="0">
        <left style="thin">
          <color theme="0" tint="-0.24994659260841701"/>
        </left>
        <right style="thin">
          <color theme="0" tint="-0.24994659260841701"/>
        </right>
      </border>
    </dxf>
    <dxf>
      <numFmt numFmtId="176" formatCode="&quot;$&quot;#,##0.000000;[Red]\-&quot;$&quot;#,##0.000000"/>
      <border outline="0">
        <left style="thin">
          <color theme="0" tint="-0.24994659260841701"/>
        </left>
        <right style="thin">
          <color theme="0" tint="-0.24994659260841701"/>
        </right>
      </border>
    </dxf>
    <dxf>
      <numFmt numFmtId="176" formatCode="&quot;$&quot;#,##0.000000;[Red]\-&quot;$&quot;#,##0.000000"/>
      <border outline="0">
        <left style="thin">
          <color theme="0" tint="-0.24994659260841701"/>
        </left>
        <right style="thin">
          <color theme="0" tint="-0.24994659260841701"/>
        </right>
      </border>
    </dxf>
    <dxf>
      <font>
        <b val="0"/>
        <i val="0"/>
        <strike val="0"/>
        <condense val="0"/>
        <extend val="0"/>
        <outline val="0"/>
        <shadow val="0"/>
        <u val="none"/>
        <vertAlign val="baseline"/>
        <sz val="11"/>
        <color theme="1"/>
        <name val="Calibri"/>
        <family val="2"/>
        <scheme val="minor"/>
      </font>
      <numFmt numFmtId="176" formatCode="&quot;$&quot;#,##0.000000;[Red]\-&quot;$&quot;#,##0.000000"/>
      <border outline="0">
        <right style="thin">
          <color theme="0" tint="-0.24994659260841701"/>
        </right>
      </border>
    </dxf>
    <dxf>
      <border outline="0">
        <right style="thin">
          <color theme="0" tint="-0.24994659260841701"/>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8" formatCode="&quot;$&quot;#,##0.00000000;[Red]\-&quot;$&quot;#,##0.00000000"/>
      <border outline="0">
        <left style="thin">
          <color theme="0" tint="-0.24994659260841701"/>
        </left>
      </border>
    </dxf>
    <dxf>
      <numFmt numFmtId="178" formatCode="&quot;$&quot;#,##0.00000000;[Red]\-&quot;$&quot;#,##0.00000000"/>
      <border outline="0">
        <left style="thin">
          <color theme="0" tint="-0.24994659260841701"/>
        </left>
        <right style="thin">
          <color theme="0" tint="-0.24994659260841701"/>
        </right>
      </border>
    </dxf>
    <dxf>
      <numFmt numFmtId="178" formatCode="&quot;$&quot;#,##0.00000000;[Red]\-&quot;$&quot;#,##0.00000000"/>
      <border outline="0">
        <left style="thin">
          <color theme="0" tint="-0.24994659260841701"/>
        </left>
        <right style="thin">
          <color theme="0" tint="-0.24994659260841701"/>
        </right>
      </border>
    </dxf>
    <dxf>
      <numFmt numFmtId="178" formatCode="&quot;$&quot;#,##0.00000000;[Red]\-&quot;$&quot;#,##0.00000000"/>
      <border outline="0">
        <left style="thin">
          <color theme="0" tint="-0.24994659260841701"/>
        </left>
        <right style="thin">
          <color theme="0" tint="-0.24994659260841701"/>
        </right>
      </border>
    </dxf>
    <dxf>
      <font>
        <b val="0"/>
        <i val="0"/>
        <strike val="0"/>
        <condense val="0"/>
        <extend val="0"/>
        <outline val="0"/>
        <shadow val="0"/>
        <u val="none"/>
        <vertAlign val="baseline"/>
        <sz val="11"/>
        <color theme="1"/>
        <name val="Calibri"/>
        <family val="2"/>
        <scheme val="minor"/>
      </font>
      <numFmt numFmtId="178" formatCode="&quot;$&quot;#,##0.00000000;[Red]\-&quot;$&quot;#,##0.00000000"/>
      <border outline="0">
        <right style="thin">
          <color theme="0" tint="-0.24994659260841701"/>
        </right>
      </border>
    </dxf>
    <dxf>
      <border outline="0">
        <right style="thin">
          <color theme="0" tint="-0.24994659260841701"/>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168"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rder>
    </dxf>
    <dxf>
      <font>
        <b val="0"/>
        <i val="0"/>
        <strike val="0"/>
        <condense val="0"/>
        <extend val="0"/>
        <outline val="0"/>
        <shadow val="0"/>
        <u val="none"/>
        <vertAlign val="baseline"/>
        <sz val="11"/>
        <color theme="1"/>
        <name val="Calibri"/>
        <family val="2"/>
        <scheme val="minor"/>
      </font>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rder>
    </dxf>
    <dxf>
      <font>
        <b val="0"/>
        <i val="0"/>
        <strike val="0"/>
        <condense val="0"/>
        <extend val="0"/>
        <outline val="0"/>
        <shadow val="0"/>
        <u val="none"/>
        <vertAlign val="baseline"/>
        <sz val="11"/>
        <color theme="1"/>
        <name val="Calibri"/>
        <family val="2"/>
        <scheme val="minor"/>
      </font>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dxf>
    <dxf>
      <numFmt numFmtId="168" formatCode="&quot;$&quot;#,##0.0000;[Red]\-&quot;$&quot;#,##0.0000"/>
      <alignment horizontal="general" vertical="top" textRotation="0" wrapText="0" indent="0" justifyLastLine="0" shrinkToFit="0" readingOrder="0"/>
    </dxf>
    <dxf>
      <numFmt numFmtId="168" formatCode="&quot;$&quot;#,##0.0000;[Red]\-&quot;$&quot;#,##0.0000"/>
      <alignment horizontal="general" vertical="top" textRotation="0" wrapText="0" indent="0" justifyLastLine="0" shrinkToFit="0" readingOrder="0"/>
    </dxf>
    <dxf>
      <numFmt numFmtId="168" formatCode="&quot;$&quot;#,##0.0000;[Red]\-&quot;$&quot;#,##0.0000"/>
      <alignment horizontal="general" vertical="top" textRotation="0" wrapText="0" indent="0" justifyLastLine="0" shrinkToFit="0" readingOrder="0"/>
    </dxf>
    <dxf>
      <numFmt numFmtId="168" formatCode="&quot;$&quot;#,##0.0000;[Red]\-&quot;$&quot;#,##0.0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border outline="0">
        <right style="thin">
          <color theme="0" tint="-0.24994659260841701"/>
        </right>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outline="0">
        <left style="thin">
          <color theme="0" tint="-0.24994659260841701"/>
        </lef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outline="0">
        <left style="thin">
          <color theme="0" tint="-0.24994659260841701"/>
        </lef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outline="0">
        <left style="thin">
          <color theme="0" tint="-0.24994659260841701"/>
        </lef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outline="0">
        <left style="thin">
          <color theme="0" tint="-0.24994659260841701"/>
        </lef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67" formatCode="0.0000"/>
      <alignment horizontal="general" vertical="top" textRotation="0" wrapText="0" indent="0" justifyLastLine="0" shrinkToFit="0" readingOrder="0"/>
      <border diagonalUp="0" diagonalDown="0" outline="0">
        <left style="thin">
          <color theme="0"/>
        </left>
        <right/>
        <top style="thin">
          <color theme="0"/>
        </top>
        <bottom style="thin">
          <color theme="0"/>
        </bottom>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7" formatCode="0.0000"/>
    </dxf>
    <dxf>
      <numFmt numFmtId="167" formatCode="0.0000"/>
    </dxf>
    <dxf>
      <numFmt numFmtId="167" formatCode="0.0000"/>
    </dxf>
    <dxf>
      <numFmt numFmtId="167" formatCode="0.0000"/>
    </dxf>
    <dxf>
      <numFmt numFmtId="167" formatCode="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outline="0">
        <left style="thin">
          <color theme="0" tint="-0.24994659260841701"/>
        </left>
      </border>
    </dxf>
    <dxf>
      <numFmt numFmtId="14" formatCode="0.00%"/>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dxf>
    <dxf>
      <numFmt numFmtId="168" formatCode="&quot;$&quot;#,##0.0000;[Red]\-&quot;$&quot;#,##0.0000"/>
      <alignment horizontal="general" vertical="top" textRotation="0" wrapText="0" indent="0" justifyLastLine="0" shrinkToFit="0" readingOrder="0"/>
    </dxf>
    <dxf>
      <numFmt numFmtId="168" formatCode="&quot;$&quot;#,##0.0000;[Red]\-&quot;$&quot;#,##0.0000"/>
      <alignment horizontal="general" vertical="top" textRotation="0" wrapText="0" indent="0" justifyLastLine="0" shrinkToFit="0" readingOrder="0"/>
    </dxf>
    <dxf>
      <numFmt numFmtId="168" formatCode="&quot;$&quot;#,##0.0000;[Red]\-&quot;$&quot;#,##0.0000"/>
      <alignment horizontal="general" vertical="top" textRotation="0" wrapText="0" indent="0" justifyLastLine="0" shrinkToFit="0" readingOrder="0"/>
    </dxf>
    <dxf>
      <numFmt numFmtId="168" formatCode="&quot;$&quot;#,##0.0000;[Red]\-&quot;$&quot;#,##0.0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8" formatCode="&quot;$&quot;#,##0.0000;[Red]\-&quot;$&quot;#,##0.0000"/>
      <alignment horizontal="general" vertical="top"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border outline="0">
        <right style="thin">
          <color theme="0" tint="-0.24994659260841701"/>
        </right>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dxf>
    <dxf>
      <numFmt numFmtId="168" formatCode="&quot;$&quot;#,##0.0000;[Red]\-&quot;$&quot;#,##0.0000"/>
    </dxf>
    <dxf>
      <numFmt numFmtId="168" formatCode="&quot;$&quot;#,##0.0000;[Red]\-&quot;$&quot;#,##0.0000"/>
    </dxf>
    <dxf>
      <numFmt numFmtId="168" formatCode="&quot;$&quot;#,##0.0000;[Red]\-&quot;$&quot;#,##0.0000"/>
    </dxf>
    <dxf>
      <numFmt numFmtId="168"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outline="0">
        <left style="thin">
          <color theme="0" tint="-0.24994659260841701"/>
        </lef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border outline="0">
        <left style="thin">
          <color theme="0" tint="-0.24994659260841701"/>
        </lef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left style="thin">
          <color theme="0" tint="-0.24994659260841701"/>
        </left>
        <right style="thin">
          <color theme="0" tint="-0.24994659260841701"/>
        </right>
      </border>
    </dxf>
    <dxf>
      <numFmt numFmtId="168" formatCode="&quot;$&quot;#,##0.0000;[Red]\-&quot;$&quot;#,##0.000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outline="0">
        <left style="thin">
          <color theme="0" tint="-0.24994659260841701"/>
        </lef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8" formatCode="&quot;$&quot;#,##0.0000;[Red]\-&quot;$&quot;#,##0.0000"/>
      <alignment horizontal="general" vertical="top" textRotation="0" wrapText="0" indent="0" justifyLastLine="0" shrinkToFit="0" readingOrder="0"/>
      <border outline="0">
        <left style="thin">
          <color theme="0" tint="-0.24994659260841701"/>
        </lef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alignment horizontal="general" vertical="top" textRotation="0" wrapText="0" indent="0" justifyLastLine="0" shrinkToFit="0" readingOrder="0"/>
      <border outline="0">
        <left style="thin">
          <color theme="0" tint="-0.24994659260841701"/>
        </left>
        <right style="thin">
          <color theme="0" tint="-0.24994659260841701"/>
        </right>
      </border>
    </dxf>
    <dxf>
      <numFmt numFmtId="168" formatCode="&quot;$&quot;#,##0.0000;[Red]\-&quot;$&quot;#,##0.0000"/>
      <border outline="0">
        <right style="thin">
          <color theme="0" tint="-0.24994659260841701"/>
        </right>
      </border>
    </dxf>
    <dxf>
      <border outline="0">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4" formatCode="0.00%"/>
      <border diagonalUp="0" diagonalDown="0">
        <left style="thin">
          <color theme="0"/>
        </left>
        <right/>
        <top style="thin">
          <color theme="0"/>
        </top>
        <bottom style="thin">
          <color theme="0"/>
        </bottom>
        <vertical/>
        <horizontal/>
      </border>
    </dxf>
    <dxf>
      <numFmt numFmtId="167" formatCode="0.0000"/>
      <alignment horizontal="general" vertical="top" textRotation="0" wrapText="0" indent="0" justifyLastLine="0" shrinkToFit="0" readingOrder="0"/>
      <border diagonalUp="0" diagonalDown="0" outline="0">
        <left style="thin">
          <color theme="0"/>
        </left>
        <right/>
        <top style="thin">
          <color theme="0"/>
        </top>
        <bottom style="thin">
          <color theme="0"/>
        </bottom>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7" formatCode="0.0000"/>
      <border outline="0">
        <left style="thin">
          <color theme="0" tint="-0.24994659260841701"/>
        </left>
      </border>
    </dxf>
    <dxf>
      <numFmt numFmtId="167" formatCode="0.0000"/>
      <border outline="0">
        <left style="thin">
          <color theme="0" tint="-0.24994659260841701"/>
        </left>
        <right style="thin">
          <color theme="0" tint="-0.24994659260841701"/>
        </right>
      </border>
    </dxf>
    <dxf>
      <numFmt numFmtId="167" formatCode="0.0000"/>
      <border outline="0">
        <left style="thin">
          <color theme="0" tint="-0.24994659260841701"/>
        </left>
        <right style="thin">
          <color theme="0" tint="-0.24994659260841701"/>
        </right>
      </border>
    </dxf>
    <dxf>
      <numFmt numFmtId="167" formatCode="0.0000"/>
      <border outline="0">
        <left style="thin">
          <color theme="0" tint="-0.24994659260841701"/>
        </left>
        <right style="thin">
          <color theme="0" tint="-0.24994659260841701"/>
        </right>
      </border>
    </dxf>
    <dxf>
      <numFmt numFmtId="167" formatCode="0.0000"/>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border outline="0">
        <left style="thin">
          <color theme="0" tint="-0.24994659260841701"/>
        </left>
      </border>
    </dxf>
    <dxf>
      <numFmt numFmtId="14" formatCode="0.00%"/>
      <alignment horizontal="general" vertical="top" textRotation="0" wrapText="0" indent="0" justifyLastLine="0" shrinkToFit="0" readingOrder="0"/>
      <border outline="0">
        <right style="thin">
          <color theme="0" tint="-0.24994659260841701"/>
        </right>
      </border>
    </dxf>
    <dxf>
      <border outline="0">
        <right style="thin">
          <color theme="0" tint="-0.24994659260841701"/>
        </right>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border diagonalUp="0" diagonalDown="0">
        <left style="thin">
          <color theme="0"/>
        </left>
        <right/>
        <top style="thin">
          <color theme="0"/>
        </top>
        <bottom style="thin">
          <color theme="0"/>
        </bottom>
        <vertical/>
        <horizontal/>
      </border>
    </dxf>
    <dxf>
      <numFmt numFmtId="20" formatCode="d\-mmm\-yy"/>
    </dxf>
    <dxf>
      <border outline="0">
        <right style="thin">
          <color theme="0"/>
        </right>
        <top style="thin">
          <color theme="0"/>
        </top>
      </border>
    </dxf>
    <dxf>
      <border outline="0">
        <bottom style="thin">
          <color theme="0"/>
        </bottom>
      </border>
    </dxf>
    <dxf>
      <numFmt numFmtId="2" formatCode="0.00"/>
      <border diagonalUp="0" diagonalDown="0">
        <left style="thin">
          <color theme="0"/>
        </left>
        <right/>
        <top style="thin">
          <color theme="0"/>
        </top>
        <bottom style="thin">
          <color theme="0"/>
        </bottom>
        <vertical/>
        <horizontal/>
      </border>
    </dxf>
    <dxf>
      <numFmt numFmtId="20" formatCode="d\-mmm\-yy"/>
      <alignment horizontal="left" vertical="top" textRotation="0" wrapText="0" indent="0" justifyLastLine="0" shrinkToFit="0" readingOrder="0"/>
    </dxf>
    <dxf>
      <border outline="0">
        <right style="thin">
          <color theme="0"/>
        </right>
        <top style="thin">
          <color theme="0"/>
        </top>
      </border>
    </dxf>
    <dxf>
      <border outline="0">
        <bottom style="thin">
          <color theme="0"/>
        </bottom>
      </border>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border diagonalUp="0" diagonalDown="0">
        <left style="thin">
          <color theme="0"/>
        </left>
        <right/>
        <top style="thin">
          <color theme="0"/>
        </top>
        <bottom style="thin">
          <color theme="0"/>
        </bottom>
        <vertical/>
        <horizontal/>
      </border>
    </dxf>
    <dxf>
      <numFmt numFmtId="20" formatCode="d\-mmm\-yy"/>
    </dxf>
    <dxf>
      <numFmt numFmtId="20" formatCode="d\-mmm\-yy"/>
    </dxf>
    <dxf>
      <numFmt numFmtId="20" formatCode="d\-mmm\-yy"/>
    </dxf>
    <dxf>
      <numFmt numFmtId="20" formatCode="d\-mmm\-yy"/>
    </dxf>
    <dxf>
      <alignment horizontal="center" vertical="top" textRotation="0" wrapText="0" indent="0" justifyLastLine="0" shrinkToFit="0" readingOrder="0"/>
    </dxf>
    <dxf>
      <border outline="0">
        <right style="thin">
          <color theme="0"/>
        </right>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13" formatCode="0%"/>
      <border diagonalUp="0" diagonalDown="0">
        <left style="thin">
          <color theme="0"/>
        </left>
        <right/>
        <top style="thin">
          <color theme="0"/>
        </top>
        <bottom style="thin">
          <color theme="0"/>
        </bottom>
        <vertical/>
        <horizontal/>
      </border>
    </dxf>
    <dxf>
      <numFmt numFmtId="13" formatCode="0%"/>
    </dxf>
    <dxf>
      <numFmt numFmtId="13" formatCode="0%"/>
    </dxf>
    <dxf>
      <numFmt numFmtId="13" formatCode="0%"/>
    </dxf>
    <dxf>
      <numFmt numFmtId="13" formatCode="0%"/>
    </dxf>
    <dxf>
      <alignment horizontal="center" vertical="top" textRotation="0" wrapText="0" indent="0" justifyLastLine="0" shrinkToFit="0" readingOrder="0"/>
    </dxf>
    <dxf>
      <border outline="0">
        <right style="thin">
          <color theme="0"/>
        </right>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alignment horizontal="right" vertical="center" textRotation="0" wrapText="0" indent="0" justifyLastLine="0" shrinkToFit="0" readingOrder="0"/>
      <border diagonalUp="0" diagonalDown="0">
        <left style="thin">
          <color theme="0"/>
        </left>
        <right/>
        <top style="thin">
          <color theme="0"/>
        </top>
        <bottom style="thin">
          <color theme="0"/>
        </bottom>
        <vertical/>
        <horizontal/>
      </border>
    </dxf>
    <dxf>
      <numFmt numFmtId="3" formatCode="#,##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numFmt numFmtId="2" formatCode="0.00"/>
      <alignment horizontal="right" vertical="center"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alignment horizontal="right" vertical="center" textRotation="0" wrapText="0" indent="0" justifyLastLine="0" shrinkToFit="0" readingOrder="0"/>
    </dxf>
    <dxf>
      <border outline="0">
        <bottom style="thin">
          <color theme="0"/>
        </bottom>
      </border>
    </dxf>
    <dxf>
      <border diagonalUp="0" diagonalDown="0" outline="0">
        <left style="thin">
          <color theme="0"/>
        </left>
        <right style="thin">
          <color theme="0"/>
        </right>
        <top/>
        <bottom/>
      </border>
    </dxf>
    <dxf>
      <alignment horizontal="left" vertical="center" textRotation="0" wrapText="0" indent="0" justifyLastLine="0" shrinkToFit="0" readingOrder="0"/>
      <border diagonalUp="0" diagonalDown="0">
        <left style="thin">
          <color theme="0"/>
        </left>
        <right/>
        <top style="thin">
          <color theme="0"/>
        </top>
        <bottom style="thin">
          <color theme="0"/>
        </bottom>
        <vertical/>
        <horizontal/>
      </border>
    </dxf>
    <dxf>
      <alignment horizontal="left" vertical="center" textRotation="0" wrapText="0" indent="0" justifyLastLine="0" shrinkToFit="0" readingOrder="0"/>
    </dxf>
    <dxf>
      <alignment horizontal="lef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alignment horizontal="right" vertical="center" textRotation="0" wrapText="0" indent="0" justifyLastLine="0" shrinkToFit="0" readingOrder="0"/>
      <border diagonalUp="0" diagonalDown="0">
        <left style="thin">
          <color theme="0"/>
        </left>
        <right/>
        <top style="thin">
          <color theme="0"/>
        </top>
        <bottom style="thin">
          <color theme="0"/>
        </bottom>
        <vertical/>
        <horizontal/>
      </border>
    </dxf>
    <dxf>
      <numFmt numFmtId="167" formatCode="0.000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167" formatCode="0.0000"/>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numFmt numFmtId="167" formatCode="0.0000"/>
      <alignment horizontal="right" vertical="center" textRotation="0" wrapText="0" indent="0" justifyLastLine="0" shrinkToFit="0" readingOrder="0"/>
    </dxf>
    <dxf>
      <numFmt numFmtId="167" formatCode="0.0000"/>
      <alignment horizontal="righ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alignment horizontal="right" vertical="center" textRotation="0" wrapText="0" indent="0" justifyLastLine="0" shrinkToFit="0" readingOrder="0"/>
      <border outline="0">
        <left style="thin">
          <color theme="0"/>
        </left>
      </border>
    </dxf>
    <dxf>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dxf>
    <dxf>
      <border outline="0">
        <right style="thin">
          <color theme="0"/>
        </right>
      </border>
    </dxf>
    <dxf>
      <border outline="0">
        <right style="thin">
          <color theme="0"/>
        </right>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alignment horizontal="right" vertical="center" textRotation="0" wrapText="0" indent="0" justifyLastLine="0" shrinkToFit="0" readingOrder="0"/>
      <border outline="0">
        <left style="thin">
          <color theme="0"/>
        </left>
      </border>
    </dxf>
    <dxf>
      <numFmt numFmtId="20" formatCode="d\-mmm\-yy"/>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left style="thin">
          <color theme="0"/>
        </left>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left style="thin">
          <color theme="0"/>
        </left>
        <right style="thin">
          <color theme="0"/>
        </right>
      </border>
    </dxf>
    <dxf>
      <numFmt numFmtId="167" formatCode="0.0000"/>
      <alignment horizontal="right" vertical="center" textRotation="0" wrapText="0" indent="0" justifyLastLine="0" shrinkToFit="0" readingOrder="0"/>
      <border outline="0">
        <right style="thin">
          <color theme="0"/>
        </right>
      </border>
    </dxf>
    <dxf>
      <alignment horizontal="right" vertical="center" textRotation="0" wrapText="0" indent="0" justifyLastLine="0" shrinkToFit="0" readingOrder="0"/>
      <border outline="0">
        <right style="thin">
          <color theme="0"/>
        </right>
      </border>
    </dxf>
    <dxf>
      <alignment horizontal="right" vertical="center" textRotation="0" wrapText="0" indent="0" justifyLastLine="0" shrinkToFit="0" readingOrder="0"/>
      <border outline="0">
        <left style="thin">
          <color theme="0"/>
        </left>
        <right style="thin">
          <color theme="0"/>
        </right>
      </border>
    </dxf>
    <dxf>
      <numFmt numFmtId="20" formatCode="d\-mmm\-yy"/>
      <alignment horizontal="right" vertical="center" textRotation="0" wrapText="0" indent="0" justifyLastLine="0" shrinkToFit="0" readingOrder="0"/>
      <border outline="0">
        <right style="thin">
          <color theme="0"/>
        </right>
      </border>
    </dxf>
    <dxf>
      <border outline="0">
        <right style="thin">
          <color theme="0"/>
        </right>
      </border>
    </dxf>
    <dxf>
      <border outline="0">
        <right style="thin">
          <color theme="0"/>
        </right>
      </border>
    </dxf>
    <dxf>
      <border outline="0">
        <top style="thin">
          <color theme="0" tint="-0.24994659260841701"/>
        </top>
      </border>
    </dxf>
    <dxf>
      <border outline="0">
        <top style="thin">
          <color theme="0"/>
        </top>
        <bottom style="thin">
          <color theme="0" tint="-0.24994659260841701"/>
        </bottom>
      </border>
    </dxf>
    <dxf>
      <font>
        <b val="0"/>
        <i val="0"/>
        <color theme="0"/>
      </font>
      <fill>
        <patternFill>
          <bgColor rgb="FF4986A0"/>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Default table" defaultPivotStyle="PivotStyleLight16">
    <tableStyle name="Default table" pivot="0" count="1" xr9:uid="{D7A9B941-B66A-4156-9972-EE896AA49F6E}">
      <tableStyleElement type="headerRow" dxfId="604"/>
    </tableStyle>
  </tableStyles>
  <colors>
    <mruColors>
      <color rgb="FF236192"/>
      <color rgb="FFFFB13F"/>
      <color rgb="FF7F7F7F"/>
      <color rgb="FF4986A0"/>
      <color rgb="FFFF5050"/>
      <color rgb="FF99FFCC"/>
      <color rgb="FFED8B00"/>
      <color rgb="FFD50032"/>
      <color rgb="FFCE0058"/>
      <color rgb="FF67A0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40</xdr:row>
      <xdr:rowOff>0</xdr:rowOff>
    </xdr:from>
    <xdr:to>
      <xdr:col>9</xdr:col>
      <xdr:colOff>1291224</xdr:colOff>
      <xdr:row>66</xdr:row>
      <xdr:rowOff>26413</xdr:rowOff>
    </xdr:to>
    <xdr:grpSp>
      <xdr:nvGrpSpPr>
        <xdr:cNvPr id="2" name="Group 1">
          <a:extLst>
            <a:ext uri="{FF2B5EF4-FFF2-40B4-BE49-F238E27FC236}">
              <a16:creationId xmlns:a16="http://schemas.microsoft.com/office/drawing/2014/main" id="{C9BC8ACF-F2D8-4D9B-A2DF-45EFCD26AA63}"/>
            </a:ext>
          </a:extLst>
        </xdr:cNvPr>
        <xdr:cNvGrpSpPr/>
      </xdr:nvGrpSpPr>
      <xdr:grpSpPr>
        <a:xfrm>
          <a:off x="717176" y="8292353"/>
          <a:ext cx="14962401" cy="4979413"/>
          <a:chOff x="360588" y="6719205"/>
          <a:chExt cx="13962277" cy="4946196"/>
        </a:xfrm>
      </xdr:grpSpPr>
      <xdr:sp macro="" textlink="">
        <xdr:nvSpPr>
          <xdr:cNvPr id="3" name="Rectangle 2">
            <a:extLst>
              <a:ext uri="{FF2B5EF4-FFF2-40B4-BE49-F238E27FC236}">
                <a16:creationId xmlns:a16="http://schemas.microsoft.com/office/drawing/2014/main" id="{C46A065D-140F-43A4-BA9F-25FD41872A84}"/>
              </a:ext>
            </a:extLst>
          </xdr:cNvPr>
          <xdr:cNvSpPr/>
        </xdr:nvSpPr>
        <xdr:spPr>
          <a:xfrm>
            <a:off x="360589" y="9080918"/>
            <a:ext cx="8096249" cy="1142724"/>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bg1"/>
              </a:solidFill>
              <a:latin typeface="+mj-lt"/>
              <a:ea typeface="+mn-ea"/>
              <a:cs typeface="Arial" panose="020B0604020202020204" pitchFamily="34" charset="0"/>
            </a:endParaRPr>
          </a:p>
        </xdr:txBody>
      </xdr:sp>
      <xdr:sp macro="" textlink="">
        <xdr:nvSpPr>
          <xdr:cNvPr id="4" name="Rectangle 3">
            <a:extLst>
              <a:ext uri="{FF2B5EF4-FFF2-40B4-BE49-F238E27FC236}">
                <a16:creationId xmlns:a16="http://schemas.microsoft.com/office/drawing/2014/main" id="{F3F662DE-12BB-4831-BB58-5A21014F9458}"/>
              </a:ext>
            </a:extLst>
          </xdr:cNvPr>
          <xdr:cNvSpPr/>
        </xdr:nvSpPr>
        <xdr:spPr>
          <a:xfrm>
            <a:off x="12739014" y="7383159"/>
            <a:ext cx="1583851" cy="2926186"/>
          </a:xfrm>
          <a:prstGeom prst="rect">
            <a:avLst/>
          </a:prstGeom>
          <a:noFill/>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solidFill>
                  <a:sysClr val="windowText" lastClr="000000"/>
                </a:solidFill>
                <a:latin typeface="+mj-lt"/>
              </a:rPr>
              <a:t>Tariffs</a:t>
            </a:r>
            <a:endParaRPr lang="en-AU" sz="1050" b="0">
              <a:solidFill>
                <a:sysClr val="windowText" lastClr="000000"/>
              </a:solidFill>
              <a:latin typeface="+mj-lt"/>
            </a:endParaRPr>
          </a:p>
        </xdr:txBody>
      </xdr:sp>
      <xdr:sp macro="" textlink="">
        <xdr:nvSpPr>
          <xdr:cNvPr id="5" name="Rectangle 4">
            <a:extLst>
              <a:ext uri="{FF2B5EF4-FFF2-40B4-BE49-F238E27FC236}">
                <a16:creationId xmlns:a16="http://schemas.microsoft.com/office/drawing/2014/main" id="{99C3E2C4-DE88-4544-99E4-0E9EADC043BC}"/>
              </a:ext>
            </a:extLst>
          </xdr:cNvPr>
          <xdr:cNvSpPr/>
        </xdr:nvSpPr>
        <xdr:spPr>
          <a:xfrm>
            <a:off x="2394857" y="10509072"/>
            <a:ext cx="4157700" cy="1142724"/>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AU" sz="900" b="1">
                <a:solidFill>
                  <a:schemeClr val="bg1"/>
                </a:solidFill>
                <a:latin typeface="+mj-lt"/>
                <a:ea typeface="+mn-ea"/>
                <a:cs typeface="Arial" panose="020B0604020202020204" pitchFamily="34" charset="0"/>
              </a:rPr>
              <a:t>Total Variable Charge ($/year)</a:t>
            </a:r>
          </a:p>
        </xdr:txBody>
      </xdr:sp>
      <xdr:sp macro="" textlink="">
        <xdr:nvSpPr>
          <xdr:cNvPr id="6" name="Rectangle 5">
            <a:extLst>
              <a:ext uri="{FF2B5EF4-FFF2-40B4-BE49-F238E27FC236}">
                <a16:creationId xmlns:a16="http://schemas.microsoft.com/office/drawing/2014/main" id="{8ACEE9DE-C61F-42E6-B5CD-666E7FAAB626}"/>
              </a:ext>
            </a:extLst>
          </xdr:cNvPr>
          <xdr:cNvSpPr/>
        </xdr:nvSpPr>
        <xdr:spPr>
          <a:xfrm>
            <a:off x="360588" y="7652511"/>
            <a:ext cx="8096250" cy="1142725"/>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Total Fixed Cost ($)</a:t>
            </a:r>
          </a:p>
        </xdr:txBody>
      </xdr:sp>
      <xdr:sp macro="" textlink="">
        <xdr:nvSpPr>
          <xdr:cNvPr id="7" name="Rectangle 6">
            <a:extLst>
              <a:ext uri="{FF2B5EF4-FFF2-40B4-BE49-F238E27FC236}">
                <a16:creationId xmlns:a16="http://schemas.microsoft.com/office/drawing/2014/main" id="{6ED7D3B3-4725-4946-BC5D-BD1A53C605B5}"/>
              </a:ext>
            </a:extLst>
          </xdr:cNvPr>
          <xdr:cNvSpPr/>
        </xdr:nvSpPr>
        <xdr:spPr>
          <a:xfrm>
            <a:off x="556655" y="7938192"/>
            <a:ext cx="1301956" cy="71420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Retail operating cost ($)</a:t>
            </a:r>
          </a:p>
        </xdr:txBody>
      </xdr:sp>
      <xdr:sp macro="" textlink="">
        <xdr:nvSpPr>
          <xdr:cNvPr id="8" name="Rectangle 7">
            <a:extLst>
              <a:ext uri="{FF2B5EF4-FFF2-40B4-BE49-F238E27FC236}">
                <a16:creationId xmlns:a16="http://schemas.microsoft.com/office/drawing/2014/main" id="{9A462D2E-43B8-421F-8C54-19A5C713ABEB}"/>
              </a:ext>
            </a:extLst>
          </xdr:cNvPr>
          <xdr:cNvSpPr/>
        </xdr:nvSpPr>
        <xdr:spPr>
          <a:xfrm>
            <a:off x="2150434" y="7938192"/>
            <a:ext cx="1301956" cy="71420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charges ($)</a:t>
            </a:r>
          </a:p>
        </xdr:txBody>
      </xdr:sp>
      <xdr:grpSp>
        <xdr:nvGrpSpPr>
          <xdr:cNvPr id="9" name="Group 8">
            <a:extLst>
              <a:ext uri="{FF2B5EF4-FFF2-40B4-BE49-F238E27FC236}">
                <a16:creationId xmlns:a16="http://schemas.microsoft.com/office/drawing/2014/main" id="{0474CDEB-A550-43C3-95E6-50971CC8A0F3}"/>
              </a:ext>
            </a:extLst>
          </xdr:cNvPr>
          <xdr:cNvGrpSpPr/>
        </xdr:nvGrpSpPr>
        <xdr:grpSpPr>
          <a:xfrm>
            <a:off x="1918606" y="8201307"/>
            <a:ext cx="206591" cy="179031"/>
            <a:chOff x="10371365" y="5837464"/>
            <a:chExt cx="337457" cy="299357"/>
          </a:xfrm>
        </xdr:grpSpPr>
        <xdr:cxnSp macro="">
          <xdr:nvCxnSpPr>
            <xdr:cNvPr id="75" name="Straight Connector 74">
              <a:extLst>
                <a:ext uri="{FF2B5EF4-FFF2-40B4-BE49-F238E27FC236}">
                  <a16:creationId xmlns:a16="http://schemas.microsoft.com/office/drawing/2014/main" id="{EA4D082E-0C2B-4106-9DEA-9FD57A49696D}"/>
                </a:ext>
              </a:extLst>
            </xdr:cNvPr>
            <xdr:cNvCxnSpPr/>
          </xdr:nvCxnSpPr>
          <xdr:spPr>
            <a:xfrm>
              <a:off x="10531929" y="5837464"/>
              <a:ext cx="0" cy="2993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6" name="Straight Connector 75">
              <a:extLst>
                <a:ext uri="{FF2B5EF4-FFF2-40B4-BE49-F238E27FC236}">
                  <a16:creationId xmlns:a16="http://schemas.microsoft.com/office/drawing/2014/main" id="{1CFF9391-2D6A-43CE-9DDF-2171647757E3}"/>
                </a:ext>
              </a:extLst>
            </xdr:cNvPr>
            <xdr:cNvCxnSpPr/>
          </xdr:nvCxnSpPr>
          <xdr:spPr>
            <a:xfrm flipH="1">
              <a:off x="10371365" y="5991728"/>
              <a:ext cx="337457" cy="272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 name="Rectangle 9">
            <a:extLst>
              <a:ext uri="{FF2B5EF4-FFF2-40B4-BE49-F238E27FC236}">
                <a16:creationId xmlns:a16="http://schemas.microsoft.com/office/drawing/2014/main" id="{AFDE2285-3A35-4604-A03F-5D5A02213CA8}"/>
              </a:ext>
            </a:extLst>
          </xdr:cNvPr>
          <xdr:cNvSpPr/>
        </xdr:nvSpPr>
        <xdr:spPr>
          <a:xfrm>
            <a:off x="3728860" y="7938192"/>
            <a:ext cx="1295153" cy="71420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Ancillary</a:t>
            </a:r>
          </a:p>
          <a:p>
            <a:pPr marL="0" indent="0" algn="ctr"/>
            <a:r>
              <a:rPr lang="en-AU" sz="900" b="1">
                <a:solidFill>
                  <a:schemeClr val="tx1"/>
                </a:solidFill>
                <a:latin typeface="+mj-lt"/>
                <a:ea typeface="+mn-ea"/>
                <a:cs typeface="Arial" panose="020B0604020202020204" pitchFamily="34" charset="0"/>
              </a:rPr>
              <a:t>($)</a:t>
            </a:r>
          </a:p>
        </xdr:txBody>
      </xdr:sp>
      <xdr:grpSp>
        <xdr:nvGrpSpPr>
          <xdr:cNvPr id="11" name="Group 10">
            <a:extLst>
              <a:ext uri="{FF2B5EF4-FFF2-40B4-BE49-F238E27FC236}">
                <a16:creationId xmlns:a16="http://schemas.microsoft.com/office/drawing/2014/main" id="{6EABDC87-D33E-40B2-B76F-C40C9FAA67E3}"/>
              </a:ext>
            </a:extLst>
          </xdr:cNvPr>
          <xdr:cNvGrpSpPr/>
        </xdr:nvGrpSpPr>
        <xdr:grpSpPr>
          <a:xfrm>
            <a:off x="3497033" y="8201307"/>
            <a:ext cx="199787" cy="179031"/>
            <a:chOff x="10371365" y="5837464"/>
            <a:chExt cx="337457" cy="299357"/>
          </a:xfrm>
        </xdr:grpSpPr>
        <xdr:cxnSp macro="">
          <xdr:nvCxnSpPr>
            <xdr:cNvPr id="73" name="Straight Connector 72">
              <a:extLst>
                <a:ext uri="{FF2B5EF4-FFF2-40B4-BE49-F238E27FC236}">
                  <a16:creationId xmlns:a16="http://schemas.microsoft.com/office/drawing/2014/main" id="{6524B266-6A99-4A19-BE52-AA5CB97018F3}"/>
                </a:ext>
              </a:extLst>
            </xdr:cNvPr>
            <xdr:cNvCxnSpPr/>
          </xdr:nvCxnSpPr>
          <xdr:spPr>
            <a:xfrm>
              <a:off x="10531929" y="5837464"/>
              <a:ext cx="0" cy="2993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a:extLst>
                <a:ext uri="{FF2B5EF4-FFF2-40B4-BE49-F238E27FC236}">
                  <a16:creationId xmlns:a16="http://schemas.microsoft.com/office/drawing/2014/main" id="{E830D930-A8D6-4B81-B490-2009F7AEF28B}"/>
                </a:ext>
              </a:extLst>
            </xdr:cNvPr>
            <xdr:cNvCxnSpPr/>
          </xdr:nvCxnSpPr>
          <xdr:spPr>
            <a:xfrm flipH="1">
              <a:off x="10371365" y="5991728"/>
              <a:ext cx="337457" cy="272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2" name="Rectangle 11">
            <a:extLst>
              <a:ext uri="{FF2B5EF4-FFF2-40B4-BE49-F238E27FC236}">
                <a16:creationId xmlns:a16="http://schemas.microsoft.com/office/drawing/2014/main" id="{D4C9999C-5E6A-444A-A6C5-3727EB54BA13}"/>
              </a:ext>
            </a:extLst>
          </xdr:cNvPr>
          <xdr:cNvSpPr/>
        </xdr:nvSpPr>
        <xdr:spPr>
          <a:xfrm>
            <a:off x="5327700" y="7938192"/>
            <a:ext cx="1301957" cy="71420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Feed-In Tariff</a:t>
            </a:r>
          </a:p>
          <a:p>
            <a:pPr marL="0" indent="0" algn="ctr"/>
            <a:r>
              <a:rPr lang="en-AU" sz="900" b="1">
                <a:solidFill>
                  <a:schemeClr val="tx1"/>
                </a:solidFill>
                <a:latin typeface="+mj-lt"/>
                <a:ea typeface="+mn-ea"/>
                <a:cs typeface="Arial" panose="020B0604020202020204" pitchFamily="34" charset="0"/>
              </a:rPr>
              <a:t>($)</a:t>
            </a:r>
          </a:p>
        </xdr:txBody>
      </xdr:sp>
      <xdr:grpSp>
        <xdr:nvGrpSpPr>
          <xdr:cNvPr id="13" name="Group 12">
            <a:extLst>
              <a:ext uri="{FF2B5EF4-FFF2-40B4-BE49-F238E27FC236}">
                <a16:creationId xmlns:a16="http://schemas.microsoft.com/office/drawing/2014/main" id="{E9ED6F00-E88A-42C0-A173-73170F3385CE}"/>
              </a:ext>
            </a:extLst>
          </xdr:cNvPr>
          <xdr:cNvGrpSpPr/>
        </xdr:nvGrpSpPr>
        <xdr:grpSpPr>
          <a:xfrm>
            <a:off x="5095873" y="8201307"/>
            <a:ext cx="199787" cy="179031"/>
            <a:chOff x="10371365" y="5837464"/>
            <a:chExt cx="337457" cy="299357"/>
          </a:xfrm>
        </xdr:grpSpPr>
        <xdr:cxnSp macro="">
          <xdr:nvCxnSpPr>
            <xdr:cNvPr id="71" name="Straight Connector 70">
              <a:extLst>
                <a:ext uri="{FF2B5EF4-FFF2-40B4-BE49-F238E27FC236}">
                  <a16:creationId xmlns:a16="http://schemas.microsoft.com/office/drawing/2014/main" id="{2240CE3E-5BA0-4C1C-91FD-6E6F5A34442D}"/>
                </a:ext>
              </a:extLst>
            </xdr:cNvPr>
            <xdr:cNvCxnSpPr/>
          </xdr:nvCxnSpPr>
          <xdr:spPr>
            <a:xfrm>
              <a:off x="10531929" y="5837464"/>
              <a:ext cx="0" cy="2993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a:extLst>
                <a:ext uri="{FF2B5EF4-FFF2-40B4-BE49-F238E27FC236}">
                  <a16:creationId xmlns:a16="http://schemas.microsoft.com/office/drawing/2014/main" id="{8B83E771-AED3-4B7E-9B71-59F4AB6ECC21}"/>
                </a:ext>
              </a:extLst>
            </xdr:cNvPr>
            <xdr:cNvCxnSpPr/>
          </xdr:nvCxnSpPr>
          <xdr:spPr>
            <a:xfrm flipH="1">
              <a:off x="10371365" y="5991728"/>
              <a:ext cx="337457" cy="272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4" name="Rectangle 13">
            <a:extLst>
              <a:ext uri="{FF2B5EF4-FFF2-40B4-BE49-F238E27FC236}">
                <a16:creationId xmlns:a16="http://schemas.microsoft.com/office/drawing/2014/main" id="{3B72504F-DF59-4860-A1AD-8B71CE6D4D80}"/>
              </a:ext>
            </a:extLst>
          </xdr:cNvPr>
          <xdr:cNvSpPr/>
        </xdr:nvSpPr>
        <xdr:spPr>
          <a:xfrm>
            <a:off x="6916756" y="7938192"/>
            <a:ext cx="1301957" cy="71420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CARC</a:t>
            </a:r>
          </a:p>
          <a:p>
            <a:pPr marL="0" indent="0" algn="ctr"/>
            <a:r>
              <a:rPr lang="en-AU" sz="900" b="1">
                <a:solidFill>
                  <a:schemeClr val="tx1"/>
                </a:solidFill>
                <a:latin typeface="+mj-lt"/>
                <a:ea typeface="+mn-ea"/>
                <a:cs typeface="Arial" panose="020B0604020202020204" pitchFamily="34" charset="0"/>
              </a:rPr>
              <a:t>($)</a:t>
            </a:r>
          </a:p>
        </xdr:txBody>
      </xdr:sp>
      <xdr:grpSp>
        <xdr:nvGrpSpPr>
          <xdr:cNvPr id="15" name="Group 14">
            <a:extLst>
              <a:ext uri="{FF2B5EF4-FFF2-40B4-BE49-F238E27FC236}">
                <a16:creationId xmlns:a16="http://schemas.microsoft.com/office/drawing/2014/main" id="{83D00FC8-200D-48A1-81B6-9E2D8D359103}"/>
              </a:ext>
            </a:extLst>
          </xdr:cNvPr>
          <xdr:cNvGrpSpPr/>
        </xdr:nvGrpSpPr>
        <xdr:grpSpPr>
          <a:xfrm>
            <a:off x="6684929" y="8201307"/>
            <a:ext cx="206591" cy="179031"/>
            <a:chOff x="10371365" y="5837464"/>
            <a:chExt cx="337457" cy="299357"/>
          </a:xfrm>
        </xdr:grpSpPr>
        <xdr:cxnSp macro="">
          <xdr:nvCxnSpPr>
            <xdr:cNvPr id="69" name="Straight Connector 68">
              <a:extLst>
                <a:ext uri="{FF2B5EF4-FFF2-40B4-BE49-F238E27FC236}">
                  <a16:creationId xmlns:a16="http://schemas.microsoft.com/office/drawing/2014/main" id="{EE2C26FD-C350-4774-801B-16F0339316C7}"/>
                </a:ext>
              </a:extLst>
            </xdr:cNvPr>
            <xdr:cNvCxnSpPr/>
          </xdr:nvCxnSpPr>
          <xdr:spPr>
            <a:xfrm>
              <a:off x="10531929" y="5837464"/>
              <a:ext cx="0" cy="2993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a:extLst>
                <a:ext uri="{FF2B5EF4-FFF2-40B4-BE49-F238E27FC236}">
                  <a16:creationId xmlns:a16="http://schemas.microsoft.com/office/drawing/2014/main" id="{EC68FD31-FD3D-46EC-95AC-0A04319E27D6}"/>
                </a:ext>
              </a:extLst>
            </xdr:cNvPr>
            <xdr:cNvCxnSpPr/>
          </xdr:nvCxnSpPr>
          <xdr:spPr>
            <a:xfrm flipH="1">
              <a:off x="10371365" y="5991728"/>
              <a:ext cx="337457" cy="272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6" name="Group 15">
            <a:extLst>
              <a:ext uri="{FF2B5EF4-FFF2-40B4-BE49-F238E27FC236}">
                <a16:creationId xmlns:a16="http://schemas.microsoft.com/office/drawing/2014/main" id="{66023748-7664-474C-B858-84A83634BF2F}"/>
              </a:ext>
            </a:extLst>
          </xdr:cNvPr>
          <xdr:cNvGrpSpPr/>
        </xdr:nvGrpSpPr>
        <xdr:grpSpPr>
          <a:xfrm rot="2700000">
            <a:off x="8604056" y="8196643"/>
            <a:ext cx="192936" cy="185877"/>
            <a:chOff x="10371365" y="5837464"/>
            <a:chExt cx="337457" cy="299357"/>
          </a:xfrm>
        </xdr:grpSpPr>
        <xdr:cxnSp macro="">
          <xdr:nvCxnSpPr>
            <xdr:cNvPr id="67" name="Straight Connector 66">
              <a:extLst>
                <a:ext uri="{FF2B5EF4-FFF2-40B4-BE49-F238E27FC236}">
                  <a16:creationId xmlns:a16="http://schemas.microsoft.com/office/drawing/2014/main" id="{58D7B027-7F83-447C-99DD-424055775AC6}"/>
                </a:ext>
              </a:extLst>
            </xdr:cNvPr>
            <xdr:cNvCxnSpPr/>
          </xdr:nvCxnSpPr>
          <xdr:spPr>
            <a:xfrm>
              <a:off x="10531929" y="5837464"/>
              <a:ext cx="0" cy="2993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Straight Connector 67">
              <a:extLst>
                <a:ext uri="{FF2B5EF4-FFF2-40B4-BE49-F238E27FC236}">
                  <a16:creationId xmlns:a16="http://schemas.microsoft.com/office/drawing/2014/main" id="{8434D47F-2307-4735-B5A2-FA7BAD1A5142}"/>
                </a:ext>
              </a:extLst>
            </xdr:cNvPr>
            <xdr:cNvCxnSpPr/>
          </xdr:nvCxnSpPr>
          <xdr:spPr>
            <a:xfrm flipH="1">
              <a:off x="10371365" y="5987143"/>
              <a:ext cx="337457" cy="27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Rectangle 16">
            <a:extLst>
              <a:ext uri="{FF2B5EF4-FFF2-40B4-BE49-F238E27FC236}">
                <a16:creationId xmlns:a16="http://schemas.microsoft.com/office/drawing/2014/main" id="{25BABEA7-DDAF-4282-B8AF-7A0816C1C8BE}"/>
              </a:ext>
            </a:extLst>
          </xdr:cNvPr>
          <xdr:cNvSpPr/>
        </xdr:nvSpPr>
        <xdr:spPr>
          <a:xfrm>
            <a:off x="8933090" y="7652511"/>
            <a:ext cx="1428748" cy="1142725"/>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a:t>
            </a:r>
          </a:p>
        </xdr:txBody>
      </xdr:sp>
      <xdr:sp macro="" textlink="">
        <xdr:nvSpPr>
          <xdr:cNvPr id="18" name="Rectangle 17">
            <a:extLst>
              <a:ext uri="{FF2B5EF4-FFF2-40B4-BE49-F238E27FC236}">
                <a16:creationId xmlns:a16="http://schemas.microsoft.com/office/drawing/2014/main" id="{E12E5F9C-A90C-4F33-8967-DE1ADBDD2C1C}"/>
              </a:ext>
            </a:extLst>
          </xdr:cNvPr>
          <xdr:cNvSpPr/>
        </xdr:nvSpPr>
        <xdr:spPr>
          <a:xfrm>
            <a:off x="10824481" y="7652511"/>
            <a:ext cx="1419224" cy="1142725"/>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grpSp>
        <xdr:nvGrpSpPr>
          <xdr:cNvPr id="19" name="Group 18">
            <a:extLst>
              <a:ext uri="{FF2B5EF4-FFF2-40B4-BE49-F238E27FC236}">
                <a16:creationId xmlns:a16="http://schemas.microsoft.com/office/drawing/2014/main" id="{12B5B261-5C42-4E24-8A1C-6EA9FB3A7F79}"/>
              </a:ext>
            </a:extLst>
          </xdr:cNvPr>
          <xdr:cNvGrpSpPr/>
        </xdr:nvGrpSpPr>
        <xdr:grpSpPr>
          <a:xfrm rot="2700000">
            <a:off x="10506286" y="8192117"/>
            <a:ext cx="202461" cy="195402"/>
            <a:chOff x="10371365" y="5837464"/>
            <a:chExt cx="337457" cy="299357"/>
          </a:xfrm>
        </xdr:grpSpPr>
        <xdr:cxnSp macro="">
          <xdr:nvCxnSpPr>
            <xdr:cNvPr id="65" name="Straight Connector 64">
              <a:extLst>
                <a:ext uri="{FF2B5EF4-FFF2-40B4-BE49-F238E27FC236}">
                  <a16:creationId xmlns:a16="http://schemas.microsoft.com/office/drawing/2014/main" id="{62A78A3E-BB60-4BAB-9C63-543AE300987F}"/>
                </a:ext>
              </a:extLst>
            </xdr:cNvPr>
            <xdr:cNvCxnSpPr/>
          </xdr:nvCxnSpPr>
          <xdr:spPr>
            <a:xfrm>
              <a:off x="10531929" y="5837464"/>
              <a:ext cx="0" cy="2993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a:extLst>
                <a:ext uri="{FF2B5EF4-FFF2-40B4-BE49-F238E27FC236}">
                  <a16:creationId xmlns:a16="http://schemas.microsoft.com/office/drawing/2014/main" id="{E0B4FD0D-23DD-4D7C-BE7B-B700AA1B35C2}"/>
                </a:ext>
              </a:extLst>
            </xdr:cNvPr>
            <xdr:cNvCxnSpPr/>
          </xdr:nvCxnSpPr>
          <xdr:spPr>
            <a:xfrm flipH="1">
              <a:off x="10371365" y="5987143"/>
              <a:ext cx="337457" cy="27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0" name="Straight Arrow Connector 19">
            <a:extLst>
              <a:ext uri="{FF2B5EF4-FFF2-40B4-BE49-F238E27FC236}">
                <a16:creationId xmlns:a16="http://schemas.microsoft.com/office/drawing/2014/main" id="{2A40EA30-0939-4AC8-8DDC-B410BAFBE995}"/>
              </a:ext>
            </a:extLst>
          </xdr:cNvPr>
          <xdr:cNvCxnSpPr/>
        </xdr:nvCxnSpPr>
        <xdr:spPr>
          <a:xfrm>
            <a:off x="12375695" y="8264685"/>
            <a:ext cx="242207"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Rectangle 20">
            <a:extLst>
              <a:ext uri="{FF2B5EF4-FFF2-40B4-BE49-F238E27FC236}">
                <a16:creationId xmlns:a16="http://schemas.microsoft.com/office/drawing/2014/main" id="{34D01CA0-1907-4CA9-9D8C-B2CB810DCD4E}"/>
              </a:ext>
            </a:extLst>
          </xdr:cNvPr>
          <xdr:cNvSpPr/>
        </xdr:nvSpPr>
        <xdr:spPr>
          <a:xfrm>
            <a:off x="12808891" y="7653297"/>
            <a:ext cx="1450900" cy="1142725"/>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Supply Charge ($)</a:t>
            </a:r>
          </a:p>
        </xdr:txBody>
      </xdr:sp>
      <xdr:sp macro="" textlink="">
        <xdr:nvSpPr>
          <xdr:cNvPr id="22" name="Rectangle 21">
            <a:extLst>
              <a:ext uri="{FF2B5EF4-FFF2-40B4-BE49-F238E27FC236}">
                <a16:creationId xmlns:a16="http://schemas.microsoft.com/office/drawing/2014/main" id="{D89EB7AF-B1E6-4585-808D-5F541588E5C4}"/>
              </a:ext>
            </a:extLst>
          </xdr:cNvPr>
          <xdr:cNvSpPr/>
        </xdr:nvSpPr>
        <xdr:spPr>
          <a:xfrm>
            <a:off x="10824481" y="9080918"/>
            <a:ext cx="1419224" cy="1142724"/>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a:t>
            </a:r>
          </a:p>
        </xdr:txBody>
      </xdr:sp>
      <xdr:sp macro="" textlink="">
        <xdr:nvSpPr>
          <xdr:cNvPr id="23" name="Rectangle 22">
            <a:extLst>
              <a:ext uri="{FF2B5EF4-FFF2-40B4-BE49-F238E27FC236}">
                <a16:creationId xmlns:a16="http://schemas.microsoft.com/office/drawing/2014/main" id="{0B5D9DDD-BD60-4EC9-8934-47D6D467E027}"/>
              </a:ext>
            </a:extLst>
          </xdr:cNvPr>
          <xdr:cNvSpPr/>
        </xdr:nvSpPr>
        <xdr:spPr>
          <a:xfrm>
            <a:off x="8922064" y="9080918"/>
            <a:ext cx="1428748" cy="1142724"/>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grpSp>
        <xdr:nvGrpSpPr>
          <xdr:cNvPr id="24" name="Group 23">
            <a:extLst>
              <a:ext uri="{FF2B5EF4-FFF2-40B4-BE49-F238E27FC236}">
                <a16:creationId xmlns:a16="http://schemas.microsoft.com/office/drawing/2014/main" id="{154A6583-0868-4BB7-A79A-64E75B7C3301}"/>
              </a:ext>
            </a:extLst>
          </xdr:cNvPr>
          <xdr:cNvGrpSpPr/>
        </xdr:nvGrpSpPr>
        <xdr:grpSpPr>
          <a:xfrm rot="2700000">
            <a:off x="8613393" y="9620523"/>
            <a:ext cx="202462" cy="195402"/>
            <a:chOff x="10371365" y="5837464"/>
            <a:chExt cx="337457" cy="299357"/>
          </a:xfrm>
        </xdr:grpSpPr>
        <xdr:cxnSp macro="">
          <xdr:nvCxnSpPr>
            <xdr:cNvPr id="63" name="Straight Connector 62">
              <a:extLst>
                <a:ext uri="{FF2B5EF4-FFF2-40B4-BE49-F238E27FC236}">
                  <a16:creationId xmlns:a16="http://schemas.microsoft.com/office/drawing/2014/main" id="{CFEC0895-C65B-414B-BEFD-AF8EE87B2432}"/>
                </a:ext>
              </a:extLst>
            </xdr:cNvPr>
            <xdr:cNvCxnSpPr/>
          </xdr:nvCxnSpPr>
          <xdr:spPr>
            <a:xfrm>
              <a:off x="10531929" y="5837464"/>
              <a:ext cx="0" cy="2993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Straight Connector 63">
              <a:extLst>
                <a:ext uri="{FF2B5EF4-FFF2-40B4-BE49-F238E27FC236}">
                  <a16:creationId xmlns:a16="http://schemas.microsoft.com/office/drawing/2014/main" id="{E6FC3405-49A5-44A7-A938-1CEF59500775}"/>
                </a:ext>
              </a:extLst>
            </xdr:cNvPr>
            <xdr:cNvCxnSpPr/>
          </xdr:nvCxnSpPr>
          <xdr:spPr>
            <a:xfrm flipH="1">
              <a:off x="10371365" y="5987143"/>
              <a:ext cx="337457" cy="27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5" name="Straight Arrow Connector 24">
            <a:extLst>
              <a:ext uri="{FF2B5EF4-FFF2-40B4-BE49-F238E27FC236}">
                <a16:creationId xmlns:a16="http://schemas.microsoft.com/office/drawing/2014/main" id="{CD8DC09D-B65A-4243-981F-37E669822561}"/>
              </a:ext>
            </a:extLst>
          </xdr:cNvPr>
          <xdr:cNvCxnSpPr/>
        </xdr:nvCxnSpPr>
        <xdr:spPr>
          <a:xfrm>
            <a:off x="12372820" y="9693091"/>
            <a:ext cx="251732"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Rectangle 25">
            <a:extLst>
              <a:ext uri="{FF2B5EF4-FFF2-40B4-BE49-F238E27FC236}">
                <a16:creationId xmlns:a16="http://schemas.microsoft.com/office/drawing/2014/main" id="{98038015-80C5-41B3-A0A9-2BFF2976EAE6}"/>
              </a:ext>
            </a:extLst>
          </xdr:cNvPr>
          <xdr:cNvSpPr/>
        </xdr:nvSpPr>
        <xdr:spPr>
          <a:xfrm>
            <a:off x="12806016" y="9081704"/>
            <a:ext cx="1450900" cy="1142724"/>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($/kWh)</a:t>
            </a:r>
          </a:p>
        </xdr:txBody>
      </xdr:sp>
      <xdr:sp macro="" textlink="">
        <xdr:nvSpPr>
          <xdr:cNvPr id="27" name="Rectangle 26">
            <a:extLst>
              <a:ext uri="{FF2B5EF4-FFF2-40B4-BE49-F238E27FC236}">
                <a16:creationId xmlns:a16="http://schemas.microsoft.com/office/drawing/2014/main" id="{D6B6BAA7-C4BE-481F-A904-2CB5E0CE51C0}"/>
              </a:ext>
            </a:extLst>
          </xdr:cNvPr>
          <xdr:cNvSpPr/>
        </xdr:nvSpPr>
        <xdr:spPr>
          <a:xfrm>
            <a:off x="475902" y="9393812"/>
            <a:ext cx="1295153" cy="714204"/>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usage charge ($/kWh)</a:t>
            </a:r>
          </a:p>
        </xdr:txBody>
      </xdr:sp>
      <xdr:grpSp>
        <xdr:nvGrpSpPr>
          <xdr:cNvPr id="28" name="Group 27">
            <a:extLst>
              <a:ext uri="{FF2B5EF4-FFF2-40B4-BE49-F238E27FC236}">
                <a16:creationId xmlns:a16="http://schemas.microsoft.com/office/drawing/2014/main" id="{80280D6C-0FE9-473E-B5D8-6889CC98C01C}"/>
              </a:ext>
            </a:extLst>
          </xdr:cNvPr>
          <xdr:cNvGrpSpPr/>
        </xdr:nvGrpSpPr>
        <xdr:grpSpPr>
          <a:xfrm>
            <a:off x="1857373" y="9656948"/>
            <a:ext cx="199787" cy="179033"/>
            <a:chOff x="10526947" y="5881302"/>
            <a:chExt cx="337457" cy="299357"/>
          </a:xfrm>
        </xdr:grpSpPr>
        <xdr:cxnSp macro="">
          <xdr:nvCxnSpPr>
            <xdr:cNvPr id="61" name="Straight Connector 60">
              <a:extLst>
                <a:ext uri="{FF2B5EF4-FFF2-40B4-BE49-F238E27FC236}">
                  <a16:creationId xmlns:a16="http://schemas.microsoft.com/office/drawing/2014/main" id="{B53D0B04-43DE-45DB-812A-32563174AF40}"/>
                </a:ext>
              </a:extLst>
            </xdr:cNvPr>
            <xdr:cNvCxnSpPr/>
          </xdr:nvCxnSpPr>
          <xdr:spPr>
            <a:xfrm>
              <a:off x="10687514" y="5881302"/>
              <a:ext cx="0" cy="2993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a:extLst>
                <a:ext uri="{FF2B5EF4-FFF2-40B4-BE49-F238E27FC236}">
                  <a16:creationId xmlns:a16="http://schemas.microsoft.com/office/drawing/2014/main" id="{EB118F7A-74E1-44D8-9D94-B4FC7CC0FDEC}"/>
                </a:ext>
              </a:extLst>
            </xdr:cNvPr>
            <xdr:cNvCxnSpPr/>
          </xdr:nvCxnSpPr>
          <xdr:spPr>
            <a:xfrm flipH="1">
              <a:off x="10526947" y="6030945"/>
              <a:ext cx="337457" cy="272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9" name="Rectangle 28">
            <a:extLst>
              <a:ext uri="{FF2B5EF4-FFF2-40B4-BE49-F238E27FC236}">
                <a16:creationId xmlns:a16="http://schemas.microsoft.com/office/drawing/2014/main" id="{2B2B9C5D-71F6-48B7-9195-56324E8D3549}"/>
              </a:ext>
            </a:extLst>
          </xdr:cNvPr>
          <xdr:cNvSpPr/>
        </xdr:nvSpPr>
        <xdr:spPr>
          <a:xfrm>
            <a:off x="360588" y="10509072"/>
            <a:ext cx="1419224" cy="1142724"/>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Supply Charge ($/year)</a:t>
            </a:r>
          </a:p>
        </xdr:txBody>
      </xdr:sp>
      <xdr:sp macro="" textlink="">
        <xdr:nvSpPr>
          <xdr:cNvPr id="30" name="Rectangle 29">
            <a:extLst>
              <a:ext uri="{FF2B5EF4-FFF2-40B4-BE49-F238E27FC236}">
                <a16:creationId xmlns:a16="http://schemas.microsoft.com/office/drawing/2014/main" id="{52831A2D-1EE6-4972-87BF-23FC246B1CBB}"/>
              </a:ext>
            </a:extLst>
          </xdr:cNvPr>
          <xdr:cNvSpPr/>
        </xdr:nvSpPr>
        <xdr:spPr>
          <a:xfrm>
            <a:off x="2544867" y="10803996"/>
            <a:ext cx="1419224" cy="709319"/>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($/kWh)</a:t>
            </a:r>
          </a:p>
        </xdr:txBody>
      </xdr:sp>
      <xdr:grpSp>
        <xdr:nvGrpSpPr>
          <xdr:cNvPr id="31" name="Group 30">
            <a:extLst>
              <a:ext uri="{FF2B5EF4-FFF2-40B4-BE49-F238E27FC236}">
                <a16:creationId xmlns:a16="http://schemas.microsoft.com/office/drawing/2014/main" id="{64F50618-7BF0-443B-8789-284159324C2F}"/>
              </a:ext>
            </a:extLst>
          </xdr:cNvPr>
          <xdr:cNvGrpSpPr/>
        </xdr:nvGrpSpPr>
        <xdr:grpSpPr>
          <a:xfrm>
            <a:off x="1970560" y="10982636"/>
            <a:ext cx="199788" cy="179016"/>
            <a:chOff x="9878345" y="5551967"/>
            <a:chExt cx="337457" cy="299356"/>
          </a:xfrm>
        </xdr:grpSpPr>
        <xdr:cxnSp macro="">
          <xdr:nvCxnSpPr>
            <xdr:cNvPr id="59" name="Straight Connector 58">
              <a:extLst>
                <a:ext uri="{FF2B5EF4-FFF2-40B4-BE49-F238E27FC236}">
                  <a16:creationId xmlns:a16="http://schemas.microsoft.com/office/drawing/2014/main" id="{1A3BFA56-3C89-47F8-9798-92E8FC062FFF}"/>
                </a:ext>
              </a:extLst>
            </xdr:cNvPr>
            <xdr:cNvCxnSpPr/>
          </xdr:nvCxnSpPr>
          <xdr:spPr>
            <a:xfrm>
              <a:off x="10037989" y="5551967"/>
              <a:ext cx="0" cy="29935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a:extLst>
                <a:ext uri="{FF2B5EF4-FFF2-40B4-BE49-F238E27FC236}">
                  <a16:creationId xmlns:a16="http://schemas.microsoft.com/office/drawing/2014/main" id="{AF01E3AC-625E-4691-92A8-3FE7C2F2E984}"/>
                </a:ext>
              </a:extLst>
            </xdr:cNvPr>
            <xdr:cNvCxnSpPr/>
          </xdr:nvCxnSpPr>
          <xdr:spPr>
            <a:xfrm flipH="1">
              <a:off x="9878345" y="5701593"/>
              <a:ext cx="337457" cy="272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2" name="Rectangle 31">
            <a:extLst>
              <a:ext uri="{FF2B5EF4-FFF2-40B4-BE49-F238E27FC236}">
                <a16:creationId xmlns:a16="http://schemas.microsoft.com/office/drawing/2014/main" id="{EFF7BD92-E1FE-4DBF-A2FC-408A4FE9BD0D}"/>
              </a:ext>
            </a:extLst>
          </xdr:cNvPr>
          <xdr:cNvSpPr/>
        </xdr:nvSpPr>
        <xdr:spPr>
          <a:xfrm>
            <a:off x="4980548" y="10817597"/>
            <a:ext cx="1419223" cy="70931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Electricity Consumption (kWh/year)</a:t>
            </a:r>
          </a:p>
        </xdr:txBody>
      </xdr:sp>
      <xdr:grpSp>
        <xdr:nvGrpSpPr>
          <xdr:cNvPr id="33" name="Group 32">
            <a:extLst>
              <a:ext uri="{FF2B5EF4-FFF2-40B4-BE49-F238E27FC236}">
                <a16:creationId xmlns:a16="http://schemas.microsoft.com/office/drawing/2014/main" id="{77AF9155-06CA-4F11-B57E-41E8B5F86B8F}"/>
              </a:ext>
            </a:extLst>
          </xdr:cNvPr>
          <xdr:cNvGrpSpPr/>
        </xdr:nvGrpSpPr>
        <xdr:grpSpPr>
          <a:xfrm rot="2700000">
            <a:off x="4351846" y="11057836"/>
            <a:ext cx="202463" cy="179073"/>
            <a:chOff x="9554129" y="6304809"/>
            <a:chExt cx="337459" cy="299354"/>
          </a:xfrm>
        </xdr:grpSpPr>
        <xdr:cxnSp macro="">
          <xdr:nvCxnSpPr>
            <xdr:cNvPr id="57" name="Straight Connector 56">
              <a:extLst>
                <a:ext uri="{FF2B5EF4-FFF2-40B4-BE49-F238E27FC236}">
                  <a16:creationId xmlns:a16="http://schemas.microsoft.com/office/drawing/2014/main" id="{7675B5DD-7F33-4CB7-80F8-E2BFC43D8CEA}"/>
                </a:ext>
              </a:extLst>
            </xdr:cNvPr>
            <xdr:cNvCxnSpPr/>
          </xdr:nvCxnSpPr>
          <xdr:spPr>
            <a:xfrm>
              <a:off x="9711774" y="6304809"/>
              <a:ext cx="0" cy="29935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DCDB5068-5A32-4C2D-A7C0-B8150626419F}"/>
                </a:ext>
              </a:extLst>
            </xdr:cNvPr>
            <xdr:cNvCxnSpPr/>
          </xdr:nvCxnSpPr>
          <xdr:spPr>
            <a:xfrm flipH="1">
              <a:off x="9554129" y="6451638"/>
              <a:ext cx="337459" cy="272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4" name="Straight Arrow Connector 33">
            <a:extLst>
              <a:ext uri="{FF2B5EF4-FFF2-40B4-BE49-F238E27FC236}">
                <a16:creationId xmlns:a16="http://schemas.microsoft.com/office/drawing/2014/main" id="{444F5108-F63E-469E-B4EC-18E88688F0F1}"/>
              </a:ext>
            </a:extLst>
          </xdr:cNvPr>
          <xdr:cNvCxnSpPr/>
        </xdr:nvCxnSpPr>
        <xdr:spPr>
          <a:xfrm>
            <a:off x="6664776" y="11107644"/>
            <a:ext cx="254453"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Rectangle 34">
            <a:extLst>
              <a:ext uri="{FF2B5EF4-FFF2-40B4-BE49-F238E27FC236}">
                <a16:creationId xmlns:a16="http://schemas.microsoft.com/office/drawing/2014/main" id="{A42B4C2A-B30D-4677-97C8-BFC9DBD2E561}"/>
              </a:ext>
            </a:extLst>
          </xdr:cNvPr>
          <xdr:cNvSpPr/>
        </xdr:nvSpPr>
        <xdr:spPr>
          <a:xfrm>
            <a:off x="7037623" y="10522677"/>
            <a:ext cx="1419224" cy="1142724"/>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Annual bill ($/year)</a:t>
            </a:r>
          </a:p>
        </xdr:txBody>
      </xdr:sp>
      <xdr:grpSp>
        <xdr:nvGrpSpPr>
          <xdr:cNvPr id="36" name="Group 35">
            <a:extLst>
              <a:ext uri="{FF2B5EF4-FFF2-40B4-BE49-F238E27FC236}">
                <a16:creationId xmlns:a16="http://schemas.microsoft.com/office/drawing/2014/main" id="{9BEE0164-D81A-4982-9C7A-1ED1F778B5F1}"/>
              </a:ext>
            </a:extLst>
          </xdr:cNvPr>
          <xdr:cNvGrpSpPr/>
        </xdr:nvGrpSpPr>
        <xdr:grpSpPr>
          <a:xfrm rot="2700000">
            <a:off x="10515812" y="9620523"/>
            <a:ext cx="202462" cy="195402"/>
            <a:chOff x="10371365" y="5837464"/>
            <a:chExt cx="337457" cy="299357"/>
          </a:xfrm>
        </xdr:grpSpPr>
        <xdr:cxnSp macro="">
          <xdr:nvCxnSpPr>
            <xdr:cNvPr id="55" name="Straight Connector 54">
              <a:extLst>
                <a:ext uri="{FF2B5EF4-FFF2-40B4-BE49-F238E27FC236}">
                  <a16:creationId xmlns:a16="http://schemas.microsoft.com/office/drawing/2014/main" id="{7A2F6A0B-92F2-4C6E-9039-E2C1650FAF54}"/>
                </a:ext>
              </a:extLst>
            </xdr:cNvPr>
            <xdr:cNvCxnSpPr/>
          </xdr:nvCxnSpPr>
          <xdr:spPr>
            <a:xfrm>
              <a:off x="10531929" y="5837464"/>
              <a:ext cx="0" cy="2993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a:extLst>
                <a:ext uri="{FF2B5EF4-FFF2-40B4-BE49-F238E27FC236}">
                  <a16:creationId xmlns:a16="http://schemas.microsoft.com/office/drawing/2014/main" id="{8F56C67B-7A73-48FA-9CE9-13BC0D028262}"/>
                </a:ext>
              </a:extLst>
            </xdr:cNvPr>
            <xdr:cNvCxnSpPr/>
          </xdr:nvCxnSpPr>
          <xdr:spPr>
            <a:xfrm flipH="1">
              <a:off x="10371365" y="5987143"/>
              <a:ext cx="337457" cy="27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7" name="Rounded Rectangle 178">
            <a:extLst>
              <a:ext uri="{FF2B5EF4-FFF2-40B4-BE49-F238E27FC236}">
                <a16:creationId xmlns:a16="http://schemas.microsoft.com/office/drawing/2014/main" id="{59B61454-9A92-4089-9235-F21E399A2CA5}"/>
              </a:ext>
            </a:extLst>
          </xdr:cNvPr>
          <xdr:cNvSpPr/>
        </xdr:nvSpPr>
        <xdr:spPr>
          <a:xfrm>
            <a:off x="360589" y="6719205"/>
            <a:ext cx="4204608" cy="789295"/>
          </a:xfrm>
          <a:prstGeom prst="roundRect">
            <a:avLst>
              <a:gd name="adj" fmla="val 0"/>
            </a:avLst>
          </a:prstGeom>
          <a:solidFill>
            <a:sysClr val="window" lastClr="FFFFFF"/>
          </a:solidFill>
          <a:ln w="12700">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45720" rIns="91440" bIns="91440" rtlCol="0" anchor="t"/>
          <a:lstStyle/>
          <a:p>
            <a:pPr algn="ctr"/>
            <a:r>
              <a:rPr lang="en-AU" sz="900" b="1">
                <a:solidFill>
                  <a:sysClr val="windowText" lastClr="000000"/>
                </a:solidFill>
                <a:latin typeface="+mj-lt"/>
              </a:rPr>
              <a:t>LEGEND</a:t>
            </a:r>
          </a:p>
          <a:p>
            <a:pPr algn="ctr"/>
            <a:endParaRPr lang="en-AU" sz="900" b="1">
              <a:solidFill>
                <a:sysClr val="windowText" lastClr="000000"/>
              </a:solidFill>
              <a:latin typeface="+mj-lt"/>
            </a:endParaRPr>
          </a:p>
        </xdr:txBody>
      </xdr:sp>
      <xdr:sp macro="" textlink="">
        <xdr:nvSpPr>
          <xdr:cNvPr id="38" name="TextBox 37">
            <a:extLst>
              <a:ext uri="{FF2B5EF4-FFF2-40B4-BE49-F238E27FC236}">
                <a16:creationId xmlns:a16="http://schemas.microsoft.com/office/drawing/2014/main" id="{2088794A-B145-461D-AB9B-4AC3D263EF75}"/>
              </a:ext>
            </a:extLst>
          </xdr:cNvPr>
          <xdr:cNvSpPr txBox="1"/>
        </xdr:nvSpPr>
        <xdr:spPr>
          <a:xfrm>
            <a:off x="557893" y="6966827"/>
            <a:ext cx="1231090" cy="380496"/>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Inputs</a:t>
            </a:r>
          </a:p>
        </xdr:txBody>
      </xdr:sp>
      <xdr:sp macro="" textlink="">
        <xdr:nvSpPr>
          <xdr:cNvPr id="39" name="TextBox 38">
            <a:extLst>
              <a:ext uri="{FF2B5EF4-FFF2-40B4-BE49-F238E27FC236}">
                <a16:creationId xmlns:a16="http://schemas.microsoft.com/office/drawing/2014/main" id="{DAEE6714-8462-435C-B62D-2398B1721CF2}"/>
              </a:ext>
            </a:extLst>
          </xdr:cNvPr>
          <xdr:cNvSpPr txBox="1"/>
        </xdr:nvSpPr>
        <xdr:spPr>
          <a:xfrm>
            <a:off x="1874790" y="6966728"/>
            <a:ext cx="1222334" cy="37780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Calculations</a:t>
            </a:r>
          </a:p>
        </xdr:txBody>
      </xdr:sp>
      <xdr:sp macro="" textlink="">
        <xdr:nvSpPr>
          <xdr:cNvPr id="40" name="TextBox 39">
            <a:extLst>
              <a:ext uri="{FF2B5EF4-FFF2-40B4-BE49-F238E27FC236}">
                <a16:creationId xmlns:a16="http://schemas.microsoft.com/office/drawing/2014/main" id="{CC1E2A7B-8521-4C7C-839C-7E59F4272908}"/>
              </a:ext>
            </a:extLst>
          </xdr:cNvPr>
          <xdr:cNvSpPr txBox="1"/>
        </xdr:nvSpPr>
        <xdr:spPr>
          <a:xfrm>
            <a:off x="3171964" y="6970227"/>
            <a:ext cx="1222334" cy="374309"/>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Outputs</a:t>
            </a:r>
          </a:p>
        </xdr:txBody>
      </xdr:sp>
      <xdr:sp macro="" textlink="">
        <xdr:nvSpPr>
          <xdr:cNvPr id="41" name="TextBox 40">
            <a:extLst>
              <a:ext uri="{FF2B5EF4-FFF2-40B4-BE49-F238E27FC236}">
                <a16:creationId xmlns:a16="http://schemas.microsoft.com/office/drawing/2014/main" id="{E061F7EB-EADB-42ED-89CF-385218519C33}"/>
              </a:ext>
            </a:extLst>
          </xdr:cNvPr>
          <xdr:cNvSpPr txBox="1"/>
        </xdr:nvSpPr>
        <xdr:spPr>
          <a:xfrm>
            <a:off x="2152132" y="9328167"/>
            <a:ext cx="4605576" cy="8403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tx1"/>
              </a:solidFill>
              <a:latin typeface="+mj-lt"/>
              <a:ea typeface="+mn-ea"/>
              <a:cs typeface="Arial" panose="020B0604020202020204" pitchFamily="34" charset="0"/>
            </a:endParaRPr>
          </a:p>
        </xdr:txBody>
      </xdr:sp>
      <xdr:sp macro="" textlink="">
        <xdr:nvSpPr>
          <xdr:cNvPr id="42" name="Rectangle 41">
            <a:extLst>
              <a:ext uri="{FF2B5EF4-FFF2-40B4-BE49-F238E27FC236}">
                <a16:creationId xmlns:a16="http://schemas.microsoft.com/office/drawing/2014/main" id="{299333B2-7C26-4372-8DBB-3B056798551D}"/>
              </a:ext>
            </a:extLst>
          </xdr:cNvPr>
          <xdr:cNvSpPr/>
        </xdr:nvSpPr>
        <xdr:spPr>
          <a:xfrm>
            <a:off x="2215241" y="9389732"/>
            <a:ext cx="1311481" cy="714204"/>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Wholesale electricity ($/kWh)</a:t>
            </a:r>
          </a:p>
        </xdr:txBody>
      </xdr:sp>
      <xdr:sp macro="" textlink="">
        <xdr:nvSpPr>
          <xdr:cNvPr id="43" name="Rectangle 42">
            <a:extLst>
              <a:ext uri="{FF2B5EF4-FFF2-40B4-BE49-F238E27FC236}">
                <a16:creationId xmlns:a16="http://schemas.microsoft.com/office/drawing/2014/main" id="{9A359ADB-A8DD-493D-90F7-8440FC0BB4D5}"/>
              </a:ext>
            </a:extLst>
          </xdr:cNvPr>
          <xdr:cNvSpPr/>
        </xdr:nvSpPr>
        <xdr:spPr>
          <a:xfrm>
            <a:off x="3789775" y="9389732"/>
            <a:ext cx="1344211" cy="714204"/>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Environmental cost</a:t>
            </a:r>
          </a:p>
          <a:p>
            <a:pPr marL="0" indent="0" algn="ctr"/>
            <a:r>
              <a:rPr lang="en-AU" sz="900" b="1">
                <a:solidFill>
                  <a:schemeClr val="tx1"/>
                </a:solidFill>
                <a:latin typeface="+mj-lt"/>
                <a:ea typeface="+mn-ea"/>
                <a:cs typeface="Arial" panose="020B0604020202020204" pitchFamily="34" charset="0"/>
              </a:rPr>
              <a:t>($/kWh)</a:t>
            </a:r>
          </a:p>
        </xdr:txBody>
      </xdr:sp>
      <xdr:sp macro="" textlink="">
        <xdr:nvSpPr>
          <xdr:cNvPr id="44" name="Rectangle 43">
            <a:extLst>
              <a:ext uri="{FF2B5EF4-FFF2-40B4-BE49-F238E27FC236}">
                <a16:creationId xmlns:a16="http://schemas.microsoft.com/office/drawing/2014/main" id="{E37398A2-FB09-4000-AC9B-55C9E8CAA2DE}"/>
              </a:ext>
            </a:extLst>
          </xdr:cNvPr>
          <xdr:cNvSpPr/>
        </xdr:nvSpPr>
        <xdr:spPr>
          <a:xfrm>
            <a:off x="5392507" y="9389732"/>
            <a:ext cx="1304678" cy="714204"/>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Ancillary</a:t>
            </a:r>
          </a:p>
          <a:p>
            <a:pPr marL="0" indent="0" algn="ctr"/>
            <a:r>
              <a:rPr lang="en-AU" sz="900" b="1">
                <a:solidFill>
                  <a:schemeClr val="tx1"/>
                </a:solidFill>
                <a:latin typeface="+mj-lt"/>
                <a:ea typeface="+mn-ea"/>
                <a:cs typeface="Arial" panose="020B0604020202020204" pitchFamily="34" charset="0"/>
              </a:rPr>
              <a:t>($/kWh)</a:t>
            </a:r>
          </a:p>
        </xdr:txBody>
      </xdr:sp>
      <xdr:sp macro="" textlink="">
        <xdr:nvSpPr>
          <xdr:cNvPr id="45" name="Rectangle 44">
            <a:extLst>
              <a:ext uri="{FF2B5EF4-FFF2-40B4-BE49-F238E27FC236}">
                <a16:creationId xmlns:a16="http://schemas.microsoft.com/office/drawing/2014/main" id="{557BA609-BC4D-4891-9C2A-941E118238A2}"/>
              </a:ext>
            </a:extLst>
          </xdr:cNvPr>
          <xdr:cNvSpPr/>
        </xdr:nvSpPr>
        <xdr:spPr>
          <a:xfrm>
            <a:off x="7085204" y="9388928"/>
            <a:ext cx="1304678" cy="70467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Loss Factor</a:t>
            </a:r>
          </a:p>
        </xdr:txBody>
      </xdr:sp>
      <xdr:grpSp>
        <xdr:nvGrpSpPr>
          <xdr:cNvPr id="46" name="Group 45">
            <a:extLst>
              <a:ext uri="{FF2B5EF4-FFF2-40B4-BE49-F238E27FC236}">
                <a16:creationId xmlns:a16="http://schemas.microsoft.com/office/drawing/2014/main" id="{5A310174-C133-4679-8379-7552DB3F145F}"/>
              </a:ext>
            </a:extLst>
          </xdr:cNvPr>
          <xdr:cNvGrpSpPr/>
        </xdr:nvGrpSpPr>
        <xdr:grpSpPr>
          <a:xfrm>
            <a:off x="3567787" y="9663753"/>
            <a:ext cx="199787" cy="188558"/>
            <a:chOff x="10526947" y="5881302"/>
            <a:chExt cx="337457" cy="299357"/>
          </a:xfrm>
        </xdr:grpSpPr>
        <xdr:cxnSp macro="">
          <xdr:nvCxnSpPr>
            <xdr:cNvPr id="53" name="Straight Connector 52">
              <a:extLst>
                <a:ext uri="{FF2B5EF4-FFF2-40B4-BE49-F238E27FC236}">
                  <a16:creationId xmlns:a16="http://schemas.microsoft.com/office/drawing/2014/main" id="{6F5288C7-6DAF-4560-A6AB-D08927DFC658}"/>
                </a:ext>
              </a:extLst>
            </xdr:cNvPr>
            <xdr:cNvCxnSpPr/>
          </xdr:nvCxnSpPr>
          <xdr:spPr>
            <a:xfrm>
              <a:off x="10687514" y="5881302"/>
              <a:ext cx="0" cy="2993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a:extLst>
                <a:ext uri="{FF2B5EF4-FFF2-40B4-BE49-F238E27FC236}">
                  <a16:creationId xmlns:a16="http://schemas.microsoft.com/office/drawing/2014/main" id="{DBA25BB7-DCE6-42F3-81A9-B54BD01BC511}"/>
                </a:ext>
              </a:extLst>
            </xdr:cNvPr>
            <xdr:cNvCxnSpPr/>
          </xdr:nvCxnSpPr>
          <xdr:spPr>
            <a:xfrm flipH="1">
              <a:off x="10526947" y="6030945"/>
              <a:ext cx="337457" cy="272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7" name="Group 46">
            <a:extLst>
              <a:ext uri="{FF2B5EF4-FFF2-40B4-BE49-F238E27FC236}">
                <a16:creationId xmlns:a16="http://schemas.microsoft.com/office/drawing/2014/main" id="{83AA8467-84FE-4FC4-BAED-2661F10F11A0}"/>
              </a:ext>
            </a:extLst>
          </xdr:cNvPr>
          <xdr:cNvGrpSpPr/>
        </xdr:nvGrpSpPr>
        <xdr:grpSpPr>
          <a:xfrm>
            <a:off x="5158006" y="9652869"/>
            <a:ext cx="199787" cy="188558"/>
            <a:chOff x="10526947" y="5881302"/>
            <a:chExt cx="337457" cy="299357"/>
          </a:xfrm>
        </xdr:grpSpPr>
        <xdr:cxnSp macro="">
          <xdr:nvCxnSpPr>
            <xdr:cNvPr id="51" name="Straight Connector 50">
              <a:extLst>
                <a:ext uri="{FF2B5EF4-FFF2-40B4-BE49-F238E27FC236}">
                  <a16:creationId xmlns:a16="http://schemas.microsoft.com/office/drawing/2014/main" id="{2FAFBFDC-C841-45EC-B0C6-03B0FF682D0B}"/>
                </a:ext>
              </a:extLst>
            </xdr:cNvPr>
            <xdr:cNvCxnSpPr/>
          </xdr:nvCxnSpPr>
          <xdr:spPr>
            <a:xfrm>
              <a:off x="10687514" y="5881302"/>
              <a:ext cx="0" cy="2993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a:extLst>
                <a:ext uri="{FF2B5EF4-FFF2-40B4-BE49-F238E27FC236}">
                  <a16:creationId xmlns:a16="http://schemas.microsoft.com/office/drawing/2014/main" id="{F11B8227-61BC-48EA-A3A1-868DD92C1687}"/>
                </a:ext>
              </a:extLst>
            </xdr:cNvPr>
            <xdr:cNvCxnSpPr/>
          </xdr:nvCxnSpPr>
          <xdr:spPr>
            <a:xfrm flipH="1">
              <a:off x="10526947" y="6030945"/>
              <a:ext cx="337457" cy="272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8" name="Group 47">
            <a:extLst>
              <a:ext uri="{FF2B5EF4-FFF2-40B4-BE49-F238E27FC236}">
                <a16:creationId xmlns:a16="http://schemas.microsoft.com/office/drawing/2014/main" id="{5429CB60-2061-4AA0-B367-001CC594DB72}"/>
              </a:ext>
            </a:extLst>
          </xdr:cNvPr>
          <xdr:cNvGrpSpPr/>
        </xdr:nvGrpSpPr>
        <xdr:grpSpPr>
          <a:xfrm rot="2700000">
            <a:off x="6825333" y="9669199"/>
            <a:ext cx="199788" cy="179032"/>
            <a:chOff x="10526947" y="5881302"/>
            <a:chExt cx="337457" cy="299357"/>
          </a:xfrm>
        </xdr:grpSpPr>
        <xdr:cxnSp macro="">
          <xdr:nvCxnSpPr>
            <xdr:cNvPr id="49" name="Straight Connector 48">
              <a:extLst>
                <a:ext uri="{FF2B5EF4-FFF2-40B4-BE49-F238E27FC236}">
                  <a16:creationId xmlns:a16="http://schemas.microsoft.com/office/drawing/2014/main" id="{2F5A0D77-3A08-4717-934E-89B107772071}"/>
                </a:ext>
              </a:extLst>
            </xdr:cNvPr>
            <xdr:cNvCxnSpPr/>
          </xdr:nvCxnSpPr>
          <xdr:spPr>
            <a:xfrm>
              <a:off x="10687514" y="5881302"/>
              <a:ext cx="0" cy="2993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a:extLst>
                <a:ext uri="{FF2B5EF4-FFF2-40B4-BE49-F238E27FC236}">
                  <a16:creationId xmlns:a16="http://schemas.microsoft.com/office/drawing/2014/main" id="{D595EB6D-DAF9-41C2-AA66-DED5912F5DBA}"/>
                </a:ext>
              </a:extLst>
            </xdr:cNvPr>
            <xdr:cNvCxnSpPr/>
          </xdr:nvCxnSpPr>
          <xdr:spPr>
            <a:xfrm flipH="1">
              <a:off x="10526947" y="6030945"/>
              <a:ext cx="337457" cy="2721"/>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0</xdr:colOff>
      <xdr:row>6</xdr:row>
      <xdr:rowOff>37350</xdr:rowOff>
    </xdr:from>
    <xdr:to>
      <xdr:col>9</xdr:col>
      <xdr:colOff>1564502</xdr:colOff>
      <xdr:row>36</xdr:row>
      <xdr:rowOff>14581</xdr:rowOff>
    </xdr:to>
    <xdr:grpSp>
      <xdr:nvGrpSpPr>
        <xdr:cNvPr id="77" name="Group 76">
          <a:extLst>
            <a:ext uri="{FF2B5EF4-FFF2-40B4-BE49-F238E27FC236}">
              <a16:creationId xmlns:a16="http://schemas.microsoft.com/office/drawing/2014/main" id="{F86AF40C-1982-4308-9B42-ABFF0AD9403B}"/>
            </a:ext>
          </a:extLst>
        </xdr:cNvPr>
        <xdr:cNvGrpSpPr/>
      </xdr:nvGrpSpPr>
      <xdr:grpSpPr>
        <a:xfrm>
          <a:off x="717176" y="1830291"/>
          <a:ext cx="15235679" cy="5692231"/>
          <a:chOff x="749300" y="1778000"/>
          <a:chExt cx="15908031" cy="5580172"/>
        </a:xfrm>
      </xdr:grpSpPr>
      <xdr:grpSp>
        <xdr:nvGrpSpPr>
          <xdr:cNvPr id="78" name="Group 81">
            <a:extLst>
              <a:ext uri="{FF2B5EF4-FFF2-40B4-BE49-F238E27FC236}">
                <a16:creationId xmlns:a16="http://schemas.microsoft.com/office/drawing/2014/main" id="{FA291036-56CA-4D5B-BD12-9A263F27A5E8}"/>
              </a:ext>
            </a:extLst>
          </xdr:cNvPr>
          <xdr:cNvGrpSpPr/>
        </xdr:nvGrpSpPr>
        <xdr:grpSpPr>
          <a:xfrm>
            <a:off x="749300" y="1778000"/>
            <a:ext cx="15908031" cy="5580172"/>
            <a:chOff x="360589" y="793307"/>
            <a:chExt cx="14433788" cy="5519880"/>
          </a:xfrm>
        </xdr:grpSpPr>
        <xdr:grpSp>
          <xdr:nvGrpSpPr>
            <xdr:cNvPr id="80" name="Group 84">
              <a:extLst>
                <a:ext uri="{FF2B5EF4-FFF2-40B4-BE49-F238E27FC236}">
                  <a16:creationId xmlns:a16="http://schemas.microsoft.com/office/drawing/2014/main" id="{DA1D2A70-A11F-45D8-AA90-75DB932BABEF}"/>
                </a:ext>
              </a:extLst>
            </xdr:cNvPr>
            <xdr:cNvGrpSpPr/>
          </xdr:nvGrpSpPr>
          <xdr:grpSpPr>
            <a:xfrm>
              <a:off x="360589" y="793307"/>
              <a:ext cx="14433788" cy="5519880"/>
              <a:chOff x="367393" y="820522"/>
              <a:chExt cx="14847952" cy="5780769"/>
            </a:xfrm>
          </xdr:grpSpPr>
          <xdr:grpSp>
            <xdr:nvGrpSpPr>
              <xdr:cNvPr id="86" name="Group 91">
                <a:extLst>
                  <a:ext uri="{FF2B5EF4-FFF2-40B4-BE49-F238E27FC236}">
                    <a16:creationId xmlns:a16="http://schemas.microsoft.com/office/drawing/2014/main" id="{F58B1018-A1D3-427B-A471-73DC950DA097}"/>
                  </a:ext>
                </a:extLst>
              </xdr:cNvPr>
              <xdr:cNvGrpSpPr/>
            </xdr:nvGrpSpPr>
            <xdr:grpSpPr>
              <a:xfrm>
                <a:off x="367393" y="820522"/>
                <a:ext cx="14847952" cy="5780769"/>
                <a:chOff x="367393" y="820522"/>
                <a:chExt cx="14847952" cy="5780769"/>
              </a:xfrm>
            </xdr:grpSpPr>
            <xdr:grpSp>
              <xdr:nvGrpSpPr>
                <xdr:cNvPr id="91" name="Group 96">
                  <a:extLst>
                    <a:ext uri="{FF2B5EF4-FFF2-40B4-BE49-F238E27FC236}">
                      <a16:creationId xmlns:a16="http://schemas.microsoft.com/office/drawing/2014/main" id="{B17709BC-D7D4-4727-8A4C-A955E02006FD}"/>
                    </a:ext>
                  </a:extLst>
                </xdr:cNvPr>
                <xdr:cNvGrpSpPr/>
              </xdr:nvGrpSpPr>
              <xdr:grpSpPr>
                <a:xfrm>
                  <a:off x="367393" y="820522"/>
                  <a:ext cx="14847952" cy="5780769"/>
                  <a:chOff x="244929" y="-789201"/>
                  <a:chExt cx="14847952" cy="5780769"/>
                </a:xfrm>
              </xdr:grpSpPr>
              <xdr:grpSp>
                <xdr:nvGrpSpPr>
                  <xdr:cNvPr id="94" name="Group 98">
                    <a:extLst>
                      <a:ext uri="{FF2B5EF4-FFF2-40B4-BE49-F238E27FC236}">
                        <a16:creationId xmlns:a16="http://schemas.microsoft.com/office/drawing/2014/main" id="{4D4D3919-30E6-4059-9FE3-31E95154CFF1}"/>
                      </a:ext>
                    </a:extLst>
                  </xdr:cNvPr>
                  <xdr:cNvGrpSpPr/>
                </xdr:nvGrpSpPr>
                <xdr:grpSpPr>
                  <a:xfrm>
                    <a:off x="244929" y="-789201"/>
                    <a:ext cx="14847952" cy="5780769"/>
                    <a:chOff x="244929" y="-789201"/>
                    <a:chExt cx="14847952" cy="5780769"/>
                  </a:xfrm>
                </xdr:grpSpPr>
                <xdr:sp macro="" textlink="">
                  <xdr:nvSpPr>
                    <xdr:cNvPr id="96" name="Rounded Rectangle 107">
                      <a:extLst>
                        <a:ext uri="{FF2B5EF4-FFF2-40B4-BE49-F238E27FC236}">
                          <a16:creationId xmlns:a16="http://schemas.microsoft.com/office/drawing/2014/main" id="{CD15FC8D-7979-41C0-BABF-1A35036C0531}"/>
                        </a:ext>
                      </a:extLst>
                    </xdr:cNvPr>
                    <xdr:cNvSpPr/>
                  </xdr:nvSpPr>
                  <xdr:spPr>
                    <a:xfrm>
                      <a:off x="244929" y="120064"/>
                      <a:ext cx="5633357"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 AND ASSUMPTIONS</a:t>
                      </a:r>
                    </a:p>
                  </xdr:txBody>
                </xdr:sp>
                <xdr:sp macro="" textlink="">
                  <xdr:nvSpPr>
                    <xdr:cNvPr id="97" name="Rounded Rectangle 108">
                      <a:extLst>
                        <a:ext uri="{FF2B5EF4-FFF2-40B4-BE49-F238E27FC236}">
                          <a16:creationId xmlns:a16="http://schemas.microsoft.com/office/drawing/2014/main" id="{91B20A88-BDD8-4671-A400-ABE92F077D88}"/>
                        </a:ext>
                      </a:extLst>
                    </xdr:cNvPr>
                    <xdr:cNvSpPr/>
                  </xdr:nvSpPr>
                  <xdr:spPr>
                    <a:xfrm>
                      <a:off x="6134350" y="1002847"/>
                      <a:ext cx="4849090" cy="3988721"/>
                    </a:xfrm>
                    <a:prstGeom prst="roundRect">
                      <a:avLst>
                        <a:gd name="adj" fmla="val 0"/>
                      </a:avLst>
                    </a:prstGeom>
                    <a:solidFill>
                      <a:srgbClr val="236192"/>
                    </a:solidFill>
                    <a:ln w="9525" cmpd="sng">
                      <a:solidFill>
                        <a:sysClr val="windowText" lastClr="000000"/>
                      </a:solidFill>
                    </a:ln>
                    <a:effec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Calc_Rates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Calculations will take reference to inputs in the period selected by user.</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Fixed tariff,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Variable tariff,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Annual bill,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Fixed tariff,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Variable tariff,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Annual bill,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xdr:txBody>
                </xdr:sp>
                <xdr:sp macro="" textlink="">
                  <xdr:nvSpPr>
                    <xdr:cNvPr id="98" name="Rectangle 102">
                      <a:extLst>
                        <a:ext uri="{FF2B5EF4-FFF2-40B4-BE49-F238E27FC236}">
                          <a16:creationId xmlns:a16="http://schemas.microsoft.com/office/drawing/2014/main" id="{2889D287-074F-4D1F-806B-684FA52A80DD}"/>
                        </a:ext>
                      </a:extLst>
                    </xdr:cNvPr>
                    <xdr:cNvSpPr/>
                  </xdr:nvSpPr>
                  <xdr:spPr>
                    <a:xfrm>
                      <a:off x="6134350" y="120988"/>
                      <a:ext cx="4849090" cy="786610"/>
                    </a:xfrm>
                    <a:prstGeom prst="rect">
                      <a:avLst/>
                    </a:prstGeom>
                    <a:solidFill>
                      <a:sysClr val="windowText" lastClr="000000">
                        <a:lumMod val="50000"/>
                        <a:lumOff val="50000"/>
                      </a:sysClr>
                    </a:solidFill>
                    <a:ln w="12700" cap="flat" cmpd="sng" algn="ctr">
                      <a:solidFill>
                        <a:sysClr val="windowText" lastClr="000000">
                          <a:shade val="50000"/>
                        </a:sys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mn-cs"/>
                        </a:rPr>
                        <a:t>Decision period Selector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mn-cs"/>
                        </a:rPr>
                        <a:t>The Calc_Rates worksheet calculates VDO rates for two selected decision periods for comparison (VDO 2021 Final &amp; VDO 2021 Variation Draft)</a:t>
                      </a:r>
                    </a:p>
                  </xdr:txBody>
                </xdr:sp>
                <xdr:sp macro="" textlink="">
                  <xdr:nvSpPr>
                    <xdr:cNvPr id="99" name="Rectangle 103">
                      <a:extLst>
                        <a:ext uri="{FF2B5EF4-FFF2-40B4-BE49-F238E27FC236}">
                          <a16:creationId xmlns:a16="http://schemas.microsoft.com/office/drawing/2014/main" id="{C4ECF3A5-D304-4BB8-A5FB-D90FD9FD46DD}"/>
                        </a:ext>
                      </a:extLst>
                    </xdr:cNvPr>
                    <xdr:cNvSpPr/>
                  </xdr:nvSpPr>
                  <xdr:spPr>
                    <a:xfrm>
                      <a:off x="3116035" y="1510393"/>
                      <a:ext cx="2449286" cy="1347108"/>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00" name="Rectangle 104">
                      <a:extLst>
                        <a:ext uri="{FF2B5EF4-FFF2-40B4-BE49-F238E27FC236}">
                          <a16:creationId xmlns:a16="http://schemas.microsoft.com/office/drawing/2014/main" id="{FEEC4AD1-B9A2-4094-9A46-6190F84C6FFE}"/>
                        </a:ext>
                      </a:extLst>
                    </xdr:cNvPr>
                    <xdr:cNvSpPr/>
                  </xdr:nvSpPr>
                  <xdr:spPr>
                    <a:xfrm>
                      <a:off x="590549" y="1047750"/>
                      <a:ext cx="2525487" cy="2544536"/>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01" name="Rectangle 105">
                      <a:extLst>
                        <a:ext uri="{FF2B5EF4-FFF2-40B4-BE49-F238E27FC236}">
                          <a16:creationId xmlns:a16="http://schemas.microsoft.com/office/drawing/2014/main" id="{C6C988A7-155A-44D4-9707-CEC81D9F494B}"/>
                        </a:ext>
                      </a:extLst>
                    </xdr:cNvPr>
                    <xdr:cNvSpPr/>
                  </xdr:nvSpPr>
                  <xdr:spPr>
                    <a:xfrm>
                      <a:off x="651780" y="3891643"/>
                      <a:ext cx="2277178" cy="598714"/>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02" name="TextBox 106">
                      <a:extLst>
                        <a:ext uri="{FF2B5EF4-FFF2-40B4-BE49-F238E27FC236}">
                          <a16:creationId xmlns:a16="http://schemas.microsoft.com/office/drawing/2014/main" id="{64EFCCCB-6EE1-4057-8382-3DA029BBD6E2}"/>
                        </a:ext>
                      </a:extLst>
                    </xdr:cNvPr>
                    <xdr:cNvSpPr txBox="1"/>
                  </xdr:nvSpPr>
                  <xdr:spPr>
                    <a:xfrm>
                      <a:off x="11259800" y="1036814"/>
                      <a:ext cx="3833081" cy="1623589"/>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OP_Rates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Display the respective rates and bills for all distribution zones, for residential and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 include: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VDO Tariff Rates</a:t>
                      </a:r>
                    </a:p>
                  </xdr:txBody>
                </xdr:sp>
                <xdr:sp macro="" textlink="">
                  <xdr:nvSpPr>
                    <xdr:cNvPr id="103" name="Rounded Rectangle 125">
                      <a:extLst>
                        <a:ext uri="{FF2B5EF4-FFF2-40B4-BE49-F238E27FC236}">
                          <a16:creationId xmlns:a16="http://schemas.microsoft.com/office/drawing/2014/main" id="{F16D340E-05F5-4DD0-A9C6-C7EBB834D028}"/>
                        </a:ext>
                      </a:extLst>
                    </xdr:cNvPr>
                    <xdr:cNvSpPr/>
                  </xdr:nvSpPr>
                  <xdr:spPr>
                    <a:xfrm>
                      <a:off x="244929" y="-789201"/>
                      <a:ext cx="5633357" cy="828591"/>
                    </a:xfrm>
                    <a:prstGeom prst="roundRect">
                      <a:avLst>
                        <a:gd name="adj" fmla="val 0"/>
                      </a:avLst>
                    </a:prstGeom>
                    <a:solidFill>
                      <a:sysClr val="window" lastClr="FFFFFF"/>
                    </a:solidFill>
                    <a:ln w="12700" cap="flat" cmpd="sng" algn="ctr">
                      <a:solidFill>
                        <a:srgbClr val="FFFFFF">
                          <a:lumMod val="50000"/>
                        </a:srgbClr>
                      </a:solidFill>
                      <a:prstDash val="solid"/>
                      <a:miter lim="800000"/>
                    </a:ln>
                    <a:effectLst/>
                  </xdr:spPr>
                  <xdr:txBody>
                    <a:bodyPr vertOverflow="clip" horzOverflow="clip" lIns="91440" tIns="45720" rIns="91440" bIns="9144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LEGEND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04" name="TextBox 113">
                      <a:extLst>
                        <a:ext uri="{FF2B5EF4-FFF2-40B4-BE49-F238E27FC236}">
                          <a16:creationId xmlns:a16="http://schemas.microsoft.com/office/drawing/2014/main" id="{716B7753-EB32-409D-9894-65F7721BFEE4}"/>
                        </a:ext>
                      </a:extLst>
                    </xdr:cNvPr>
                    <xdr:cNvSpPr txBox="1"/>
                  </xdr:nvSpPr>
                  <xdr:spPr>
                    <a:xfrm>
                      <a:off x="440733" y="-479018"/>
                      <a:ext cx="1265108" cy="400170"/>
                    </a:xfrm>
                    <a:prstGeom prst="rect">
                      <a:avLst/>
                    </a:prstGeom>
                    <a:solidFill>
                      <a:srgbClr val="AFCDDB"/>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a:t>
                      </a:r>
                    </a:p>
                  </xdr:txBody>
                </xdr:sp>
                <xdr:sp macro="" textlink="">
                  <xdr:nvSpPr>
                    <xdr:cNvPr id="105" name="TextBox 114">
                      <a:extLst>
                        <a:ext uri="{FF2B5EF4-FFF2-40B4-BE49-F238E27FC236}">
                          <a16:creationId xmlns:a16="http://schemas.microsoft.com/office/drawing/2014/main" id="{8B6FB302-3772-448B-8D88-FCE3165FD65C}"/>
                        </a:ext>
                      </a:extLst>
                    </xdr:cNvPr>
                    <xdr:cNvSpPr txBox="1"/>
                  </xdr:nvSpPr>
                  <xdr:spPr>
                    <a:xfrm>
                      <a:off x="1791648" y="-479117"/>
                      <a:ext cx="1256352" cy="397488"/>
                    </a:xfrm>
                    <a:prstGeom prst="rect">
                      <a:avLst/>
                    </a:prstGeom>
                    <a:solidFill>
                      <a:srgbClr val="236192"/>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Calculations</a:t>
                      </a:r>
                    </a:p>
                  </xdr:txBody>
                </xdr:sp>
                <xdr:sp macro="" textlink="">
                  <xdr:nvSpPr>
                    <xdr:cNvPr id="106" name="TextBox 115">
                      <a:extLst>
                        <a:ext uri="{FF2B5EF4-FFF2-40B4-BE49-F238E27FC236}">
                          <a16:creationId xmlns:a16="http://schemas.microsoft.com/office/drawing/2014/main" id="{45304A4F-C600-4280-B080-32CAEEF305A2}"/>
                        </a:ext>
                      </a:extLst>
                    </xdr:cNvPr>
                    <xdr:cNvSpPr txBox="1"/>
                  </xdr:nvSpPr>
                  <xdr:spPr>
                    <a:xfrm>
                      <a:off x="3129643" y="-475624"/>
                      <a:ext cx="1256352" cy="393995"/>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a:t>
                      </a:r>
                    </a:p>
                  </xdr:txBody>
                </xdr:sp>
                <xdr:sp macro="" textlink="">
                  <xdr:nvSpPr>
                    <xdr:cNvPr id="107" name="TextBox 116">
                      <a:extLst>
                        <a:ext uri="{FF2B5EF4-FFF2-40B4-BE49-F238E27FC236}">
                          <a16:creationId xmlns:a16="http://schemas.microsoft.com/office/drawing/2014/main" id="{22BCD321-D14C-4055-9B46-CD15952C1517}"/>
                        </a:ext>
                      </a:extLst>
                    </xdr:cNvPr>
                    <xdr:cNvSpPr txBox="1"/>
                  </xdr:nvSpPr>
                  <xdr:spPr>
                    <a:xfrm>
                      <a:off x="4458647" y="-474255"/>
                      <a:ext cx="1256352" cy="390644"/>
                    </a:xfrm>
                    <a:prstGeom prst="rect">
                      <a:avLst/>
                    </a:prstGeom>
                    <a:solidFill>
                      <a:srgbClr val="FFFFFF">
                        <a:lumMod val="65000"/>
                      </a:srgbClr>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Supporting Worksheets</a:t>
                      </a:r>
                    </a:p>
                  </xdr:txBody>
                </xdr:sp>
                <xdr:cxnSp macro="">
                  <xdr:nvCxnSpPr>
                    <xdr:cNvPr id="108" name="Straight Arrow Connector 117">
                      <a:extLst>
                        <a:ext uri="{FF2B5EF4-FFF2-40B4-BE49-F238E27FC236}">
                          <a16:creationId xmlns:a16="http://schemas.microsoft.com/office/drawing/2014/main" id="{E7D44201-17E7-44C3-80EB-2E205D6E0343}"/>
                        </a:ext>
                      </a:extLst>
                    </xdr:cNvPr>
                    <xdr:cNvCxnSpPr/>
                  </xdr:nvCxnSpPr>
                  <xdr:spPr>
                    <a:xfrm flipV="1">
                      <a:off x="5878286" y="2651390"/>
                      <a:ext cx="244928" cy="11276"/>
                    </a:xfrm>
                    <a:prstGeom prst="straightConnector1">
                      <a:avLst/>
                    </a:prstGeom>
                    <a:noFill/>
                    <a:ln w="12700" cap="flat" cmpd="sng" algn="ctr">
                      <a:solidFill>
                        <a:sysClr val="windowText" lastClr="000000"/>
                      </a:solidFill>
                      <a:prstDash val="solid"/>
                      <a:miter lim="800000"/>
                      <a:tailEnd type="triangle"/>
                    </a:ln>
                    <a:effectLst/>
                  </xdr:spPr>
                </xdr:cxnSp>
                <xdr:cxnSp macro="">
                  <xdr:nvCxnSpPr>
                    <xdr:cNvPr id="109" name="Straight Arrow Connector 118">
                      <a:extLst>
                        <a:ext uri="{FF2B5EF4-FFF2-40B4-BE49-F238E27FC236}">
                          <a16:creationId xmlns:a16="http://schemas.microsoft.com/office/drawing/2014/main" id="{EC15B87E-3791-4E72-97BE-D8E3AB72D322}"/>
                        </a:ext>
                      </a:extLst>
                    </xdr:cNvPr>
                    <xdr:cNvCxnSpPr/>
                  </xdr:nvCxnSpPr>
                  <xdr:spPr>
                    <a:xfrm flipV="1">
                      <a:off x="10990497" y="2678600"/>
                      <a:ext cx="235402" cy="1"/>
                    </a:xfrm>
                    <a:prstGeom prst="straightConnector1">
                      <a:avLst/>
                    </a:prstGeom>
                    <a:noFill/>
                    <a:ln w="12700" cap="flat" cmpd="sng" algn="ctr">
                      <a:solidFill>
                        <a:sysClr val="windowText" lastClr="000000"/>
                      </a:solidFill>
                      <a:prstDash val="solid"/>
                      <a:miter lim="800000"/>
                      <a:tailEnd type="triangle"/>
                    </a:ln>
                    <a:effectLst/>
                  </xdr:spPr>
                </xdr:cxnSp>
              </xdr:grpSp>
              <xdr:sp macro="" textlink="">
                <xdr:nvSpPr>
                  <xdr:cNvPr id="95" name="TextBox 99">
                    <a:extLst>
                      <a:ext uri="{FF2B5EF4-FFF2-40B4-BE49-F238E27FC236}">
                        <a16:creationId xmlns:a16="http://schemas.microsoft.com/office/drawing/2014/main" id="{73FBBA12-DDB0-4BC0-8476-629CD55C959F}"/>
                      </a:ext>
                    </a:extLst>
                  </xdr:cNvPr>
                  <xdr:cNvSpPr txBox="1"/>
                </xdr:nvSpPr>
                <xdr:spPr>
                  <a:xfrm>
                    <a:off x="326572" y="4475553"/>
                    <a:ext cx="5483677" cy="426209"/>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CPI inputs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Quarterly CPI indices and associated VDO regulatory periods</a:t>
                    </a:r>
                  </a:p>
                </xdr:txBody>
              </xdr:sp>
            </xdr:grpSp>
            <xdr:sp macro="" textlink="">
              <xdr:nvSpPr>
                <xdr:cNvPr id="92" name="TextBox 97">
                  <a:extLst>
                    <a:ext uri="{FF2B5EF4-FFF2-40B4-BE49-F238E27FC236}">
                      <a16:creationId xmlns:a16="http://schemas.microsoft.com/office/drawing/2014/main" id="{7840687F-2C2E-453D-9DC9-98F5A49C6F04}"/>
                    </a:ext>
                  </a:extLst>
                </xdr:cNvPr>
                <xdr:cNvSpPr txBox="1"/>
              </xdr:nvSpPr>
              <xdr:spPr>
                <a:xfrm>
                  <a:off x="455081" y="1999200"/>
                  <a:ext cx="5459342" cy="3412549"/>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Values to be inputted every new period, over time creating a time series of historical and current inputs.</a:t>
                  </a:r>
                </a:p>
              </xdr:txBody>
            </xdr:sp>
            <xdr:sp macro="" textlink="">
              <xdr:nvSpPr>
                <xdr:cNvPr id="93" name="TextBox 123">
                  <a:extLst>
                    <a:ext uri="{FF2B5EF4-FFF2-40B4-BE49-F238E27FC236}">
                      <a16:creationId xmlns:a16="http://schemas.microsoft.com/office/drawing/2014/main" id="{132CA255-D7EB-451F-A934-F625E21A5D32}"/>
                    </a:ext>
                  </a:extLst>
                </xdr:cNvPr>
                <xdr:cNvSpPr txBox="1"/>
              </xdr:nvSpPr>
              <xdr:spPr>
                <a:xfrm>
                  <a:off x="444174" y="5501552"/>
                  <a:ext cx="5459342" cy="493921"/>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General Assumptions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 that remain constant across the time periods</a:t>
                  </a:r>
                </a:p>
              </xdr:txBody>
            </xdr:sp>
          </xdr:grpSp>
          <xdr:sp macro="" textlink="">
            <xdr:nvSpPr>
              <xdr:cNvPr id="87" name="TextBox 92">
                <a:extLst>
                  <a:ext uri="{FF2B5EF4-FFF2-40B4-BE49-F238E27FC236}">
                    <a16:creationId xmlns:a16="http://schemas.microsoft.com/office/drawing/2014/main" id="{335962CE-D1C7-4E7E-8EFD-5871319DFC74}"/>
                  </a:ext>
                </a:extLst>
              </xdr:cNvPr>
              <xdr:cNvSpPr txBox="1"/>
            </xdr:nvSpPr>
            <xdr:spPr>
              <a:xfrm>
                <a:off x="584453" y="2706405"/>
                <a:ext cx="2590744" cy="2555915"/>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Variable 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price,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volatility,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price,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volatility,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Environmental programs price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Environmental programs liability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Ancillary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usage charge,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usage charge,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Controlled load charges, residential</a:t>
                </a:r>
              </a:p>
            </xdr:txBody>
          </xdr:sp>
          <xdr:sp macro="" textlink="">
            <xdr:nvSpPr>
              <xdr:cNvPr id="88" name="TextBox 93">
                <a:extLst>
                  <a:ext uri="{FF2B5EF4-FFF2-40B4-BE49-F238E27FC236}">
                    <a16:creationId xmlns:a16="http://schemas.microsoft.com/office/drawing/2014/main" id="{65548553-00AA-4BA5-8929-1B7F51DA249A}"/>
                  </a:ext>
                </a:extLst>
              </xdr:cNvPr>
              <xdr:cNvSpPr txBox="1"/>
            </xdr:nvSpPr>
            <xdr:spPr>
              <a:xfrm>
                <a:off x="3276395" y="2706406"/>
                <a:ext cx="2536779" cy="1406262"/>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Fixed 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Retail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Solar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Ancillary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Metering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supply charge,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supply charge, small business</a:t>
                </a:r>
              </a:p>
            </xdr:txBody>
          </xdr:sp>
          <xdr:sp macro="" textlink="">
            <xdr:nvSpPr>
              <xdr:cNvPr id="89" name="TextBox 94">
                <a:extLst>
                  <a:ext uri="{FF2B5EF4-FFF2-40B4-BE49-F238E27FC236}">
                    <a16:creationId xmlns:a16="http://schemas.microsoft.com/office/drawing/2014/main" id="{858EA91A-728D-47DA-BEEB-F0C644EF10CE}"/>
                  </a:ext>
                </a:extLst>
              </xdr:cNvPr>
              <xdr:cNvSpPr txBox="1"/>
            </xdr:nvSpPr>
            <xdr:spPr>
              <a:xfrm>
                <a:off x="3280469" y="4195697"/>
                <a:ext cx="2529781" cy="1069678"/>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Non-Cost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Distribution network loss factors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Marginal network loss factors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Retail margin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Electricity consumption</a:t>
                </a:r>
              </a:p>
            </xdr:txBody>
          </xdr:sp>
          <xdr:sp macro="" textlink="">
            <xdr:nvSpPr>
              <xdr:cNvPr id="90" name="TextBox 95">
                <a:extLst>
                  <a:ext uri="{FF2B5EF4-FFF2-40B4-BE49-F238E27FC236}">
                    <a16:creationId xmlns:a16="http://schemas.microsoft.com/office/drawing/2014/main" id="{EDB04263-74E2-41E5-BE32-36F7F5E6C49B}"/>
                  </a:ext>
                </a:extLst>
              </xdr:cNvPr>
              <xdr:cNvSpPr txBox="1"/>
            </xdr:nvSpPr>
            <xdr:spPr>
              <a:xfrm>
                <a:off x="6715124" y="4793986"/>
                <a:ext cx="3946071" cy="1644571"/>
              </a:xfrm>
              <a:prstGeom prst="rect">
                <a:avLst/>
              </a:prstGeom>
              <a:noFill/>
              <a:ln w="9525" cmpd="sng">
                <a:noFill/>
              </a:ln>
              <a:effec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xdr:txBody>
          </xdr:sp>
        </xdr:grpSp>
        <xdr:sp macro="" textlink="">
          <xdr:nvSpPr>
            <xdr:cNvPr id="81" name="TextBox 85">
              <a:extLst>
                <a:ext uri="{FF2B5EF4-FFF2-40B4-BE49-F238E27FC236}">
                  <a16:creationId xmlns:a16="http://schemas.microsoft.com/office/drawing/2014/main" id="{29F726BC-8693-4D2D-83CF-331FF7122777}"/>
                </a:ext>
              </a:extLst>
            </xdr:cNvPr>
            <xdr:cNvSpPr txBox="1"/>
          </xdr:nvSpPr>
          <xdr:spPr>
            <a:xfrm>
              <a:off x="6651625" y="4798063"/>
              <a:ext cx="1101873" cy="62236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AusNet</a:t>
              </a:r>
            </a:p>
          </xdr:txBody>
        </xdr:sp>
        <xdr:sp macro="" textlink="">
          <xdr:nvSpPr>
            <xdr:cNvPr id="82" name="TextBox 86">
              <a:extLst>
                <a:ext uri="{FF2B5EF4-FFF2-40B4-BE49-F238E27FC236}">
                  <a16:creationId xmlns:a16="http://schemas.microsoft.com/office/drawing/2014/main" id="{4C41DAD9-F375-4633-8C29-57DF635F35DD}"/>
                </a:ext>
              </a:extLst>
            </xdr:cNvPr>
            <xdr:cNvSpPr txBox="1"/>
          </xdr:nvSpPr>
          <xdr:spPr>
            <a:xfrm>
              <a:off x="7894418" y="4798064"/>
              <a:ext cx="1101873" cy="62236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CitiPower</a:t>
              </a:r>
            </a:p>
          </xdr:txBody>
        </xdr:sp>
        <xdr:sp macro="" textlink="">
          <xdr:nvSpPr>
            <xdr:cNvPr id="83" name="TextBox 87">
              <a:extLst>
                <a:ext uri="{FF2B5EF4-FFF2-40B4-BE49-F238E27FC236}">
                  <a16:creationId xmlns:a16="http://schemas.microsoft.com/office/drawing/2014/main" id="{D461F2B7-F017-4BD6-BC6B-98A9ACDF0FD2}"/>
                </a:ext>
              </a:extLst>
            </xdr:cNvPr>
            <xdr:cNvSpPr txBox="1"/>
          </xdr:nvSpPr>
          <xdr:spPr>
            <a:xfrm>
              <a:off x="9148079" y="4803925"/>
              <a:ext cx="1100985" cy="608199"/>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Jemena</a:t>
              </a:r>
            </a:p>
          </xdr:txBody>
        </xdr:sp>
        <xdr:sp macro="" textlink="">
          <xdr:nvSpPr>
            <xdr:cNvPr id="84" name="TextBox 88">
              <a:extLst>
                <a:ext uri="{FF2B5EF4-FFF2-40B4-BE49-F238E27FC236}">
                  <a16:creationId xmlns:a16="http://schemas.microsoft.com/office/drawing/2014/main" id="{81012849-575D-4F66-A675-9C2E36338607}"/>
                </a:ext>
              </a:extLst>
            </xdr:cNvPr>
            <xdr:cNvSpPr txBox="1"/>
          </xdr:nvSpPr>
          <xdr:spPr>
            <a:xfrm>
              <a:off x="7288882" y="5488923"/>
              <a:ext cx="1100985" cy="61933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Powercor</a:t>
              </a:r>
            </a:p>
          </xdr:txBody>
        </xdr:sp>
        <xdr:sp macro="" textlink="">
          <xdr:nvSpPr>
            <xdr:cNvPr id="85" name="TextBox 89">
              <a:extLst>
                <a:ext uri="{FF2B5EF4-FFF2-40B4-BE49-F238E27FC236}">
                  <a16:creationId xmlns:a16="http://schemas.microsoft.com/office/drawing/2014/main" id="{52DC6218-7C4A-44B8-B272-752D5CDFA957}"/>
                </a:ext>
              </a:extLst>
            </xdr:cNvPr>
            <xdr:cNvSpPr txBox="1"/>
          </xdr:nvSpPr>
          <xdr:spPr>
            <a:xfrm>
              <a:off x="8523056" y="5475229"/>
              <a:ext cx="1100985" cy="631026"/>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UnitedEnergy</a:t>
              </a:r>
            </a:p>
          </xdr:txBody>
        </xdr:sp>
      </xdr:grpSp>
      <xdr:sp macro="" textlink="">
        <xdr:nvSpPr>
          <xdr:cNvPr id="79" name="TextBox 106">
            <a:extLst>
              <a:ext uri="{FF2B5EF4-FFF2-40B4-BE49-F238E27FC236}">
                <a16:creationId xmlns:a16="http://schemas.microsoft.com/office/drawing/2014/main" id="{A7E32AFC-3E80-483E-B8F1-3912AE07B859}"/>
              </a:ext>
            </a:extLst>
          </xdr:cNvPr>
          <xdr:cNvSpPr txBox="1"/>
        </xdr:nvSpPr>
        <xdr:spPr>
          <a:xfrm>
            <a:off x="12549093" y="5197289"/>
            <a:ext cx="4104652" cy="1565747"/>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OP_CMAB</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Display the respective compliant maximum bill amounts for all distribution zones, for residential and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 include: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VDO compliant maximum annual bill amounts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urry_greasley_esc_vic_gov_au/Documents/VDO%202022/VDO%202022%20-%20DDP%20-%20VDO%20calculation%20model%20-%20V1.7%20-%20final%20for%20publishing%20-%20outputs%20exc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ork\VDO%202021%20-%20Calculation%20model%20-%20FDP%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ntents"/>
      <sheetName val="User Guide"/>
      <sheetName val="Information"/>
      <sheetName val="Sources"/>
      <sheetName val="Version control"/>
      <sheetName val="Inputs"/>
      <sheetName val="General Assumptions"/>
      <sheetName val="CPI"/>
      <sheetName val="Calc_Rates"/>
      <sheetName val="Calc_TU_values"/>
      <sheetName val="Calc_TU_rates"/>
      <sheetName val="OP_Rates"/>
      <sheetName val="OP_CMAB"/>
      <sheetName val="CH_CostStack_RES"/>
      <sheetName val="CH_CostStack_SME"/>
      <sheetName val="CH_Bill impacts full year 2"/>
      <sheetName val="CH_Bill impacts half year"/>
      <sheetName val="CH_Bill impacts 4 monthly"/>
      <sheetName val="CH_Bill impacts monthly"/>
      <sheetName val="CH_Revised proposal impact"/>
      <sheetName val="CH_CY bills 2020 vs 2021"/>
      <sheetName val="TU_simple working"/>
      <sheetName val="CH_Bill impact full year"/>
      <sheetName val="CH_Bill impact annual"/>
      <sheetName val="CH_Bill impact six month"/>
      <sheetName val="CH_Bill impact monthly"/>
      <sheetName val="CH_TU Industry Impact"/>
      <sheetName val="CH_CostElements_Anytime"/>
      <sheetName val="CH_CostItems_Anytime"/>
      <sheetName val="Lookup refs"/>
      <sheetName val="Checks"/>
      <sheetName val="Change Log"/>
      <sheetName val="Blank_WkSheet"/>
    </sheetNames>
    <sheetDataSet>
      <sheetData sheetId="0"/>
      <sheetData sheetId="1"/>
      <sheetData sheetId="2"/>
      <sheetData sheetId="3"/>
      <sheetData sheetId="4"/>
      <sheetData sheetId="5"/>
      <sheetData sheetId="6">
        <row r="230">
          <cell r="D230">
            <v>6.5500000000000003E-2</v>
          </cell>
        </row>
        <row r="232">
          <cell r="D232">
            <v>2</v>
          </cell>
        </row>
        <row r="234">
          <cell r="D234">
            <v>6</v>
          </cell>
        </row>
        <row r="236">
          <cell r="D236">
            <v>44378</v>
          </cell>
        </row>
        <row r="238">
          <cell r="D238">
            <v>44439</v>
          </cell>
        </row>
        <row r="242">
          <cell r="D242">
            <v>44562</v>
          </cell>
        </row>
        <row r="244">
          <cell r="D244">
            <v>44742</v>
          </cell>
        </row>
        <row r="246">
          <cell r="D246">
            <v>12</v>
          </cell>
        </row>
        <row r="248">
          <cell r="D248">
            <v>12</v>
          </cell>
        </row>
      </sheetData>
      <sheetData sheetId="7">
        <row r="7">
          <cell r="D7">
            <v>365</v>
          </cell>
        </row>
        <row r="8">
          <cell r="D8">
            <v>12</v>
          </cell>
        </row>
        <row r="10">
          <cell r="D10">
            <v>52</v>
          </cell>
        </row>
        <row r="15">
          <cell r="D15">
            <v>0.1</v>
          </cell>
        </row>
      </sheetData>
      <sheetData sheetId="8"/>
      <sheetData sheetId="9"/>
      <sheetData sheetId="10">
        <row r="79">
          <cell r="D79">
            <v>0</v>
          </cell>
        </row>
        <row r="82">
          <cell r="D82">
            <v>3.2230594392551382E-2</v>
          </cell>
        </row>
        <row r="310">
          <cell r="D310">
            <v>0.16986301369863013</v>
          </cell>
        </row>
        <row r="312">
          <cell r="D312">
            <v>3.2230594392551382E-2</v>
          </cell>
        </row>
      </sheetData>
      <sheetData sheetId="11"/>
      <sheetData sheetId="12"/>
      <sheetData sheetId="13"/>
      <sheetData sheetId="14"/>
      <sheetData sheetId="15"/>
      <sheetData sheetId="16"/>
      <sheetData sheetId="17">
        <row r="39">
          <cell r="D39">
            <v>0.5</v>
          </cell>
          <cell r="E39">
            <v>0.5</v>
          </cell>
        </row>
      </sheetData>
      <sheetData sheetId="18">
        <row r="39">
          <cell r="D39">
            <v>0.33333333333333331</v>
          </cell>
        </row>
      </sheetData>
      <sheetData sheetId="19"/>
      <sheetData sheetId="20"/>
      <sheetData sheetId="21">
        <row r="110">
          <cell r="D110">
            <v>0.66666666666666663</v>
          </cell>
          <cell r="E110">
            <v>0.33333333333333331</v>
          </cell>
        </row>
        <row r="111">
          <cell r="D111">
            <v>0.4</v>
          </cell>
        </row>
      </sheetData>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ntents"/>
      <sheetName val="UserGuide"/>
      <sheetName val="Information"/>
      <sheetName val="Change"/>
      <sheetName val="Data"/>
      <sheetName val="Gen_A"/>
      <sheetName val="Time_A"/>
      <sheetName val="Tariff_O_F"/>
      <sheetName val="Tariff_O_Dr"/>
      <sheetName val="Compare_O"/>
      <sheetName val="Calc_C_F"/>
      <sheetName val="Calc_C_Dr"/>
      <sheetName val="Inputs_A_F"/>
      <sheetName val="Inputs_A_Dr"/>
      <sheetName val="Compare_A"/>
      <sheetName val="F_Chk"/>
      <sheetName val="Dr_Chk"/>
      <sheetName val="Flags_C"/>
      <sheetName val="Chk_C"/>
      <sheetName val="Style_O"/>
    </sheetNames>
    <sheetDataSet>
      <sheetData sheetId="0"/>
      <sheetData sheetId="1"/>
      <sheetData sheetId="2"/>
      <sheetData sheetId="3"/>
      <sheetData sheetId="4"/>
      <sheetData sheetId="5"/>
      <sheetData sheetId="6">
        <row r="39">
          <cell r="J39">
            <v>1</v>
          </cell>
        </row>
        <row r="44">
          <cell r="J44">
            <v>100</v>
          </cell>
        </row>
        <row r="45">
          <cell r="J45">
            <v>1</v>
          </cell>
        </row>
      </sheetData>
      <sheetData sheetId="7"/>
      <sheetData sheetId="8">
        <row r="18">
          <cell r="N18">
            <v>1506.1112590761013</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7AC8A96D-5314-4AAF-BE7C-9A6F933F5E1C}" autoFormatId="16" applyNumberFormats="0" applyBorderFormats="0" applyFontFormats="0" applyPatternFormats="0" applyAlignmentFormats="0" applyWidthHeightFormats="0">
  <queryTableRefresh nextId="3">
    <queryTableFields count="2">
      <queryTableField id="1" name="VDO decision" tableColumnId="1"/>
      <queryTableField id="2" name="Index" tableColumnId="2"/>
    </queryTableFields>
  </queryTableRefresh>
</queryTable>
</file>

<file path=xl/tables/_rels/table8.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0CA320-6B21-4206-97D5-A5D7F802DD0F}" name="Input_ForRateCalc" displayName="Input_ForRateCalc" ref="C10:Q125" totalsRowShown="0" tableBorderDxfId="603" totalsRowBorderDxfId="602" headerRowCellStyle="Table col heading" dataCellStyle="Table cell">
  <autoFilter ref="C10:Q125" xr:uid="{6DA969A6-2AF5-49DC-9813-51EAC98D2C62}"/>
  <tableColumns count="15">
    <tableColumn id="1" xr3:uid="{6FF7576B-C0F4-4642-91C7-CDE91D19F3FC}" name="Cost element" dataCellStyle="Table cell"/>
    <tableColumn id="2" xr3:uid="{3E9E5691-2790-4800-A001-FB9B30AEDE59}" name="Cost item" dataCellStyle="Table cell"/>
    <tableColumn id="3" xr3:uid="{54D809A2-64C6-4A88-80A0-2E0B0AA01C18}" name="Fixed/Variable" dataCellStyle="Table cell"/>
    <tableColumn id="4" xr3:uid="{FB95BD42-C055-4EA9-8F55-291F37426B18}" name="Unit" dataDxfId="601" dataCellStyle="Table cell"/>
    <tableColumn id="12" xr3:uid="{5E2B3B73-6771-45B4-82B8-0AA35BD8F705}" name="Customer type" dataDxfId="600" dataCellStyle="Table cell"/>
    <tableColumn id="6" xr3:uid="{DF24FCA2-F0DF-4144-8F1B-F3129138F4F5}" name="F-CurrentVDO_InputDate" dataDxfId="599" dataCellStyle="Hard-coded"/>
    <tableColumn id="7" xr3:uid="{FEEE9B98-F1B9-4BCE-9D75-0B157C256B9D}" name="F-CurrentVDO_Input" dataDxfId="598" dataCellStyle="Hard-coded"/>
    <tableColumn id="15" xr3:uid="{6D1A57CC-2A5F-4FB3-AF79-9C864D73D509}" name="VD-CurrentVDO_InputDate" dataDxfId="597" dataCellStyle="Hard-coded"/>
    <tableColumn id="5" xr3:uid="{6D90D13D-7691-408E-920D-28F33BBC643F}" name="VD-CurrentVDO_Input" dataDxfId="596" dataCellStyle="Hard-coded"/>
    <tableColumn id="8" xr3:uid="{BB001EDA-14C6-46F4-A3C8-E04970BC08B1}" name="VF-CurrentVDO_InputDate" dataDxfId="595" dataCellStyle="Input"/>
    <tableColumn id="9" xr3:uid="{302B1A04-0D91-4254-A1B4-2AB36404D5F0}" name="VF-CurrentVDO_Input" dataDxfId="594" dataCellStyle="Input"/>
    <tableColumn id="10" xr3:uid="{2436021E-5060-4C27-B7E4-385ED60FB6EE}" name="D-NextVDO_InputDate" dataDxfId="593" dataCellStyle="Input"/>
    <tableColumn id="11" xr3:uid="{43EE2DE0-3DFA-4DE9-ADDA-BFF46482A280}" name="D-NextVDO_Input" dataDxfId="592" dataCellStyle="Input"/>
    <tableColumn id="13" xr3:uid="{B112B93D-14AA-4188-8F83-F4632E3F87B4}" name="F-NextVDO_InputDate" dataDxfId="591" dataCellStyle="Input"/>
    <tableColumn id="14" xr3:uid="{A72BF82C-154B-4AC9-94D3-5ABCF1780432}" name="F-NextVDO_Input" dataDxfId="590" dataCellStyle="Input"/>
  </tableColumns>
  <tableStyleInfo name="Default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E96751-A1E6-4DEE-B2B9-0F040E8F63EF}" name="Input_Usage" displayName="Input_Usage" ref="C133:M170" totalsRowShown="0" headerRowDxfId="589" headerRowBorderDxfId="588" tableBorderDxfId="587" headerRowCellStyle="Table col heading">
  <autoFilter ref="C133:M170" xr:uid="{A8CBA6DB-0725-4AA8-918D-36864191E63C}"/>
  <tableColumns count="11">
    <tableColumn id="1" xr3:uid="{59724C2C-A166-49CF-BDB5-A76DD8676FC3}" name="Profile name" dataCellStyle="Table cell"/>
    <tableColumn id="2" xr3:uid="{62ED141C-4F5B-422D-B430-A67E0474CA3D}" name="Usage type" dataCellStyle="Table cell"/>
    <tableColumn id="3" xr3:uid="{07131193-CC4C-4576-890F-C94EB38C9100}" name="Ref" dataCellStyle="Table cell">
      <calculatedColumnFormula>Input_Usage[[#This Row],[Profile name]]&amp;" - "&amp;Input_Usage[[#This Row],[Usage type]]</calculatedColumnFormula>
    </tableColumn>
    <tableColumn id="4" xr3:uid="{C06CE59A-0662-40A9-B5E0-D7BDCA3E9812}" name="Unit" dataCellStyle="Table cell"/>
    <tableColumn id="8" xr3:uid="{16817664-CDEB-415C-99EE-275702065598}" name="Customer type" dataDxfId="586" dataCellStyle="Table cell"/>
    <tableColumn id="6" xr3:uid="{F4B24122-E533-4718-A2AE-9A2459EEEC0D}" name="Tariff type" dataDxfId="585" dataCellStyle="Table cell"/>
    <tableColumn id="9" xr3:uid="{6CDD316C-3B29-4CEC-9CCD-D147749461C1}" name="F-CurrentVDO_Input" dataDxfId="584" dataCellStyle="Hard-coded"/>
    <tableColumn id="5" xr3:uid="{C361A281-3CA0-4144-918C-AEA2C11D4EB2}" name="VD-CurrentVDO_Input" dataDxfId="583" dataCellStyle="Input"/>
    <tableColumn id="10" xr3:uid="{2410741E-5CE5-456C-A356-652B30948C54}" name="VF-CurrentVDO_Input" dataDxfId="582" dataCellStyle="Input"/>
    <tableColumn id="11" xr3:uid="{F7854B3F-CA63-497E-B7DD-24F6A26E4662}" name="D-NextVDO_Input" dataDxfId="581" dataCellStyle="Input"/>
    <tableColumn id="12" xr3:uid="{CA8A5057-1374-4829-9D1E-D3E16BD46339}" name="F-NextVDO_Input" dataDxfId="580" dataCellStyle="Input"/>
  </tableColumns>
  <tableStyleInfo name="Default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642B58B-E9F1-491B-8349-034E16DC1DC1}" name="Input_TUEnv_Actual" displayName="Input_TUEnv_Actual" ref="C177:M183" totalsRowShown="0" headerRowDxfId="579" headerRowBorderDxfId="578" tableBorderDxfId="577" headerRowCellStyle="Table col heading">
  <tableColumns count="11">
    <tableColumn id="2" xr3:uid="{C2979B50-E72C-4905-B762-B1FBD0FC7D84}" name="Cost element" dataCellStyle="Table cell"/>
    <tableColumn id="1" xr3:uid="{7606E00A-72BB-46DC-B82D-8B19AE194ECC}" name="Cost item" dataDxfId="576" dataCellStyle="Table cell"/>
    <tableColumn id="3" xr3:uid="{FB39537C-58C4-45FA-AE28-8587403EDED7}" name="Fixed/Variable" dataCellStyle="Table cell"/>
    <tableColumn id="4" xr3:uid="{37BADC74-6350-4579-AA1C-AA157FB39315}" name="Unit" dataCellStyle="Table cell"/>
    <tableColumn id="7" xr3:uid="{9AD583A2-1E35-44CE-8B8E-BFB97CF15160}" name="Customer type" dataDxfId="575" dataCellStyle="Table cell"/>
    <tableColumn id="11" xr3:uid="{390D42D7-0AA8-418B-B847-28B79F13CBB2}" name="[blank]" dataCellStyle="Table cell"/>
    <tableColumn id="10" xr3:uid="{91C3BF11-950D-4602-BB8A-7802100863A1}" name="F-CurrentVDO_Input" dataDxfId="574" dataCellStyle="Input"/>
    <tableColumn id="5" xr3:uid="{7C467E70-DBCE-4B3B-9E84-9672A5BB6AB5}" name="VD-CurrentVDO_Input" dataDxfId="573" dataCellStyle="Input"/>
    <tableColumn id="6" xr3:uid="{B4F80362-EB75-43DD-B60D-B5C1D9FC2436}" name="VF-CurrentVDO_Input" dataDxfId="572" dataCellStyle="Input"/>
    <tableColumn id="8" xr3:uid="{B9E9AE44-0D3C-445F-A128-E99F54F5ABB6}" name="D-NextVDO_Input" dataDxfId="571" dataCellStyle="Input"/>
    <tableColumn id="9" xr3:uid="{9E2ECB50-146D-4C5C-91ED-CC4439548BF4}" name="F-NextVDO_Input" dataDxfId="570" dataCellStyle="Input"/>
  </tableColumns>
  <tableStyleInfo name="Default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15BD5932-7FB5-4CCD-B50A-1852C0628C64}" name="Input_DecisionActual" displayName="Input_DecisionActual" ref="C252:E257" totalsRowShown="0" headerRowBorderDxfId="569" tableBorderDxfId="568" totalsRowBorderDxfId="567">
  <tableColumns count="3">
    <tableColumn id="1" xr3:uid="{5AFC207A-A190-4EF0-9F07-F0B6DD207690}" name="VDO period" dataDxfId="566" dataCellStyle="Hard-coded"/>
    <tableColumn id="2" xr3:uid="{BA40EB1C-8734-45B1-BEF3-B4AAB668727E}" name="Decision" dataDxfId="565" dataCellStyle="Hard-coded"/>
    <tableColumn id="3" xr3:uid="{EC536779-C89D-4795-9638-A578F8187C0C}" name="Actual" dataDxfId="564" dataCellStyle="Hard-coded"/>
  </tableColumns>
  <tableStyleInfo name="Default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CAB781AA-B11F-43C9-B5D5-6B4FEEF0DF29}" name="Input_TUNet_Actual" displayName="Input_TUNet_Actual" ref="C189:M197" totalsRowShown="0" headerRowDxfId="563" dataDxfId="561" headerRowBorderDxfId="562" tableBorderDxfId="560" headerRowCellStyle="Table col heading" dataCellStyle="Input">
  <autoFilter ref="C189:M197" xr:uid="{931623AB-A829-4CF8-AD25-F40D6B4227B1}"/>
  <tableColumns count="11">
    <tableColumn id="1" xr3:uid="{33C58E00-D758-45F8-8252-77B948C88246}" name="Cost element" dataDxfId="559" dataCellStyle="Table cell"/>
    <tableColumn id="2" xr3:uid="{BEEE8780-2525-4ED5-98B3-03A9B54F6A89}" name="Item" dataCellStyle="Table cell"/>
    <tableColumn id="3" xr3:uid="{1ED6AEB7-5191-48C6-8F6F-F6EC4EC5937D}" name="Period" dataDxfId="558" dataCellStyle="Table cell"/>
    <tableColumn id="4" xr3:uid="{2FBA3006-A94D-48D4-B05D-6AF4157E9C69}" name="Year" dataDxfId="557" dataCellStyle="Table cell"/>
    <tableColumn id="5" xr3:uid="{09270975-0370-4D51-85B7-A9ABBDA9B17C}" name="Customer type" dataCellStyle="Table cell"/>
    <tableColumn id="6" xr3:uid="{BD3B0B91-C7EA-49CE-9DD7-D092B34BCD6C}" name="Unit" dataDxfId="556" dataCellStyle="Table cell"/>
    <tableColumn id="7" xr3:uid="{E3D8500B-E6BB-4D1F-AAE0-CA4E8FEAE016}" name="F-CurrentVDO_Input" dataDxfId="555" dataCellStyle="Input"/>
    <tableColumn id="8" xr3:uid="{5E9042CD-AECA-4100-AB25-51464991E9A9}" name="VD-CurrentVDO_Input" dataDxfId="554" dataCellStyle="Input"/>
    <tableColumn id="9" xr3:uid="{788F1A54-6BBA-478B-BEB6-968DEFF693D2}" name="VF-CurrentVDO_Input" dataDxfId="553" dataCellStyle="Input"/>
    <tableColumn id="10" xr3:uid="{64B65947-EB30-4CE6-957B-3229A0441A1D}" name="D-NextVDO_Input" dataDxfId="552" dataCellStyle="Input"/>
    <tableColumn id="11" xr3:uid="{B5BDA5F0-6298-4932-B548-24CF215531DF}" name="F-NextVDO_Input" dataDxfId="551" dataCellStyle="Input"/>
  </tableColumns>
  <tableStyleInfo name="Default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C8BAC026-C1B6-4BBE-84CC-0B1B6A6DB986}" name="Input_TUNet_Props" displayName="Input_TUNet_Props" ref="C203:J213" totalsRowShown="0" headerRowDxfId="550" headerRowBorderDxfId="549" tableBorderDxfId="548" headerRowCellStyle="Table col heading" dataCellStyle="Auto-populated">
  <tableColumns count="8">
    <tableColumn id="1" xr3:uid="{2DBA4652-0938-4C79-8D72-499B986F9883}" name="Usage type" dataCellStyle="Table cell"/>
    <tableColumn id="2" xr3:uid="{75B9397F-A913-4033-B85B-30AE1AB9B46E}" name="Customer type" dataCellStyle="Table cell"/>
    <tableColumn id="3" xr3:uid="{F2657174-5E8D-4ABF-9E60-E26277703A2F}" name="Unit" dataDxfId="547" dataCellStyle="Table cell"/>
    <tableColumn id="4" xr3:uid="{BCD7E7F5-7837-4A4A-BC75-7873E680C9D8}" name="F-CurrentVDO_Input" dataDxfId="546" dataCellStyle="Auto-populated">
      <calculatedColumnFormula array="1">IFERROR(INDEX(Input_Usage[[F-CurrentVDO_Input]:[F-NextVDO_Input]],MATCH(1,(Input_Usage[[Usage type]:[Usage type]]=$C204)*(Input_Usage[[Profile name]:[Profile name]]=$D204&amp;" - medium"),0),MATCH(F$203,Input_Usage[[#Headers],[F-CurrentVDO_Input]:[F-NextVDO_Input]],0))/
INDEX(Input_Usage[[F-CurrentVDO_Input]:[F-NextVDO_Input]],MATCH(1,(Input_Usage[[Usage type]:[Usage type]]="Annual")*(Input_Usage[[Profile name]:[Profile name]]=$D204&amp;" - medium"),0),MATCH(F$203,Input_Usage[[#Headers],[F-CurrentVDO_Input]:[F-NextVDO_Input]],0)),"-")</calculatedColumnFormula>
    </tableColumn>
    <tableColumn id="5" xr3:uid="{D2F3AB18-2C9E-45E8-8C9E-E420DEB79DF1}" name="VD-CurrentVDO_Input" dataDxfId="545" dataCellStyle="Auto-populated">
      <calculatedColumnFormula array="1">IFERROR(INDEX(Input_Usage[[F-CurrentVDO_Input]:[F-NextVDO_Input]],MATCH(1,(Input_Usage[[Usage type]:[Usage type]]=$C204)*(Input_Usage[[Profile name]:[Profile name]]=$D204&amp;" - medium"),0),MATCH(G$203,Input_Usage[[#Headers],[F-CurrentVDO_Input]:[F-NextVDO_Input]],0))/
INDEX(Input_Usage[[F-CurrentVDO_Input]:[F-NextVDO_Input]],MATCH(1,(Input_Usage[[Usage type]:[Usage type]]="Annual")*(Input_Usage[[Profile name]:[Profile name]]=$D204&amp;" - medium"),0),MATCH(G$203,Input_Usage[[#Headers],[F-CurrentVDO_Input]:[F-NextVDO_Input]],0)),"-")</calculatedColumnFormula>
    </tableColumn>
    <tableColumn id="6" xr3:uid="{348ADD9E-7A12-4018-B3D2-8BAB000CFE50}" name="VF-CurrentVDO_Input" dataDxfId="544" dataCellStyle="Auto-populated">
      <calculatedColumnFormula array="1">IFERROR(INDEX(Input_Usage[[F-CurrentVDO_Input]:[F-NextVDO_Input]],MATCH(1,(Input_Usage[[Usage type]:[Usage type]]=$C204)*(Input_Usage[[Profile name]:[Profile name]]=$D204&amp;" - medium"),0),MATCH(H$203,Input_Usage[[#Headers],[F-CurrentVDO_Input]:[F-NextVDO_Input]],0))/
INDEX(Input_Usage[[F-CurrentVDO_Input]:[F-NextVDO_Input]],MATCH(1,(Input_Usage[[Usage type]:[Usage type]]="Annual")*(Input_Usage[[Profile name]:[Profile name]]=$D204&amp;" - medium"),0),MATCH(H$203,Input_Usage[[#Headers],[F-CurrentVDO_Input]:[F-NextVDO_Input]],0)),"-")</calculatedColumnFormula>
    </tableColumn>
    <tableColumn id="7" xr3:uid="{A1DE9E87-5783-4807-81CF-43D6D8E49FDA}" name="D-NextVDO_Input" dataDxfId="543" dataCellStyle="Auto-populated">
      <calculatedColumnFormula array="1">IFERROR(INDEX(Input_Usage[[F-CurrentVDO_Input]:[F-NextVDO_Input]],MATCH(1,(Input_Usage[[Usage type]:[Usage type]]=$C204)*(Input_Usage[[Profile name]:[Profile name]]=$D204&amp;" - medium"),0),MATCH(I$203,Input_Usage[[#Headers],[F-CurrentVDO_Input]:[F-NextVDO_Input]],0))/
INDEX(Input_Usage[[F-CurrentVDO_Input]:[F-NextVDO_Input]],MATCH(1,(Input_Usage[[Usage type]:[Usage type]]="Annual")*(Input_Usage[[Profile name]:[Profile name]]=$D204&amp;" - medium"),0),MATCH(I$203,Input_Usage[[#Headers],[F-CurrentVDO_Input]:[F-NextVDO_Input]],0)),"-")</calculatedColumnFormula>
    </tableColumn>
    <tableColumn id="8" xr3:uid="{13F09CC0-B0F3-4AE8-AA2D-613A53A62DA8}" name="F-NextVDO_Input" dataDxfId="542" dataCellStyle="Auto-populated">
      <calculatedColumnFormula array="1">IFERROR(INDEX(Input_Usage[[F-CurrentVDO_Input]:[F-NextVDO_Input]],MATCH(1,(Input_Usage[[Usage type]:[Usage type]]=$C204)*(Input_Usage[[Profile name]:[Profile name]]=$D204&amp;" - medium"),0),MATCH(J$203,Input_Usage[[#Headers],[F-CurrentVDO_Input]:[F-NextVDO_Input]],0))/
INDEX(Input_Usage[[F-CurrentVDO_Input]:[F-NextVDO_Input]],MATCH(1,(Input_Usage[[Usage type]:[Usage type]]="Annual")*(Input_Usage[[Profile name]:[Profile name]]=$D204&amp;" - medium"),0),MATCH(J$203,Input_Usage[[#Headers],[F-CurrentVDO_Input]:[F-NextVDO_Input]],0)),"-")</calculatedColumnFormula>
    </tableColumn>
  </tableColumns>
  <tableStyleInfo name="Default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4D97AFB3-DCE9-45DD-B8EB-9D28A04F3586}" name="Input_TUNet_Dates" displayName="Input_TUNet_Dates" ref="C223:J227" totalsRowShown="0" headerRowDxfId="541" headerRowBorderDxfId="540" tableBorderDxfId="539" headerRowCellStyle="Table col heading">
  <tableColumns count="8">
    <tableColumn id="1" xr3:uid="{3400616B-DA51-43D8-86A8-28DA7C337CAA}" name="Cost element" dataCellStyle="Table cell"/>
    <tableColumn id="2" xr3:uid="{D74AC5A3-67A3-4F51-B31A-8E1961DE6A29}" name="Item" dataCellStyle="Table cell"/>
    <tableColumn id="3" xr3:uid="{795C8EA9-FFE7-4316-A129-A469C73F917B}" name="Unit" dataDxfId="538" dataCellStyle="Table cell"/>
    <tableColumn id="4" xr3:uid="{CB5B1ABC-2D02-43FF-A397-2D236BF350C4}" name="F-CurrentVDO_Input" dataDxfId="537" dataCellStyle="Input"/>
    <tableColumn id="5" xr3:uid="{05462B30-D747-4BDF-8097-7280A9CF6E22}" name="VD-CurrentVDO_Input" dataDxfId="536" dataCellStyle="Input"/>
    <tableColumn id="6" xr3:uid="{CE860765-E0ED-4B1D-85C5-C5F321E1B046}" name="VF-CurrentVDO_Input" dataDxfId="535" dataCellStyle="Input"/>
    <tableColumn id="7" xr3:uid="{6E09A357-E9FB-456C-94E0-03594AE0C2F8}" name="D-NextVDO_Input" dataDxfId="534" dataCellStyle="Input"/>
    <tableColumn id="8" xr3:uid="{6513D48C-CA96-442D-A076-772D8F992618}" name="F-NextVDO_Input" dataDxfId="533" dataCellStyle="Input"/>
  </tableColumns>
  <tableStyleInfo name="Default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04957F-79CC-4A0B-9F3C-7ED44B133D9D}" name="VDOdecisions" displayName="VDOdecisions" ref="C22:D27" tableType="queryTable" totalsRowShown="0" dataDxfId="532" dataCellStyle="Auto-populated">
  <tableColumns count="2">
    <tableColumn id="1" xr3:uid="{E095E8C5-EFB3-403E-AA31-BE5930A54881}" uniqueName="1" name="VDO decision" queryTableFieldId="1" dataDxfId="531" dataCellStyle="Auto-populated"/>
    <tableColumn id="2" xr3:uid="{2FB823D1-94AB-43A2-9393-44A217C3B50C}" uniqueName="2" name="Index" queryTableFieldId="2" dataDxfId="530" dataCellStyle="Auto-populated"/>
  </tableColumns>
  <tableStyleInfo name="Default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D37C0D-F81D-404D-9D4D-999445A3BF5F}" name="CPI" displayName="CPI" ref="C26:D65" totalsRowShown="0" headerRowBorderDxfId="529" tableBorderDxfId="528">
  <tableColumns count="2">
    <tableColumn id="1" xr3:uid="{9AA9E4FD-AEA6-406E-B536-E0A3240360A5}" name="Period" dataDxfId="527" dataCellStyle="Table cell"/>
    <tableColumn id="3" xr3:uid="{9BE9725C-E6DE-44E0-8817-4E84A297FEDC}" name="Indice" dataDxfId="526" dataCellStyle="Input"/>
  </tableColumns>
  <tableStyleInfo name="Default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D98B252-0493-456C-9FF8-D3A3C4E4B6C1}" name="Input_CPI" displayName="Input_CPI" ref="C7:E15" totalsRowShown="0" headerRowBorderDxfId="525" tableBorderDxfId="524">
  <tableColumns count="3">
    <tableColumn id="1" xr3:uid="{E8446AF5-A1A4-4342-A74F-83AC0A1E0759}" name="Decision paper" dataCellStyle="Table cell"/>
    <tableColumn id="2" xr3:uid="{59E16007-75E9-4AF1-B2EE-5F57503967A5}" name="Date" dataDxfId="523" dataCellStyle="Hard-coded"/>
    <tableColumn id="3" xr3:uid="{B00403BA-623F-461C-A57F-1A628BADCABC}" name="Indice" dataDxfId="522" dataCellStyle="Auto-populated">
      <calculatedColumnFormula>IFERROR(INDEX(CPI[Indice],MATCH(D8,CPI[Period],0),1),"-")</calculatedColumnFormula>
    </tableColumn>
  </tableColumns>
  <tableStyleInfo name="Default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BD1385-BA07-4257-AD3D-3DA1CE15C89E}" name="Calc_CPI_1" displayName="Calc_CPI_1" ref="C147:H154" totalsRowShown="0" headerRowDxfId="521" headerRowBorderDxfId="520" tableBorderDxfId="519" headerRowCellStyle="Table col heading">
  <tableColumns count="6">
    <tableColumn id="1" xr3:uid="{8FC9CF68-E2DE-41D4-BB17-02577ACDFB50}" name="Cost item"/>
    <tableColumn id="3" xr3:uid="{FD52015C-7518-4114-9F0A-46942F5E409F}" name="Fixed/Variable" dataDxfId="518"/>
    <tableColumn id="10" xr3:uid="{237959CA-5760-4248-AC5A-20B45DB2CF50}" name="Unit" dataCellStyle="Table cell">
      <calculatedColumnFormula>INDEX(Input_ForRateCalc[Unit],MATCH(Calc_CPI_1[[#This Row],[Cost item]]&amp;" - base",Input_ForRateCalc[Cost item],0),1)</calculatedColumnFormula>
    </tableColumn>
    <tableColumn id="11" xr3:uid="{2F9D72AB-FD23-4CC4-8DF0-B118FF0D332F}" name="Customer type" dataCellStyle="Table cell"/>
    <tableColumn id="4" xr3:uid="{471ED95C-B937-4145-872E-8E97F45D2329}" name="CPI increase" dataDxfId="517" dataCellStyle="Calculation"/>
    <tableColumn id="5" xr3:uid="{6CF381C8-E2E9-44F3-9929-828496EBF384}" name="CPI uplift factor" dataDxfId="516" dataCellStyle="Calculation"/>
  </tableColumns>
  <tableStyleInfo name="Default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4FAC06-3F6E-4512-BD9F-BAE6C54835E0}" name="Calc_Losses_1" displayName="Calc_Losses_1" ref="C157:K160" totalsRowShown="0" headerRowDxfId="515" headerRowBorderDxfId="514" tableBorderDxfId="513" headerRowCellStyle="Table col heading">
  <tableColumns count="9">
    <tableColumn id="1" xr3:uid="{10E55798-D969-4AA2-BE00-AAA77545944C}" name="Cost item"/>
    <tableColumn id="2" xr3:uid="{FEC04519-0B8D-4C04-8E79-9C2F2427947B}" name="Fixed/Variable"/>
    <tableColumn id="3" xr3:uid="{E3235E90-DD2F-4943-ADA4-D518E8138171}" name="Unit"/>
    <tableColumn id="9" xr3:uid="{66C6BD50-A578-4CF8-B8DB-BF3F050B98C7}" name="Customer type" dataDxfId="512" dataCellStyle="Table cell"/>
    <tableColumn id="4" xr3:uid="{A55B248B-2052-4BF2-80F1-7509C3DD67E6}" name="Ausnet" dataDxfId="511"/>
    <tableColumn id="5" xr3:uid="{1749CA31-EE62-4522-9DA3-1918155FD04F}" name="Citipower" dataDxfId="510"/>
    <tableColumn id="6" xr3:uid="{62DBB3BA-5557-45EF-B606-6DC96D6BCBBC}" name="Jemena" dataDxfId="509"/>
    <tableColumn id="7" xr3:uid="{83176F9D-4300-42DB-984A-9DB31B5A2B44}" name="Powercor" dataDxfId="508"/>
    <tableColumn id="8" xr3:uid="{AE5C4CA6-96AC-4429-B02F-825691E879EF}" name="United Energy" dataDxfId="507"/>
  </tableColumns>
  <tableStyleInfo name="Default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EC4D248-2A86-4C81-ACAF-1A81C2464FEF}" name="Calc_ROM_1" displayName="Calc_ROM_1" ref="C163:K164" totalsRowShown="0" headerRowDxfId="506" headerRowBorderDxfId="505" tableBorderDxfId="504" headerRowCellStyle="Table col heading" dataCellStyle="Table cell">
  <tableColumns count="9">
    <tableColumn id="1" xr3:uid="{E50EE705-B877-449E-A9E7-6E00096BAB36}" name="Cost item" dataCellStyle="Table cell"/>
    <tableColumn id="2" xr3:uid="{42FC858C-CF75-4833-8C3D-8346027CE60A}" name="Fixed/Variable" dataCellStyle="Table cell"/>
    <tableColumn id="3" xr3:uid="{76F3A43C-43A1-4562-B6AE-9B59FB2BA42A}" name="Unit" dataCellStyle="Table cell"/>
    <tableColumn id="9" xr3:uid="{891390CB-BDB7-4673-9B44-66FDD23D76FC}" name="Customer type" dataCellStyle="Table cell"/>
    <tableColumn id="4" xr3:uid="{1B8319C1-3354-4608-B1AD-CE352E76C44D}" name="Ausnet" dataDxfId="503" dataCellStyle="Calculation">
      <calculatedColumnFormula array="1">IFERROR(INDEX(Input_ForRateCalc[[F-CurrentVDO_InputDate]:[F-NextVDO_Input]],MATCH(Calc_ROM_1[[#This Row],[Cost item]:[Cost item]],Input_ForRateCalc[[Cost item]:[Cost item]],0),MATCH($D$5,Inputs!$H$8:$Q$8,0)),"-")</calculatedColumnFormula>
    </tableColumn>
    <tableColumn id="5" xr3:uid="{270B5FD7-0783-496C-8F8F-0ECCD0DCC481}" name="Citipower" dataDxfId="502" dataCellStyle="Internal link/lookup">
      <calculatedColumnFormula array="1">IFERROR(INDEX(Input_ForRateCalc[[F-CurrentVDO_InputDate]:[F-NextVDO_Input]],MATCH(Calc_ROM_1[[#This Row],[Cost item]:[Cost item]],Input_ForRateCalc[[Cost item]:[Cost item]],0),MATCH($D$5,Inputs!$H$8:$Q$8,0)),"-")</calculatedColumnFormula>
    </tableColumn>
    <tableColumn id="6" xr3:uid="{1D6B1230-694F-46EA-BB16-EBFCD5B62014}" name="Jemena" dataDxfId="501" dataCellStyle="Internal link/lookup">
      <calculatedColumnFormula array="1">IFERROR(INDEX(Input_ForRateCalc[[F-CurrentVDO_InputDate]:[F-NextVDO_Input]],MATCH(Calc_ROM_1[[#This Row],[Cost item]:[Cost item]],Input_ForRateCalc[[Cost item]:[Cost item]],0),MATCH($D$5,Inputs!$H$8:$Q$8,0)),"-")</calculatedColumnFormula>
    </tableColumn>
    <tableColumn id="7" xr3:uid="{242863D3-BF23-4634-9E5D-A7018A29171E}" name="Powercor" dataDxfId="500" dataCellStyle="Internal link/lookup">
      <calculatedColumnFormula array="1">IFERROR(INDEX(Input_ForRateCalc[[F-CurrentVDO_InputDate]:[F-NextVDO_Input]],MATCH(Calc_ROM_1[[#This Row],[Cost item]:[Cost item]],Input_ForRateCalc[[Cost item]:[Cost item]],0),MATCH($D$5,Inputs!$H$8:$Q$8,0)),"-")</calculatedColumnFormula>
    </tableColumn>
    <tableColumn id="8" xr3:uid="{5FC9542C-F72B-41E3-8A90-17BB18C5781A}" name="United Energy" dataDxfId="499" dataCellStyle="Internal link/lookup">
      <calculatedColumnFormula array="1">IFERROR(INDEX(Input_ForRateCalc[[F-CurrentVDO_InputDate]:[F-NextVDO_Input]],MATCH(Calc_ROM_1[[#This Row],[Cost item]:[Cost item]],Input_ForRateCalc[[Cost item]:[Cost item]],0),MATCH($D$5,Inputs!$H$8:$Q$8,0)),"-")</calculatedColumnFormula>
    </tableColumn>
  </tableColumns>
  <tableStyleInfo name="Default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B9C0011-C252-438F-92DD-5559D2884E9C}" name="Calc_Retail_1" displayName="Calc_Retail_1" ref="C169:K171" totalsRowShown="0" headerRowDxfId="498" headerRowBorderDxfId="497" tableBorderDxfId="496" totalsRowBorderDxfId="495" headerRowCellStyle="Table col heading">
  <tableColumns count="9">
    <tableColumn id="1" xr3:uid="{F445E8BE-064F-4AAC-958B-34C99F7ED789}" name="Cost item"/>
    <tableColumn id="2" xr3:uid="{70EA2FAC-2F47-4380-BB77-21E81E84D12C}" name="Fixed/Variable"/>
    <tableColumn id="3" xr3:uid="{8055E5B5-7D33-4D16-AEC4-1E6FDA6D4A33}" name="Unit" dataCellStyle="Table cell"/>
    <tableColumn id="9" xr3:uid="{771301F1-5078-41E2-A27C-91512A9EEC84}" name="Customer type" dataDxfId="494" dataCellStyle="Table cell"/>
    <tableColumn id="4" xr3:uid="{F96F63E4-C2DD-4B05-A841-31283247F646}" name="Ausnet" dataDxfId="493">
      <calculatedColumnFormula>IFERROR(
INDEX(Calc_CPI_1[CPI uplift factor],MATCH($C170,Calc_CPI_1[Cost item],0),1)+
INDEX(#REF!,MATCH(Calc_Rates!$C170,Input_ForRateCalc[Cost item],0),MATCH(Calc_Rates!$D$5,Inputs!$H$8:$Q$8,0)),"-")</calculatedColumnFormula>
    </tableColumn>
    <tableColumn id="5" xr3:uid="{10800705-822B-4A11-AEC0-B74310D50E53}" name="Citipower" dataDxfId="492" dataCellStyle="Calculation"/>
    <tableColumn id="6" xr3:uid="{F22E718A-40AB-4EDE-A90A-F8A05C1F401C}" name="Jemena" dataDxfId="491" dataCellStyle="Calculation"/>
    <tableColumn id="7" xr3:uid="{6892071D-DB57-4E65-AA1D-01B97E74119E}" name="Powercor" dataDxfId="490" dataCellStyle="Calculation"/>
    <tableColumn id="8" xr3:uid="{551F21FF-F88A-4814-8B08-9AF58152777E}" name="United Energy" dataDxfId="489" dataCellStyle="Calculation"/>
  </tableColumns>
  <tableStyleInfo name="Default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12EE65A-C36C-4D34-B21A-CC272CBBA0DB}" name="Calc_OtherCosts_1" displayName="Calc_OtherCosts_1" ref="C175:K182" totalsRowShown="0" headerRowDxfId="488" headerRowBorderDxfId="487" tableBorderDxfId="486" totalsRowBorderDxfId="485" headerRowCellStyle="Table col heading" dataCellStyle="Table cell">
  <tableColumns count="9">
    <tableColumn id="1" xr3:uid="{0C253945-E70F-4B36-AB64-0CBC3AC67A67}" name="Cost item" dataCellStyle="Table cell"/>
    <tableColumn id="2" xr3:uid="{1CD1F87C-1E3E-4116-8C9E-ACEB4BB1DF68}" name="Fixed/Variable" dataCellStyle="Table cell"/>
    <tableColumn id="3" xr3:uid="{A2E603E4-1536-4BF2-9BA6-F8B4EF2FBC90}" name="Unit" dataCellStyle="Table cell"/>
    <tableColumn id="9" xr3:uid="{366828D4-BD8E-423C-9F45-7A4329249E04}" name="Customer type" dataDxfId="484" dataCellStyle="Table cell"/>
    <tableColumn id="4" xr3:uid="{3A43E5BC-9425-48FE-8CB0-4D55B7BD3E2C}" name="Ausnet" dataDxfId="483" dataCellStyle="Calculation">
      <calculatedColumnFormula>IFERROR(
IFERROR(INDEX(Calc_CPI_1[CPI uplift factor],MATCH($C176,Calc_CPI_1[Cost item],0),1),0)+
INDEX(#REF!,MATCH($C176,Input_ForRateCalc[Cost item],0),MATCH(Calc_Rates!$D$5,Inputs!$H$8:$Q$8,0)),"-")</calculatedColumnFormula>
    </tableColumn>
    <tableColumn id="5" xr3:uid="{A49331E6-A367-4F26-B05E-C557F54FF5E6}" name="Citipower" dataDxfId="482" dataCellStyle="Calculation"/>
    <tableColumn id="6" xr3:uid="{353E77CF-0ADF-4988-B8FC-04EE5A40696A}" name="Jemena" dataDxfId="481" dataCellStyle="Calculation"/>
    <tableColumn id="7" xr3:uid="{8CC9324E-F871-48A4-839B-9B611C6D71DE}" name="Powercor" dataDxfId="480" dataCellStyle="Calculation"/>
    <tableColumn id="8" xr3:uid="{3D5A3885-41F2-4263-88AB-98D0F239E959}" name="United Energy" dataDxfId="479" dataCellStyle="Calculation"/>
  </tableColumns>
  <tableStyleInfo name="Default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A46CB06-9CE2-408A-8625-DD8BCCB6C58B}" name="Calc_NetworkF_1" displayName="Calc_NetworkF_1" ref="C187:K192" totalsRowShown="0" headerRowDxfId="478" headerRowBorderDxfId="477" tableBorderDxfId="476" totalsRowBorderDxfId="475" headerRowCellStyle="Table col heading">
  <tableColumns count="9">
    <tableColumn id="1" xr3:uid="{56073E6A-0A5A-4389-8095-CA6108D44EDE}" name="Cost item"/>
    <tableColumn id="2" xr3:uid="{9D1C14EC-8477-491A-A18B-2461900656B4}" name="Fixed/Variable"/>
    <tableColumn id="3" xr3:uid="{04FAE60D-417C-4194-995E-E316BF4B7879}" name="Unit" dataCellStyle="Table cell"/>
    <tableColumn id="9" xr3:uid="{7C0BD534-B842-49E1-AB3D-9239656FE01E}" name="Customer type" dataDxfId="474" dataCellStyle="Table cell"/>
    <tableColumn id="4" xr3:uid="{2C923C50-9004-4F23-A843-61F46462C741}" name="Ausnet" dataDxfId="473">
      <calculatedColumnFormula array="1">IFERROR(
IFERROR(INDEX(Calc_CPI_1[[CPI uplift factor]:[CPI uplift factor]],MATCH($C188,Calc_CPI_1[[Cost item]:[Cost item]],0),1),0)+
INDEX(Input_ForRateCalc[[F-CurrentVDO_InputDate]:[F-NextVDO_Input]],MATCH(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item]],0),MATCH($D$5,Inputs!$H$8:$Q$8,0)),"-")</calculatedColumnFormula>
    </tableColumn>
    <tableColumn id="5" xr3:uid="{44B5F431-564E-450E-BA21-D3F841DCC24C}" name="Citipower" dataDxfId="472">
      <calculatedColumnFormula array="1">IFERROR(
IFERROR(INDEX(Calc_CPI_1[[CPI uplift factor]:[CPI uplift factor]],MATCH($C188,Calc_CPI_1[[Cost item]:[Cost item]],0),1),0)+
INDEX(Input_ForRateCalc[[F-CurrentVDO_InputDate]:[F-NextVDO_Input]],MATCH(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item]],0),MATCH($D$5,Inputs!$H$8:$Q$8,0)),"-")</calculatedColumnFormula>
    </tableColumn>
    <tableColumn id="6" xr3:uid="{8B1A16F8-7E2C-4F24-91A7-E65029079EAB}" name="Jemena" dataDxfId="471">
      <calculatedColumnFormula array="1">IFERROR(
IFERROR(INDEX(Calc_CPI_1[[CPI uplift factor]:[CPI uplift factor]],MATCH($C188,Calc_CPI_1[[Cost item]:[Cost item]],0),1),0)+
INDEX(Input_ForRateCalc[[F-CurrentVDO_InputDate]:[F-NextVDO_Input]],MATCH(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item]],0),MATCH($D$5,Inputs!$H$8:$Q$8,0)),"-")</calculatedColumnFormula>
    </tableColumn>
    <tableColumn id="7" xr3:uid="{0BD42606-1294-49B4-B9B0-6637A6094781}" name="Powercor" dataDxfId="470">
      <calculatedColumnFormula array="1">IFERROR(
IFERROR(INDEX(Calc_CPI_1[[CPI uplift factor]:[CPI uplift factor]],MATCH($C188,Calc_CPI_1[[Cost item]:[Cost item]],0),1),0)+
INDEX(Input_ForRateCalc[[F-CurrentVDO_InputDate]:[F-NextVDO_Input]],MATCH(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item]],0),MATCH($D$5,Inputs!$H$8:$Q$8,0)),"-")</calculatedColumnFormula>
    </tableColumn>
    <tableColumn id="8" xr3:uid="{439ED9DE-5613-4EC5-A634-F87DAB4A0EDD}" name="United Energy" dataDxfId="469">
      <calculatedColumnFormula array="1">IFERROR(
IFERROR(INDEX(Calc_CPI_1[[CPI uplift factor]:[CPI uplift factor]],MATCH($C188,Calc_CPI_1[[Cost item]:[Cost item]],0),1),0)+
INDEX(Input_ForRateCalc[[F-CurrentVDO_InputDate]:[F-NextVDO_Input]],MATCH(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item]],0),MATCH($D$5,Inputs!$H$8:$Q$8,0)),"-")</calculatedColumnFormula>
    </tableColumn>
  </tableColumns>
  <tableStyleInfo name="Default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FD2BC5-019D-46C3-AFCA-304FF5306314}" name="Calc_NetworkV_1" displayName="Calc_NetworkV_1" ref="C195:K206" totalsRowShown="0" headerRowDxfId="468" dataDxfId="466" headerRowBorderDxfId="467" tableBorderDxfId="465" totalsRowBorderDxfId="464" headerRowCellStyle="Table col heading" dataCellStyle="Calculation">
  <tableColumns count="9">
    <tableColumn id="1" xr3:uid="{CB3706A5-D760-4216-A110-71D17D892BD9}" name="Cost item" dataCellStyle="Table cell"/>
    <tableColumn id="2" xr3:uid="{D1B03855-A0F0-4571-8777-57F1B8EFE353}" name="Fixed/Variable" dataCellStyle="Table cell"/>
    <tableColumn id="3" xr3:uid="{B8007A7D-00F8-40E4-A172-46152BC4D855}" name="Unit" dataCellStyle="Table cell"/>
    <tableColumn id="9" xr3:uid="{3B1062B7-38BA-41B7-A6D9-56E48484C881}" name="Customer type" dataDxfId="463" dataCellStyle="Table cell"/>
    <tableColumn id="4" xr3:uid="{D0986C2A-52E3-43DD-B77B-F20491BF5E18}" name="Ausnet" dataDxfId="462" dataCellStyle="Calculation">
      <calculatedColumnFormula array="1">IFERROR(
(IFERROR(INDEX(Calc_CPI_1[[CPI uplift factor]:[CPI uplift factor]],MATCH($C196,Calc_CPI_1[[Cost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calculatedColumnFormula>
    </tableColumn>
    <tableColumn id="5" xr3:uid="{FAD220BF-91B8-40CF-BEED-9FF89C64043D}" name="Citipower" dataDxfId="461" dataCellStyle="Calculation">
      <calculatedColumnFormula array="1">IFERROR(
(IFERROR(INDEX(Calc_CPI_1[[CPI uplift factor]:[CPI uplift factor]],MATCH($C196,Calc_CPI_1[[Cost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calculatedColumnFormula>
    </tableColumn>
    <tableColumn id="6" xr3:uid="{173506C0-F051-4700-B94B-6E65F6DA88D9}" name="Jemena" dataDxfId="460" dataCellStyle="Calculation">
      <calculatedColumnFormula array="1">IFERROR(
(IFERROR(INDEX(Calc_CPI_1[[CPI uplift factor]:[CPI uplift factor]],MATCH($C196,Calc_CPI_1[[Cost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calculatedColumnFormula>
    </tableColumn>
    <tableColumn id="7" xr3:uid="{EFD5A70F-CD3B-42A9-8883-15FA6ED5A35F}" name="Powercor" dataDxfId="459" dataCellStyle="Calculation">
      <calculatedColumnFormula array="1">IFERROR(
(IFERROR(INDEX(Calc_CPI_1[[CPI uplift factor]:[CPI uplift factor]],MATCH($C196,Calc_CPI_1[[Cost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calculatedColumnFormula>
    </tableColumn>
    <tableColumn id="8" xr3:uid="{377FA89E-EB31-4B31-9E9A-342277E4DF21}" name="United Energy" dataDxfId="458" dataCellStyle="Calculation">
      <calculatedColumnFormula array="1">IFERROR(
(IFERROR(INDEX(Calc_CPI_1[[CPI uplift factor]:[CPI uplift factor]],MATCH($C196,Calc_CPI_1[[Cost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calculatedColumnFormula>
    </tableColumn>
  </tableColumns>
  <tableStyleInfo name="Default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21C63D0-94B6-46DC-A492-0C052BBB88BB}" name="Calc_WholesaleRES_1" displayName="Calc_WholesaleRES_1" ref="C211:K214" totalsRowShown="0" headerRowDxfId="457" headerRowBorderDxfId="456" tableBorderDxfId="455" headerRowCellStyle="Table col heading">
  <tableColumns count="9">
    <tableColumn id="1" xr3:uid="{AD482BF5-2182-4A45-A6AB-28D6205185A5}" name="Cost item"/>
    <tableColumn id="2" xr3:uid="{6780DE84-17EF-42BE-A3D5-2F3E29FC3533}" name="Fixed/Variable"/>
    <tableColumn id="3" xr3:uid="{95A5239A-5566-4E5B-97EF-FB526385E720}" name="Unit"/>
    <tableColumn id="9" xr3:uid="{64D007E5-3C6C-44AD-ACBD-2443661BBA3B}" name="Customer type" dataCellStyle="Table cell"/>
    <tableColumn id="4" xr3:uid="{B3163460-5BD7-4AFE-BFF4-84ED5CB4E785}" name="Ausnet"/>
    <tableColumn id="5" xr3:uid="{CFCFA8FE-9C7A-42C2-ABCE-4A186A2ABE01}" name="Citipower"/>
    <tableColumn id="6" xr3:uid="{9CB017A1-D755-4DB7-99ED-BBD09DBA551F}" name="Jemena"/>
    <tableColumn id="7" xr3:uid="{4AC22AD2-E8DB-4CFE-A499-B1B31DA8F4B5}" name="Powercor"/>
    <tableColumn id="8" xr3:uid="{2C48CFB6-7323-4BF6-8C64-7E27C40FBBC0}" name="United Energy"/>
  </tableColumns>
  <tableStyleInfo name="Default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F015ED8-C01F-493F-BC60-E70CACCEB2FD}" name="Calc_WholesaleSME_1" displayName="Calc_WholesaleSME_1" ref="C217:K220" totalsRowShown="0" headerRowDxfId="454" headerRowBorderDxfId="453" tableBorderDxfId="452" headerRowCellStyle="Table col heading">
  <tableColumns count="9">
    <tableColumn id="1" xr3:uid="{3685C95C-E94C-4E99-B630-F4FAE40BD6CA}" name="Cost item"/>
    <tableColumn id="2" xr3:uid="{B38073C0-122B-4A64-BFF7-4C59D4463DE5}" name="Fixed/Variable"/>
    <tableColumn id="3" xr3:uid="{AAEAD9CF-B74C-41AB-9559-180BCE3F3F3C}" name="Unit"/>
    <tableColumn id="9" xr3:uid="{BC42E5F3-6EAE-4C9C-8DE3-CCAD1E10CA66}" name="Customer type" dataCellStyle="Table cell"/>
    <tableColumn id="4" xr3:uid="{308996B6-C131-470D-BCF8-3278A29B0E46}" name="Ausnet"/>
    <tableColumn id="5" xr3:uid="{19939240-F265-46F0-81AA-EB185929723F}" name="Citipower"/>
    <tableColumn id="6" xr3:uid="{472F31F9-0445-4F60-ADA7-DA1781E4D1CE}" name="Jemena"/>
    <tableColumn id="7" xr3:uid="{0F209F68-2467-41B7-A6F3-3F182FEEFF31}" name="Powercor"/>
    <tableColumn id="8" xr3:uid="{EA8080F3-12EA-415C-8B0F-A9C3C7BE47C3}" name="United Energy"/>
  </tableColumns>
  <tableStyleInfo name="Default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91A3B44-F9C0-4A8B-8450-9F07D09A1A86}" name="Calc_EnviroVEU_1" displayName="Calc_EnviroVEU_1" ref="C225:K228" totalsRowShown="0" headerRowDxfId="451" headerRowBorderDxfId="450" tableBorderDxfId="449" headerRowCellStyle="Table col heading" dataCellStyle="Internal link/lookup">
  <tableColumns count="9">
    <tableColumn id="1" xr3:uid="{30D74465-1D99-43AF-8CAB-6E507855A3A4}" name="Cost item" dataCellStyle="Table cell"/>
    <tableColumn id="2" xr3:uid="{1600AA2F-0D95-42AF-83F2-66CBF45F3CA0}" name="Fixed/Variable" dataCellStyle="Table cell"/>
    <tableColumn id="3" xr3:uid="{164F3467-F6B3-4C63-8156-D333898A95EE}" name="Unit" dataCellStyle="Table cell"/>
    <tableColumn id="9" xr3:uid="{EF95EF79-FCA8-4A29-950C-B3FEC82FE49F}" name="Customer type" dataCellStyle="Table cell"/>
    <tableColumn id="4" xr3:uid="{FA5A43A2-D327-41C8-A5A5-BF22A9D1276E}" name="Ausnet" dataDxfId="448" dataCellStyle="Internal link/lookup"/>
    <tableColumn id="5" xr3:uid="{CB1D098F-76FA-4645-A017-A40B1C8931A0}" name="Citipower" dataDxfId="447" dataCellStyle="Internal link/lookup"/>
    <tableColumn id="6" xr3:uid="{6CB26880-0A29-48CB-8D27-40F6229EC6E1}" name="Jemena" dataDxfId="446" dataCellStyle="Internal link/lookup"/>
    <tableColumn id="7" xr3:uid="{37DC741F-B7B0-4F6D-8986-B2FED10372C0}" name="Powercor" dataDxfId="445" dataCellStyle="Internal link/lookup"/>
    <tableColumn id="8" xr3:uid="{146C5954-395B-4AF0-934E-F6F1F53FD175}" name="United Energy" dataDxfId="444" dataCellStyle="Internal link/lookup"/>
  </tableColumns>
  <tableStyleInfo name="Default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D7F4255-2560-4C7D-87B7-90E01C8879BD}" name="Calc_EnviroLRET_1" displayName="Calc_EnviroLRET_1" ref="C231:K234" totalsRowShown="0" headerRowDxfId="443" headerRowBorderDxfId="442" tableBorderDxfId="441" headerRowCellStyle="Table col heading" dataCellStyle="Internal link/lookup">
  <tableColumns count="9">
    <tableColumn id="1" xr3:uid="{A6BACB87-44CA-4E82-A714-C5FE69256FAF}" name="Cost item" dataCellStyle="Table cell"/>
    <tableColumn id="2" xr3:uid="{075EE753-82B6-4FA7-AC6F-FE6940B01335}" name="Fixed/Variable" dataCellStyle="Table cell"/>
    <tableColumn id="3" xr3:uid="{87C5857A-1190-4CD1-A7CA-F67806FBE4CE}" name="Unit" dataCellStyle="Table cell"/>
    <tableColumn id="9" xr3:uid="{0808E3E2-EE13-4D5D-BCCF-B993FB523556}" name="Customer type" dataCellStyle="Table cell"/>
    <tableColumn id="4" xr3:uid="{25BA2561-A041-4FBF-A998-FD3797782130}" name="Ausnet" dataDxfId="440" dataCellStyle="Internal link/lookup"/>
    <tableColumn id="5" xr3:uid="{E3001C65-68EA-4A0B-A9EC-0AEF2E84FBD6}" name="Citipower" dataDxfId="439" dataCellStyle="Internal link/lookup"/>
    <tableColumn id="6" xr3:uid="{B118E905-DC3D-47F2-80F3-239BFB2E12CB}" name="Jemena" dataDxfId="438" dataCellStyle="Internal link/lookup"/>
    <tableColumn id="7" xr3:uid="{4C60D58B-60A7-46F1-93E5-005D19EAAD81}" name="Powercor" dataDxfId="437" dataCellStyle="Internal link/lookup"/>
    <tableColumn id="8" xr3:uid="{67A92AE4-113B-4F60-9A08-53B7D7BBE29B}" name="United Energy" dataDxfId="436" dataCellStyle="Internal link/lookup"/>
  </tableColumns>
  <tableStyleInfo name="Default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E3EDBDF-1B04-4828-8F23-C85FCC2AFC8A}" name="Calc_EnviroSRES_1" displayName="Calc_EnviroSRES_1" ref="C237:K240" totalsRowShown="0" headerRowDxfId="435" headerRowBorderDxfId="434" tableBorderDxfId="433" headerRowCellStyle="Table col heading" dataCellStyle="Internal link/lookup">
  <tableColumns count="9">
    <tableColumn id="1" xr3:uid="{FBB72E81-32BC-476E-80F3-64EE236D4AA2}" name="Cost item" dataCellStyle="Table cell"/>
    <tableColumn id="2" xr3:uid="{5E322F16-D299-4FD0-8E26-3FB9272D73E5}" name="Fixed/Variable" dataCellStyle="Table cell"/>
    <tableColumn id="3" xr3:uid="{2F112381-7D54-4734-820D-C48BB8198AAB}" name="Unit" dataCellStyle="Table cell"/>
    <tableColumn id="9" xr3:uid="{6E851880-403E-4A11-A43C-42B46F7B71E5}" name="Customer type" dataCellStyle="Table cell"/>
    <tableColumn id="4" xr3:uid="{43477D4E-955D-4477-92D8-B68B99E47C99}" name="Ausnet" dataDxfId="432" dataCellStyle="Internal link/lookup"/>
    <tableColumn id="5" xr3:uid="{46DA8B4E-93BE-4D75-B964-43108072DBCA}" name="Citipower" dataDxfId="431" dataCellStyle="Internal link/lookup"/>
    <tableColumn id="6" xr3:uid="{B4FBE803-3A30-443C-AF14-4716F8DBA7B2}" name="Jemena" dataDxfId="430" dataCellStyle="Internal link/lookup"/>
    <tableColumn id="7" xr3:uid="{8791F4C9-6942-453C-8102-D4CBF1273CDC}" name="Powercor" dataDxfId="429" dataCellStyle="Internal link/lookup"/>
    <tableColumn id="8" xr3:uid="{103AD40C-04CA-4057-8483-C30B93760CD0}" name="United Energy" dataDxfId="428" dataCellStyle="Internal link/lookup"/>
  </tableColumns>
  <tableStyleInfo name="Default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A338246-BA11-41D9-8C6E-8C38BB16348D}" name="Calc_FiT_1" displayName="Calc_FiT_1" ref="C243:K244" totalsRowShown="0" headerRowDxfId="427" headerRowBorderDxfId="426" tableBorderDxfId="425" totalsRowBorderDxfId="424" headerRowCellStyle="Table col heading" dataCellStyle="Table cell">
  <tableColumns count="9">
    <tableColumn id="1" xr3:uid="{AFD9488A-7C4B-4F8E-ACF9-A4E4B8E8B998}" name="Cost item" dataDxfId="423" dataCellStyle="Table cell"/>
    <tableColumn id="2" xr3:uid="{16DB71A9-711A-4502-B5BF-7F371CCC192E}" name="Fixed/Variable" dataDxfId="422" dataCellStyle="Table cell"/>
    <tableColumn id="3" xr3:uid="{A88541AF-CF21-4C19-AF86-DD65AAFDF70F}" name="Unit" dataDxfId="421" dataCellStyle="Table cell"/>
    <tableColumn id="9" xr3:uid="{CCD1209E-6309-4A32-8212-14B34B01109C}" name="Customer type" dataDxfId="420" dataCellStyle="Table cell"/>
    <tableColumn id="4" xr3:uid="{EFC77A58-5F76-488A-A85D-5ED51551F605}" name="Ausnet" dataDxfId="419" dataCellStyle="Calculation">
      <calculatedColumnFormula array="1">IFERROR(
(IFERROR(INDEX(Calc_CPI_1[[CPI uplift factor]:[CPI uplift factor]],MATCH($C244,Calc_CPI_1[[Cost item]:[Cost item]],0),1),0)+
INDEX(Input_ForRateCalc[[F-CurrentVDO_InputDate]:[F-NextVDO_Input]],MATCH(Calc_FiT_1[[#This Row],[Cost item]:[Cost item]],Input_ForRateCalc[[Cost item]:[Cost item]],0),MATCH($D$5,Inputs!$H$8:$Q$8,0))),"-")</calculatedColumnFormula>
    </tableColumn>
    <tableColumn id="5" xr3:uid="{1E393C59-41B6-47B9-8C7C-DF1243695081}" name="Citipower" dataDxfId="418" dataCellStyle="Calculation">
      <calculatedColumnFormula array="1">IFERROR(
(IFERROR(INDEX(Calc_CPI_1[[CPI uplift factor]:[CPI uplift factor]],MATCH($C244,Calc_CPI_1[[Cost item]:[Cost item]],0),1),0)+
INDEX(Input_ForRateCalc[[F-CurrentVDO_InputDate]:[F-NextVDO_Input]],MATCH(Calc_FiT_1[[#This Row],[Cost item]:[Cost item]],Input_ForRateCalc[[Cost item]:[Cost item]],0),MATCH($D$5,Inputs!$H$8:$Q$8,0))),"-")</calculatedColumnFormula>
    </tableColumn>
    <tableColumn id="6" xr3:uid="{435400A7-321A-40E3-A6FB-8DA29E3C56CF}" name="Jemena" dataDxfId="417" dataCellStyle="Calculation">
      <calculatedColumnFormula array="1">IFERROR(
(IFERROR(INDEX(Calc_CPI_1[[CPI uplift factor]:[CPI uplift factor]],MATCH($C244,Calc_CPI_1[[Cost item]:[Cost item]],0),1),0)+
INDEX(Input_ForRateCalc[[F-CurrentVDO_InputDate]:[F-NextVDO_Input]],MATCH(Calc_FiT_1[[#This Row],[Cost item]:[Cost item]],Input_ForRateCalc[[Cost item]:[Cost item]],0),MATCH($D$5,Inputs!$H$8:$Q$8,0))),"-")</calculatedColumnFormula>
    </tableColumn>
    <tableColumn id="7" xr3:uid="{E838E498-62F7-48EC-9A33-8E46B6F2846E}" name="Powercor" dataDxfId="416" dataCellStyle="Calculation">
      <calculatedColumnFormula array="1">IFERROR(
(IFERROR(INDEX(Calc_CPI_1[[CPI uplift factor]:[CPI uplift factor]],MATCH($C244,Calc_CPI_1[[Cost item]:[Cost item]],0),1),0)+
INDEX(Input_ForRateCalc[[F-CurrentVDO_InputDate]:[F-NextVDO_Input]],MATCH(Calc_FiT_1[[#This Row],[Cost item]:[Cost item]],Input_ForRateCalc[[Cost item]:[Cost item]],0),MATCH($D$5,Inputs!$H$8:$Q$8,0))),"-")</calculatedColumnFormula>
    </tableColumn>
    <tableColumn id="8" xr3:uid="{E4EAE11B-C0B1-474A-AFE2-08D9725A3A2F}" name="United Energy" dataDxfId="415" dataCellStyle="Calculation">
      <calculatedColumnFormula array="1">IFERROR(
(IFERROR(INDEX(Calc_CPI_1[[CPI uplift factor]:[CPI uplift factor]],MATCH($C244,Calc_CPI_1[[Cost item]:[Cost item]],0),1),0)+
INDEX(Input_ForRateCalc[[F-CurrentVDO_InputDate]:[F-NextVDO_Input]],MATCH(Calc_FiT_1[[#This Row],[Cost item]:[Cost item]],Input_ForRateCalc[[Cost item]:[Cost item]],0),MATCH($D$5,Inputs!$H$8:$Q$8,0))),"-")</calculatedColumnFormula>
    </tableColumn>
  </tableColumns>
  <tableStyleInfo name="Default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DD51261-8483-4F72-A15D-EE34A34E1BAB}" name="Calc_Fixed_1" displayName="Calc_Fixed_1" ref="C9:K13" totalsRowShown="0" headerRowDxfId="414" dataDxfId="412" headerRowBorderDxfId="413" tableBorderDxfId="411" totalsRowBorderDxfId="410" headerRowCellStyle="Table col heading" dataCellStyle="Calculation">
  <tableColumns count="9">
    <tableColumn id="1" xr3:uid="{0DE4619C-AFE2-4FBE-9761-BAA79DB830F4}" name="Fixed costs" dataCellStyle="Table cell"/>
    <tableColumn id="2" xr3:uid="{E509A651-4C2C-44F0-B768-083D02C0617D}" name="Fixed/Variable" dataCellStyle="Table cell"/>
    <tableColumn id="3" xr3:uid="{EA8D5DA8-FE69-4B34-9288-63D99D8B64E2}" name="Unit" dataCellStyle="Table cell"/>
    <tableColumn id="4" xr3:uid="{7B42286D-64E9-4E5F-91BD-04A0111536FE}" name="Customer type" dataCellStyle="Table cell"/>
    <tableColumn id="5" xr3:uid="{11BA551C-7A3B-4DBA-8886-22B914901BA5}" name="Ausnet" dataDxfId="409" dataCellStyle="Calculation"/>
    <tableColumn id="6" xr3:uid="{C7D51D1D-F5A3-45D2-97BF-2D2C3522663C}" name="Citipower" dataDxfId="408" dataCellStyle="Calculation"/>
    <tableColumn id="7" xr3:uid="{98520615-2498-4B69-9E0F-1D3D02C38A91}" name="Jemena" dataDxfId="407" dataCellStyle="Calculation"/>
    <tableColumn id="8" xr3:uid="{9D038724-BFD4-4AE0-9E93-A285F400301A}" name="Powercor" dataDxfId="406" dataCellStyle="Calculation"/>
    <tableColumn id="9" xr3:uid="{7A6F7E36-B9EF-452A-B7C5-DCD9FEE784F5}" name="United Energy" dataDxfId="405" dataCellStyle="Calculation"/>
  </tableColumns>
  <tableStyleInfo name="Default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FF5E63F-6A48-4B35-938E-45458A34EE25}" name="Calc_Variable_1" displayName="Calc_Variable_1" ref="C50:K56" totalsRowShown="0" headerRowDxfId="404" dataDxfId="402" headerRowBorderDxfId="403" tableBorderDxfId="401" totalsRowBorderDxfId="400" headerRowCellStyle="Table col heading" dataCellStyle="Calculation">
  <tableColumns count="9">
    <tableColumn id="1" xr3:uid="{D01C5694-3942-4B70-B388-582619A4A730}" name="Variable costs" dataCellStyle="Table cell"/>
    <tableColumn id="2" xr3:uid="{7B18B367-5A4F-4675-BF52-307E9D2DFE67}" name="Fixed/Variable" dataCellStyle="Table cell"/>
    <tableColumn id="3" xr3:uid="{258FC869-F26D-469D-99EB-25477677C6D6}" name="Unit" dataCellStyle="Table cell"/>
    <tableColumn id="4" xr3:uid="{6772D669-4BEB-4A7B-8347-807634EAD556}" name="Customer type" dataCellStyle="Table cell"/>
    <tableColumn id="5" xr3:uid="{016FCE41-EF2A-4E35-9A7B-F1E430D7D105}" name="Ausnet" dataDxfId="399" dataCellStyle="Calculation">
      <calculatedColumnFormula>SUMIFS(Calc_NetworkV_1[Ausnet],Calc_NetworkV_1[[Cost item]:[Cost item]],$C51,Calc_NetworkV_1[[Customer type]:[Customer type]],$F51)</calculatedColumnFormula>
    </tableColumn>
    <tableColumn id="6" xr3:uid="{E2C0AA12-7131-46DC-85F6-23D2DC886FB0}" name="Citipower" dataDxfId="398" dataCellStyle="Calculation">
      <calculatedColumnFormula>SUMIFS(Calc_NetworkV_1[Citipower],Calc_NetworkV_1[[Cost item]:[Cost item]],$C51,Calc_NetworkV_1[[Customer type]:[Customer type]],$F51)</calculatedColumnFormula>
    </tableColumn>
    <tableColumn id="7" xr3:uid="{EF4DD9F0-6C3E-41F9-B55E-8140D1AD8185}" name="Jemena" dataDxfId="397" dataCellStyle="Calculation">
      <calculatedColumnFormula>SUMIFS(Calc_NetworkV_1[Jemena],Calc_NetworkV_1[[Cost item]:[Cost item]],$C51,Calc_NetworkV_1[[Customer type]:[Customer type]],$F51)</calculatedColumnFormula>
    </tableColumn>
    <tableColumn id="8" xr3:uid="{947CFCA4-E7A4-4A08-847F-78F175CA3E8A}" name="Powercor" dataDxfId="396" dataCellStyle="Calculation">
      <calculatedColumnFormula>SUMIFS(Calc_NetworkV_1[Powercor],Calc_NetworkV_1[[Cost item]:[Cost item]],$C51,Calc_NetworkV_1[[Customer type]:[Customer type]],$F51)</calculatedColumnFormula>
    </tableColumn>
    <tableColumn id="9" xr3:uid="{B3FA65E5-67A9-4C54-BE06-6A8BC367B8D2}" name="United Energy" dataDxfId="395" dataCellStyle="Calculation">
      <calculatedColumnFormula>SUMIFS(Calc_NetworkV_1[United Energy],Calc_NetworkV_1[[Cost item]:[Cost item]],$C51,Calc_NetworkV_1[[Customer type]:[Customer type]],$F51)</calculatedColumnFormula>
    </tableColumn>
  </tableColumns>
  <tableStyleInfo name="Default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42E7283-7EC9-4B31-8751-F22F33197074}" name="Calc_CPI_2" displayName="Calc_CPI_2" ref="C391:H398" totalsRowShown="0" headerRowDxfId="394" headerRowBorderDxfId="393" tableBorderDxfId="392" headerRowCellStyle="Table col heading">
  <tableColumns count="6">
    <tableColumn id="1" xr3:uid="{0392B365-335D-4A78-9B18-7271922DE1F6}" name="Cost item"/>
    <tableColumn id="3" xr3:uid="{048F43A9-A58B-455C-8B4D-B6DA137AECA7}" name="Fixed/Variable" dataDxfId="391"/>
    <tableColumn id="10" xr3:uid="{C0FE0C8C-F5D0-4BAB-8D99-F40D7F692479}" name="Unit" dataCellStyle="Table cell"/>
    <tableColumn id="11" xr3:uid="{73F71E33-E6A7-4E95-8250-4F73CE5393B0}" name="Customer type" dataCellStyle="Table cell"/>
    <tableColumn id="4" xr3:uid="{A927AA6D-A956-473D-9CBB-E2BEE704389A}" name="CPI increase" dataDxfId="390" dataCellStyle="Calculation">
      <calculatedColumnFormula>IFERROR(
($D$389-
INDEX(CPI[Indice],MATCH(
INDEX(Input_ForRateCalc[[F-CurrentVDO_InputDate]:[F-NextVDO_Input]],MATCH(Calc_Rates!$C392&amp;" - base",Input_ForRateCalc[Cost item],0),MATCH(Calc_Rates!$D$249&amp;" - input date",Inputs!H$8:Q$8,0)),
CPI[Period],0),1))/
INDEX(CPI[Indice],MATCH(
INDEX(Input_ForRateCalc[[F-CurrentVDO_InputDate]:[F-NextVDO_Input]],MATCH(Calc_Rates!$C392&amp;" - base",Input_ForRateCalc[Cost item],0),MATCH(Calc_Rates!$D$249&amp;" - input date",Inputs!H$8:Q$8,0)),
CPI[Period],0),1),"-")</calculatedColumnFormula>
    </tableColumn>
    <tableColumn id="5" xr3:uid="{0AF73545-2A78-4EA1-9B7D-36FA6144550A}" name="CPI uplift factor" dataDxfId="389" dataCellStyle="Calculation"/>
  </tableColumns>
  <tableStyleInfo name="Default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EC6A44B-92E9-41E6-A5BE-92DF20C28082}" name="Calc_Losses_2" displayName="Calc_Losses_2" ref="C401:K404" totalsRowShown="0" headerRowDxfId="388" headerRowBorderDxfId="387" tableBorderDxfId="386" headerRowCellStyle="Table col heading">
  <tableColumns count="9">
    <tableColumn id="1" xr3:uid="{FF25D25B-B907-49F1-9788-25D8E0FAB9AB}" name="Cost item"/>
    <tableColumn id="2" xr3:uid="{C154E22A-4B96-4CA0-AE66-AA8979623137}" name="Fixed/Variable"/>
    <tableColumn id="3" xr3:uid="{7225B388-345E-4195-AF66-C05D1F0E3B4C}" name="Unit"/>
    <tableColumn id="9" xr3:uid="{875CEA24-D2EE-402A-AE5F-BA8557242C89}" name="Customer type" dataCellStyle="Table cell"/>
    <tableColumn id="4" xr3:uid="{CB25BE8A-48BA-4885-8E65-317DB9BF37BB}" name="Ausnet" dataDxfId="385"/>
    <tableColumn id="5" xr3:uid="{0B2237C4-7DBE-4B58-8B34-036750CE9DF3}" name="Citipower" dataDxfId="384"/>
    <tableColumn id="6" xr3:uid="{E1C9F9AE-0936-4E2E-A598-882FD11E197E}" name="Jemena" dataDxfId="383"/>
    <tableColumn id="7" xr3:uid="{50A41108-5F62-4C52-92E2-598288A777B6}" name="Powercor" dataDxfId="382"/>
    <tableColumn id="8" xr3:uid="{5D722926-44FE-4315-8992-A62E3FA3705F}" name="United Energy" dataDxfId="381"/>
  </tableColumns>
  <tableStyleInfo name="Default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8CE7EFF8-8CC4-49A5-A4B0-B1F772307F26}" name="Calc_ROM_2" displayName="Calc_ROM_2" ref="C407:K408" totalsRowShown="0" headerRowDxfId="380" headerRowBorderDxfId="379" tableBorderDxfId="378" headerRowCellStyle="Table col heading" dataCellStyle="Table cell">
  <tableColumns count="9">
    <tableColumn id="1" xr3:uid="{955F46BD-E98D-4FF8-89E3-604BDBAD5C15}" name="Cost item" dataCellStyle="Table cell"/>
    <tableColumn id="2" xr3:uid="{6E181835-1B30-4227-88B8-00DC0A938429}" name="Fixed/Variable" dataCellStyle="Table cell"/>
    <tableColumn id="3" xr3:uid="{B4F569B5-76F1-4840-94CD-ED51F23ABBB5}" name="Unit" dataCellStyle="Table cell"/>
    <tableColumn id="9" xr3:uid="{7D750D5E-3C29-452B-BA22-9541DF61C38D}" name="Customer type" dataCellStyle="Table cell"/>
    <tableColumn id="4" xr3:uid="{E687E301-7097-4D98-AEE6-E06378C143BE}" name="Ausnet" dataDxfId="377" dataCellStyle="Calculation">
      <calculatedColumnFormula array="1">IFERROR(INDEX(Input_ForRateCalc[[F-CurrentVDO_InputDate]:[F-NextVDO_Input]],MATCH(Calc_ROM_2[[#This Row],[Cost item]:[Cost item]],Input_ForRateCalc[[Cost item]:[Cost item]],0),MATCH($D$249,Inputs!$H$8:$Q$8,0)),"-")</calculatedColumnFormula>
    </tableColumn>
    <tableColumn id="5" xr3:uid="{1A564FEB-91D3-41D0-938B-AF81CFA2D721}" name="Citipower" dataDxfId="376" dataCellStyle="Internal link/lookup">
      <calculatedColumnFormula array="1">IFERROR(INDEX(Input_ForRateCalc[[F-CurrentVDO_InputDate]:[F-NextVDO_Input]],MATCH(Calc_ROM_2[[#This Row],[Cost item]:[Cost item]],Input_ForRateCalc[[Cost item]:[Cost item]],0),MATCH($D$249,Inputs!$H$8:$Q$8,0)),"-")</calculatedColumnFormula>
    </tableColumn>
    <tableColumn id="6" xr3:uid="{A4210194-9161-4D9A-B76B-92DB41A3D078}" name="Jemena" dataDxfId="375" dataCellStyle="Internal link/lookup">
      <calculatedColumnFormula array="1">IFERROR(INDEX(Input_ForRateCalc[[F-CurrentVDO_InputDate]:[F-NextVDO_Input]],MATCH(Calc_ROM_2[[#This Row],[Cost item]:[Cost item]],Input_ForRateCalc[[Cost item]:[Cost item]],0),MATCH($D$249,Inputs!$H$8:$Q$8,0)),"-")</calculatedColumnFormula>
    </tableColumn>
    <tableColumn id="7" xr3:uid="{C0C4DC3C-E147-4E1D-AC30-72D37EB7845B}" name="Powercor" dataDxfId="374" dataCellStyle="Internal link/lookup">
      <calculatedColumnFormula array="1">IFERROR(INDEX(Input_ForRateCalc[[F-CurrentVDO_InputDate]:[F-NextVDO_Input]],MATCH(Calc_ROM_2[[#This Row],[Cost item]:[Cost item]],Input_ForRateCalc[[Cost item]:[Cost item]],0),MATCH($D$249,Inputs!$H$8:$Q$8,0)),"-")</calculatedColumnFormula>
    </tableColumn>
    <tableColumn id="8" xr3:uid="{E4E7EB2A-0FA6-46E9-B531-356F9F153E84}" name="United Energy" dataDxfId="373" dataCellStyle="Internal link/lookup">
      <calculatedColumnFormula array="1">IFERROR(INDEX(Input_ForRateCalc[[F-CurrentVDO_InputDate]:[F-NextVDO_Input]],MATCH(Calc_ROM_2[[#This Row],[Cost item]:[Cost item]],Input_ForRateCalc[[Cost item]:[Cost item]],0),MATCH($D$249,Inputs!$H$8:$Q$8,0)),"-")</calculatedColumnFormula>
    </tableColumn>
  </tableColumns>
  <tableStyleInfo name="Default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7F880C2-B122-4BD6-AFB2-F6FEA0892944}" name="Calc_Retail_2" displayName="Calc_Retail_2" ref="C413:K415" totalsRowShown="0" headerRowDxfId="372" headerRowBorderDxfId="371" tableBorderDxfId="370" totalsRowBorderDxfId="369" headerRowCellStyle="Table col heading">
  <tableColumns count="9">
    <tableColumn id="1" xr3:uid="{5DBFD0B1-2F68-4D8D-9DD6-1CB8E0378AF5}" name="Cost item"/>
    <tableColumn id="2" xr3:uid="{DEEB39E3-E100-46E3-8373-164B77EDA971}" name="Fixed/Variable"/>
    <tableColumn id="3" xr3:uid="{E9B6E294-9507-43FE-8432-2DC6149A44BD}" name="Unit" dataCellStyle="Table cell"/>
    <tableColumn id="9" xr3:uid="{8E50245A-0ED0-4F17-87CE-4E85E60E4872}" name="Customer type" dataDxfId="368" dataCellStyle="Table cell"/>
    <tableColumn id="4" xr3:uid="{2CD61C95-A6E5-4E0F-9C24-3AEBDA5C897D}" name="Ausnet" dataDxfId="367" dataCellStyle="Calculation"/>
    <tableColumn id="5" xr3:uid="{4E050103-6C8B-4305-BD73-C70DDFA3DBF5}" name="Citipower" dataDxfId="366" dataCellStyle="Calculation"/>
    <tableColumn id="6" xr3:uid="{99907E92-AD35-4E5A-9AF4-6ADEACB6628B}" name="Jemena" dataDxfId="365" dataCellStyle="Calculation"/>
    <tableColumn id="7" xr3:uid="{85CED015-2903-4856-80DE-2EF0DF32CF22}" name="Powercor" dataDxfId="364" dataCellStyle="Calculation"/>
    <tableColumn id="8" xr3:uid="{E2C17A32-6146-4155-9533-31AA75FDB328}" name="United Energy" dataDxfId="363" dataCellStyle="Calculation"/>
  </tableColumns>
  <tableStyleInfo name="Default tab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01D12CF-C7E1-4924-9282-4EC84379844B}" name="Calc_OtherCosts_2" displayName="Calc_OtherCosts_2" ref="C419:K426" totalsRowShown="0" headerRowDxfId="362" headerRowBorderDxfId="361" tableBorderDxfId="360" totalsRowBorderDxfId="359" headerRowCellStyle="Table col heading" dataCellStyle="Table cell">
  <tableColumns count="9">
    <tableColumn id="1" xr3:uid="{A1B8058A-1AB1-41BC-8A43-72B5EA27A603}" name="Cost item" dataCellStyle="Table cell"/>
    <tableColumn id="2" xr3:uid="{D5EEF1DB-85C1-49E6-99B0-CF0394951EE2}" name="Fixed/Variable" dataCellStyle="Table cell"/>
    <tableColumn id="3" xr3:uid="{E4A2F631-BD69-4A5A-85B5-508D2E2B4A0C}" name="Unit" dataCellStyle="Table cell"/>
    <tableColumn id="9" xr3:uid="{0B803444-77B6-4D2D-BB75-CD29E2D46331}" name="Customer type" dataDxfId="358" dataCellStyle="Table cell"/>
    <tableColumn id="4" xr3:uid="{085016C6-CD9B-499F-9379-4BAE408451BD}" name="Ausnet" dataDxfId="357" dataCellStyle="Calculation"/>
    <tableColumn id="5" xr3:uid="{D67C074D-746D-4063-961D-3BEBB731C5BF}" name="Citipower" dataDxfId="356" dataCellStyle="Calculation"/>
    <tableColumn id="6" xr3:uid="{E2A0A5AD-48B1-4C7D-B517-722AFA356FB6}" name="Jemena" dataDxfId="355" dataCellStyle="Calculation"/>
    <tableColumn id="7" xr3:uid="{F78830B5-0220-404E-AF64-292E9739DDDA}" name="Powercor" dataDxfId="354" dataCellStyle="Calculation"/>
    <tableColumn id="8" xr3:uid="{79D9B0F6-4D30-4C42-89E5-7F30342FAA5E}" name="United Energy" dataDxfId="353" dataCellStyle="Calculation"/>
  </tableColumns>
  <tableStyleInfo name="Default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4E0A9ED2-8D00-4F48-8D30-FD08A8C765E7}" name="Calc_NetworkF_2" displayName="Calc_NetworkF_2" ref="C431:K436" totalsRowShown="0" headerRowDxfId="352" headerRowBorderDxfId="351" tableBorderDxfId="350" totalsRowBorderDxfId="349" headerRowCellStyle="Table col heading">
  <tableColumns count="9">
    <tableColumn id="1" xr3:uid="{D38E552C-C6A6-40C2-9CA0-7FC7197AE66A}" name="Cost item"/>
    <tableColumn id="2" xr3:uid="{03758CD2-D50C-40CD-98A0-210010BE529C}" name="Fixed/Variable"/>
    <tableColumn id="3" xr3:uid="{A465FF89-A6AC-4B33-AB2F-144AD4966E2B}" name="Unit" dataCellStyle="Table cell"/>
    <tableColumn id="9" xr3:uid="{BE863A71-0407-4CC5-A963-E85A55602C43}" name="Customer type" dataDxfId="348" dataCellStyle="Table cell"/>
    <tableColumn id="4" xr3:uid="{E263191F-A889-48FA-AAEA-BCE459A10C20}" name="Ausnet" dataDxfId="347" dataCellStyle="Calculation">
      <calculatedColumnFormula array="1">IFERROR(
IFERROR(INDEX(Calc_CPI_2[[CPI uplift factor]:[CPI uplift factor]],MATCH($C432,Calc_CPI_2[[Cost item]:[Cost item]],0),1),0)+
INDEX(Input_ForRateCalc[[F-CurrentVDO_InputDate]:[F-NextVDO_Input]],MATCH(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item]],0),MATCH($D$249,Inputs!$H$8:$Q$8,0)),"-")</calculatedColumnFormula>
    </tableColumn>
    <tableColumn id="5" xr3:uid="{E6E4BB6F-BD70-4891-95C8-F6841E10AE1F}" name="Citipower" dataDxfId="346">
      <calculatedColumnFormula array="1">IFERROR(
IFERROR(INDEX(Calc_CPI_2[[CPI uplift factor]:[CPI uplift factor]],MATCH($C432,Calc_CPI_2[[Cost item]:[Cost item]],0),1),0)+
INDEX(Input_ForRateCalc[[F-CurrentVDO_InputDate]:[F-NextVDO_Input]],MATCH(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item]],0),MATCH($D$249,Inputs!$H$8:$Q$8,0)),"-")</calculatedColumnFormula>
    </tableColumn>
    <tableColumn id="6" xr3:uid="{74B2C5CE-E472-453B-BE1E-199DD74C52A8}" name="Jemena" dataDxfId="345">
      <calculatedColumnFormula array="1">IFERROR(
IFERROR(INDEX(Calc_CPI_2[[CPI uplift factor]:[CPI uplift factor]],MATCH($C432,Calc_CPI_2[[Cost item]:[Cost item]],0),1),0)+
INDEX(Input_ForRateCalc[[F-CurrentVDO_InputDate]:[F-NextVDO_Input]],MATCH(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item]],0),MATCH($D$249,Inputs!$H$8:$Q$8,0)),"-")</calculatedColumnFormula>
    </tableColumn>
    <tableColumn id="7" xr3:uid="{BB022CED-F0B8-48AE-86ED-16EA04ED82D4}" name="Powercor" dataDxfId="344">
      <calculatedColumnFormula array="1">IFERROR(
IFERROR(INDEX(Calc_CPI_2[[CPI uplift factor]:[CPI uplift factor]],MATCH($C432,Calc_CPI_2[[Cost item]:[Cost item]],0),1),0)+
INDEX(Input_ForRateCalc[[F-CurrentVDO_InputDate]:[F-NextVDO_Input]],MATCH(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item]],0),MATCH($D$249,Inputs!$H$8:$Q$8,0)),"-")</calculatedColumnFormula>
    </tableColumn>
    <tableColumn id="8" xr3:uid="{37BB4DBB-2AA0-4B3B-B81D-A3BEDA786117}" name="United Energy" dataDxfId="343">
      <calculatedColumnFormula array="1">IFERROR(
IFERROR(INDEX(Calc_CPI_2[[CPI uplift factor]:[CPI uplift factor]],MATCH($C432,Calc_CPI_2[[Cost item]:[Cost item]],0),1),0)+
INDEX(Input_ForRateCalc[[F-CurrentVDO_InputDate]:[F-NextVDO_Input]],MATCH(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item]],0),MATCH($D$249,Inputs!$H$8:$Q$8,0)),"-")</calculatedColumnFormula>
    </tableColumn>
  </tableColumns>
  <tableStyleInfo name="Default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72C9E2E-BCF3-4E06-AE4B-999827903A85}" name="Calc_NetworkV_2" displayName="Calc_NetworkV_2" ref="C439:K450" totalsRowShown="0" headerRowDxfId="342" dataDxfId="340" headerRowBorderDxfId="341" tableBorderDxfId="339" totalsRowBorderDxfId="338" headerRowCellStyle="Table col heading" dataCellStyle="Calculation">
  <tableColumns count="9">
    <tableColumn id="1" xr3:uid="{A42221E9-38CD-4719-9CB9-680E3FE0AB3B}" name="Cost item" dataCellStyle="Table cell"/>
    <tableColumn id="2" xr3:uid="{427969E6-F9FD-4A2F-AE33-CB0C35F67BA9}" name="Fixed/Variable" dataCellStyle="Table cell"/>
    <tableColumn id="3" xr3:uid="{2BA6E17D-E067-4AAC-B77F-219CB9F95259}" name="Unit" dataCellStyle="Table cell"/>
    <tableColumn id="9" xr3:uid="{D92AB887-DC72-4FF5-AC76-00519F97E33D}" name="Customer type" dataDxfId="337" dataCellStyle="Table cell"/>
    <tableColumn id="4" xr3:uid="{036757F4-CC3E-4CFE-BEE6-59E663C8DD43}" name="Ausnet" dataDxfId="336" dataCellStyle="Calculation">
      <calculatedColumnFormula array="1">IFERROR(
(IFERROR(INDEX(Calc_CPI_2[[CPI uplift factor]:[CPI uplift factor]],MATCH($C440,Calc_CPI_2[[Cost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MATCH($D$249,Inputs!$H$8:$Q$8,0)))/100,"-")</calculatedColumnFormula>
    </tableColumn>
    <tableColumn id="5" xr3:uid="{AE94E996-3010-41EE-98D2-09418CBEF705}" name="Citipower" dataDxfId="335" dataCellStyle="Calculation">
      <calculatedColumnFormula array="1">IFERROR(
(IFERROR(INDEX(Calc_CPI_2[[CPI uplift factor]:[CPI uplift factor]],MATCH($C440,Calc_CPI_2[[Cost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MATCH($D$249,Inputs!$H$8:$Q$8,0)))/100,"-")</calculatedColumnFormula>
    </tableColumn>
    <tableColumn id="6" xr3:uid="{C3B601D0-315D-46AC-86AD-25A56993C77D}" name="Jemena" dataDxfId="334" dataCellStyle="Calculation">
      <calculatedColumnFormula array="1">IFERROR(
(IFERROR(INDEX(Calc_CPI_2[[CPI uplift factor]:[CPI uplift factor]],MATCH($C440,Calc_CPI_2[[Cost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MATCH($D$249,Inputs!$H$8:$Q$8,0)))/100,"-")</calculatedColumnFormula>
    </tableColumn>
    <tableColumn id="7" xr3:uid="{75D9B400-5B56-4251-876D-D3B2AD0EDE08}" name="Powercor" dataDxfId="333" dataCellStyle="Calculation">
      <calculatedColumnFormula array="1">IFERROR(
(IFERROR(INDEX(Calc_CPI_2[[CPI uplift factor]:[CPI uplift factor]],MATCH($C440,Calc_CPI_2[[Cost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MATCH($D$249,Inputs!$H$8:$Q$8,0)))/100,"-")</calculatedColumnFormula>
    </tableColumn>
    <tableColumn id="8" xr3:uid="{72E976D5-6CF4-4BF4-8596-EF5DDC69965F}" name="United Energy" dataDxfId="332" dataCellStyle="Calculation">
      <calculatedColumnFormula array="1">IFERROR(
(IFERROR(INDEX(Calc_CPI_2[[CPI uplift factor]:[CPI uplift factor]],MATCH($C440,Calc_CPI_2[[Cost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MATCH($D$249,Inputs!$H$8:$Q$8,0)))/100,"-")</calculatedColumnFormula>
    </tableColumn>
  </tableColumns>
  <tableStyleInfo name="Default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43AECED-8885-4699-9018-976951DCEAEC}" name="Calc_WholesaleRES_2" displayName="Calc_WholesaleRES_2" ref="C455:K458" totalsRowShown="0" headerRowDxfId="331" headerRowBorderDxfId="330" tableBorderDxfId="329" headerRowCellStyle="Table col heading">
  <tableColumns count="9">
    <tableColumn id="1" xr3:uid="{55616D8A-0BC7-47DE-A9AD-A18C20CAD8E8}" name="Cost item"/>
    <tableColumn id="2" xr3:uid="{8849EA41-8407-4971-A187-A2595136364B}" name="Fixed/Variable"/>
    <tableColumn id="3" xr3:uid="{7467E916-F8C7-4E84-9658-A30010C5DDFB}" name="Unit"/>
    <tableColumn id="9" xr3:uid="{DD46CE72-BA1A-4017-990D-6941FE945045}" name="Customer type" dataCellStyle="Table cell"/>
    <tableColumn id="4" xr3:uid="{809DE305-D85D-4DA6-9F81-6D2F651C2EC0}" name="Ausnet"/>
    <tableColumn id="5" xr3:uid="{ED0D7F05-C22B-4EC1-8CDE-AF6D2FD6166E}" name="Citipower"/>
    <tableColumn id="6" xr3:uid="{B4B973FC-6C95-4B31-B9D7-8BFBB8D04D0F}" name="Jemena"/>
    <tableColumn id="7" xr3:uid="{52008CB4-E4CB-481A-A36B-0E4ECF3E2C84}" name="Powercor"/>
    <tableColumn id="8" xr3:uid="{5F24B15A-3CAE-4F6C-B56E-177E8642134E}" name="United Energy"/>
  </tableColumns>
  <tableStyleInfo name="Default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07C98C9-DEA2-499D-BCEC-1ADC2B76173B}" name="Calc_WholesaleSME_2" displayName="Calc_WholesaleSME_2" ref="C461:K464" totalsRowShown="0" headerRowDxfId="328" headerRowBorderDxfId="327" tableBorderDxfId="326" headerRowCellStyle="Table col heading">
  <tableColumns count="9">
    <tableColumn id="1" xr3:uid="{2F0330C9-FA4B-4B76-809A-3FFC706FA169}" name="Cost item"/>
    <tableColumn id="2" xr3:uid="{78653F00-2B8C-4BEB-99B3-5D899DAF194B}" name="Fixed/Variable"/>
    <tableColumn id="3" xr3:uid="{EB7E3CD7-5F6B-4CB7-9B55-B1A551960A87}" name="Unit"/>
    <tableColumn id="9" xr3:uid="{565AFD53-96DA-4A2D-874C-56C80926C3E1}" name="Customer type" dataCellStyle="Table cell"/>
    <tableColumn id="4" xr3:uid="{2D68E5B7-6558-44D7-A7DD-E465C5C7F977}" name="Ausnet"/>
    <tableColumn id="5" xr3:uid="{E0249D4F-24CE-4366-AD41-D943CD45AF8A}" name="Citipower"/>
    <tableColumn id="6" xr3:uid="{05111774-1FD7-46E5-904E-F77A51A63099}" name="Jemena"/>
    <tableColumn id="7" xr3:uid="{60E0B7A4-662F-4DCA-B8BD-3A1A03F20EC4}" name="Powercor"/>
    <tableColumn id="8" xr3:uid="{BC8EA099-7982-4976-92A9-37CF7F323A04}" name="United Energy"/>
  </tableColumns>
  <tableStyleInfo name="Default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8FABF61-76BF-48EF-B505-776F278BB84F}" name="Calc_EnviroVEU_2" displayName="Calc_EnviroVEU_2" ref="C469:K472" totalsRowShown="0" headerRowDxfId="325" headerRowBorderDxfId="324" tableBorderDxfId="323" headerRowCellStyle="Table col heading" dataCellStyle="Internal link/lookup">
  <tableColumns count="9">
    <tableColumn id="1" xr3:uid="{5EDF66C7-C7F9-42E7-B17E-0A2D1BB3D8EA}" name="Cost item" dataCellStyle="Table cell"/>
    <tableColumn id="2" xr3:uid="{1DD3DB1A-FA8C-40B9-96A5-CCF273541652}" name="Fixed/Variable" dataCellStyle="Table cell"/>
    <tableColumn id="3" xr3:uid="{F4DF5AAD-28C1-430F-A85B-FE98F6BCA66F}" name="Unit" dataCellStyle="Table cell"/>
    <tableColumn id="9" xr3:uid="{39F18777-7928-4E45-A6E5-4949449D9B17}" name="Customer type" dataCellStyle="Table cell"/>
    <tableColumn id="4" xr3:uid="{72BCCABF-61A1-496B-A1F1-313913406971}" name="Ausnet" dataDxfId="322" dataCellStyle="Internal link/lookup"/>
    <tableColumn id="5" xr3:uid="{3632AAF8-9994-487F-B2AE-D91E6898616F}" name="Citipower" dataDxfId="321" dataCellStyle="Internal link/lookup"/>
    <tableColumn id="6" xr3:uid="{2D670DF7-A7E1-4815-8D99-FEBF3D8719A9}" name="Jemena" dataDxfId="320" dataCellStyle="Internal link/lookup"/>
    <tableColumn id="7" xr3:uid="{F31CC8AE-80E4-4035-B43D-29D83AB0E44B}" name="Powercor" dataDxfId="319" dataCellStyle="Internal link/lookup"/>
    <tableColumn id="8" xr3:uid="{ABB21325-49FB-44E1-9BEE-EF0B2D015359}" name="United Energy" dataDxfId="318" dataCellStyle="Internal link/lookup"/>
  </tableColumns>
  <tableStyleInfo name="Default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BD7F563-8C27-44C8-A251-94ED92356BAB}" name="Calc_EnviroLRET_2" displayName="Calc_EnviroLRET_2" ref="C475:K478" totalsRowShown="0" headerRowDxfId="317" headerRowBorderDxfId="316" tableBorderDxfId="315" headerRowCellStyle="Table col heading" dataCellStyle="Internal link/lookup">
  <tableColumns count="9">
    <tableColumn id="1" xr3:uid="{2E796124-0F36-4D5C-9E02-8A0D3471F3AC}" name="Cost item" dataCellStyle="Table cell"/>
    <tableColumn id="2" xr3:uid="{C0EFC863-A147-4A4B-9CD5-3BEDACFA83D3}" name="Fixed/Variable" dataCellStyle="Table cell"/>
    <tableColumn id="3" xr3:uid="{3E3D2AF2-16D7-4872-891A-23E6EF08388C}" name="Unit" dataCellStyle="Table cell"/>
    <tableColumn id="9" xr3:uid="{6D9C9597-8B4B-456E-BE78-2619427622CB}" name="Customer type" dataCellStyle="Table cell"/>
    <tableColumn id="4" xr3:uid="{D42DF87B-2F3A-445A-A591-A957064999AE}" name="Ausnet" dataDxfId="314" dataCellStyle="Internal link/lookup"/>
    <tableColumn id="5" xr3:uid="{0D536E01-9C54-40A5-872F-7AEC6B5E5964}" name="Citipower" dataDxfId="313" dataCellStyle="Internal link/lookup"/>
    <tableColumn id="6" xr3:uid="{61156598-626D-4F85-A017-2C9888B3AD91}" name="Jemena" dataDxfId="312" dataCellStyle="Internal link/lookup"/>
    <tableColumn id="7" xr3:uid="{4EE5EB45-9330-4B64-B7A3-C08F48938D41}" name="Powercor" dataDxfId="311" dataCellStyle="Internal link/lookup"/>
    <tableColumn id="8" xr3:uid="{99C9DEB0-D84E-402A-BBDC-1CDA9A808BD7}" name="United Energy" dataDxfId="310" dataCellStyle="Internal link/lookup"/>
  </tableColumns>
  <tableStyleInfo name="Default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814BBD54-9845-4747-B0FC-4306CC6FFD10}" name="Calc_EnviroSRES_2" displayName="Calc_EnviroSRES_2" ref="C481:K484" totalsRowShown="0" headerRowDxfId="309" headerRowBorderDxfId="308" tableBorderDxfId="307" headerRowCellStyle="Table col heading" dataCellStyle="Internal link/lookup">
  <tableColumns count="9">
    <tableColumn id="1" xr3:uid="{791A5626-6473-40AB-9ACB-89DB21A7706B}" name="Cost item" dataCellStyle="Table cell"/>
    <tableColumn id="2" xr3:uid="{5511F733-1BC6-4C83-BDCA-2DACD06711C1}" name="Fixed/Variable" dataCellStyle="Table cell"/>
    <tableColumn id="3" xr3:uid="{4BB6E085-34C6-4694-AFAC-02FEBC452056}" name="Unit" dataCellStyle="Table cell"/>
    <tableColumn id="9" xr3:uid="{23533F4A-2712-4732-89B5-7AA0D1A80ABF}" name="Customer type" dataCellStyle="Table cell"/>
    <tableColumn id="4" xr3:uid="{5C3D7028-D35B-4243-9BD5-803DE0C1F090}" name="Ausnet" dataDxfId="306" dataCellStyle="Internal link/lookup"/>
    <tableColumn id="5" xr3:uid="{2A46EF8F-490F-41DC-BB79-D94A9890A10A}" name="Citipower" dataDxfId="305" dataCellStyle="Internal link/lookup"/>
    <tableColumn id="6" xr3:uid="{9CEE5387-7B05-4CC5-82B7-0186B5B65A5A}" name="Jemena" dataDxfId="304" dataCellStyle="Internal link/lookup"/>
    <tableColumn id="7" xr3:uid="{81F3FABF-D50E-455F-9DE6-D4EE60D73723}" name="Powercor" dataDxfId="303" dataCellStyle="Internal link/lookup"/>
    <tableColumn id="8" xr3:uid="{B347FCC2-B745-42AC-8178-54348C53A812}" name="United Energy" dataDxfId="302" dataCellStyle="Internal link/lookup"/>
  </tableColumns>
  <tableStyleInfo name="Default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D51D2367-9227-4BB4-96FF-F19EC747EAA3}" name="Calc_FiT_2" displayName="Calc_FiT_2" ref="C487:K488" totalsRowShown="0" headerRowDxfId="301" headerRowBorderDxfId="300" tableBorderDxfId="299" totalsRowBorderDxfId="298" headerRowCellStyle="Table col heading" dataCellStyle="Table cell">
  <tableColumns count="9">
    <tableColumn id="1" xr3:uid="{87D3B033-452C-4EAA-8C49-35E3405C2143}" name="Cost item" dataDxfId="297" dataCellStyle="Table cell"/>
    <tableColumn id="2" xr3:uid="{88359BC3-F007-4EE1-9B81-A4C460102BB2}" name="Fixed/Variable" dataDxfId="296" dataCellStyle="Table cell"/>
    <tableColumn id="3" xr3:uid="{6626E15A-F702-4BE7-A73A-E6EA86DA6540}" name="Unit" dataDxfId="295" dataCellStyle="Table cell"/>
    <tableColumn id="9" xr3:uid="{375ED3D3-A6C3-4331-B4C7-7DB2F31B8B1F}" name="Customer type" dataDxfId="294" dataCellStyle="Table cell"/>
    <tableColumn id="4" xr3:uid="{36245F65-6230-4EA2-BF7F-0CC113135C97}" name="Ausnet" dataDxfId="293" dataCellStyle="Calculation">
      <calculatedColumnFormula array="1">IFERROR(
(IFERROR(INDEX(Calc_CPI_2[[CPI uplift factor]:[CPI uplift factor]],MATCH($C488,Calc_CPI_2[[Cost item]:[Cost item]],0),1),0)+
INDEX(Input_ForRateCalc[[F-CurrentVDO_InputDate]:[F-NextVDO_Input]],MATCH(Calc_FiT_2[[#This Row],[Cost item]:[Cost item]],Input_ForRateCalc[[Cost item]:[Cost item]],0),MATCH($D$249,Inputs!$H$8:$Q$8,0))),"-")</calculatedColumnFormula>
    </tableColumn>
    <tableColumn id="5" xr3:uid="{CA2D09F7-DE00-4523-8ABA-06C29613DAF0}" name="Citipower" dataDxfId="292" dataCellStyle="Calculation">
      <calculatedColumnFormula array="1">IFERROR(
(IFERROR(INDEX(Calc_CPI_2[[CPI uplift factor]:[CPI uplift factor]],MATCH($C488,Calc_CPI_2[[Cost item]:[Cost item]],0),1),0)+
INDEX(Input_ForRateCalc[[F-CurrentVDO_InputDate]:[F-NextVDO_Input]],MATCH(Calc_FiT_2[[#This Row],[Cost item]:[Cost item]],Input_ForRateCalc[[Cost item]:[Cost item]],0),MATCH($D$249,Inputs!$H$8:$Q$8,0))),"-")</calculatedColumnFormula>
    </tableColumn>
    <tableColumn id="6" xr3:uid="{2815AC9D-D500-4E33-A24F-57B0B3A74BA5}" name="Jemena" dataDxfId="291" dataCellStyle="Calculation">
      <calculatedColumnFormula array="1">IFERROR(
(IFERROR(INDEX(Calc_CPI_2[[CPI uplift factor]:[CPI uplift factor]],MATCH($C488,Calc_CPI_2[[Cost item]:[Cost item]],0),1),0)+
INDEX(Input_ForRateCalc[[F-CurrentVDO_InputDate]:[F-NextVDO_Input]],MATCH(Calc_FiT_2[[#This Row],[Cost item]:[Cost item]],Input_ForRateCalc[[Cost item]:[Cost item]],0),MATCH($D$249,Inputs!$H$8:$Q$8,0))),"-")</calculatedColumnFormula>
    </tableColumn>
    <tableColumn id="7" xr3:uid="{F06523DB-0763-4ABE-944B-6D5B8C4BAA9D}" name="Powercor" dataDxfId="290" dataCellStyle="Calculation">
      <calculatedColumnFormula array="1">IFERROR(
(IFERROR(INDEX(Calc_CPI_2[[CPI uplift factor]:[CPI uplift factor]],MATCH($C488,Calc_CPI_2[[Cost item]:[Cost item]],0),1),0)+
INDEX(Input_ForRateCalc[[F-CurrentVDO_InputDate]:[F-NextVDO_Input]],MATCH(Calc_FiT_2[[#This Row],[Cost item]:[Cost item]],Input_ForRateCalc[[Cost item]:[Cost item]],0),MATCH($D$249,Inputs!$H$8:$Q$8,0))),"-")</calculatedColumnFormula>
    </tableColumn>
    <tableColumn id="8" xr3:uid="{FE932EEE-12EB-40EF-9237-94951095FD12}" name="United Energy" dataDxfId="289" dataCellStyle="Calculation">
      <calculatedColumnFormula array="1">IFERROR(
(IFERROR(INDEX(Calc_CPI_2[[CPI uplift factor]:[CPI uplift factor]],MATCH($C488,Calc_CPI_2[[Cost item]:[Cost item]],0),1),0)+
INDEX(Input_ForRateCalc[[F-CurrentVDO_InputDate]:[F-NextVDO_Input]],MATCH(Calc_FiT_2[[#This Row],[Cost item]:[Cost item]],Input_ForRateCalc[[Cost item]:[Cost item]],0),MATCH($D$249,Inputs!$H$8:$Q$8,0))),"-")</calculatedColumnFormula>
    </tableColumn>
  </tableColumns>
  <tableStyleInfo name="Default tab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CD68F95-F088-46C9-93E7-6B5656B787E5}" name="Calc_Fixed_2" displayName="Calc_Fixed_2" ref="C253:K257" totalsRowShown="0" headerRowDxfId="288" dataDxfId="286" headerRowBorderDxfId="287" tableBorderDxfId="285" totalsRowBorderDxfId="284" headerRowCellStyle="Table col heading" dataCellStyle="Calculation">
  <tableColumns count="9">
    <tableColumn id="1" xr3:uid="{6D433DCD-FDD1-461C-BE51-5F64B0028857}" name="Fixed costs" dataCellStyle="Table cell"/>
    <tableColumn id="2" xr3:uid="{ADD02781-6CE5-4079-841C-11C03E2E9665}" name="Fixed/Variable" dataCellStyle="Table cell"/>
    <tableColumn id="3" xr3:uid="{1A92D67E-B492-4C85-8E9E-B5B091B406F6}" name="Unit" dataCellStyle="Table cell"/>
    <tableColumn id="4" xr3:uid="{472EC734-2FCF-49D5-9742-7BF822185EDF}" name="Customer type" dataCellStyle="Table cell"/>
    <tableColumn id="5" xr3:uid="{D7EEA12E-6348-4F58-8BC0-7924D6482FE3}" name="Ausnet" dataDxfId="283" dataCellStyle="Calculation"/>
    <tableColumn id="6" xr3:uid="{6CBEE716-3155-4B4C-AF50-A4352518DBD3}" name="Citipower" dataDxfId="282" dataCellStyle="Calculation"/>
    <tableColumn id="7" xr3:uid="{F520C065-E9F5-4EDB-8DA0-EBF051D23BA5}" name="Jemena" dataDxfId="281" dataCellStyle="Calculation"/>
    <tableColumn id="8" xr3:uid="{D9BCCDE5-85BC-4D9C-9B03-D4A1BA943D08}" name="Powercor" dataDxfId="280" dataCellStyle="Calculation"/>
    <tableColumn id="9" xr3:uid="{7F674C9A-9F59-4BC3-B55A-1EF91EB24F45}" name="United Energy" dataDxfId="279" dataCellStyle="Calculation"/>
  </tableColumns>
  <tableStyleInfo name="Default tab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7C4114-DAEF-40E2-A897-DCCBA31E9DF7}" name="Calc_Variable_2" displayName="Calc_Variable_2" ref="C294:K300" totalsRowShown="0" headerRowDxfId="278" dataDxfId="276" headerRowBorderDxfId="277" tableBorderDxfId="275" totalsRowBorderDxfId="274" headerRowCellStyle="Table col heading" dataCellStyle="Calculation">
  <tableColumns count="9">
    <tableColumn id="1" xr3:uid="{E9428663-265E-4639-87C7-9F3BDBC5CB8E}" name="Variable costs" dataCellStyle="Table cell"/>
    <tableColumn id="2" xr3:uid="{4887F817-6E0C-4AC4-8D7F-575231CC1492}" name="Fixed/Variable" dataCellStyle="Table cell"/>
    <tableColumn id="3" xr3:uid="{A9B72F22-10DA-429E-8D83-86BB113D7F7D}" name="Unit" dataCellStyle="Table cell"/>
    <tableColumn id="4" xr3:uid="{25484AC1-7C71-4B3F-B0B2-22999836C216}" name="Customer type" dataCellStyle="Table cell"/>
    <tableColumn id="5" xr3:uid="{A6B6DA7D-C141-458D-B657-090C44FFD74B}" name="Ausnet" dataDxfId="273" dataCellStyle="Calculation">
      <calculatedColumnFormula>SUMIFS(Calc_NetworkV_1[Ausnet],Calc_NetworkV_1[[Cost item]:[Cost item]],$C295,Calc_NetworkV_1[[Customer type]:[Customer type]],$F295)</calculatedColumnFormula>
    </tableColumn>
    <tableColumn id="6" xr3:uid="{847207F5-00A7-4B3E-AEB3-B65DA23D2D91}" name="Citipower" dataDxfId="272" dataCellStyle="Calculation">
      <calculatedColumnFormula>SUMIFS(Calc_NetworkV_1[Citipower],Calc_NetworkV_1[[Cost item]:[Cost item]],$C295,Calc_NetworkV_1[[Customer type]:[Customer type]],$F295)</calculatedColumnFormula>
    </tableColumn>
    <tableColumn id="7" xr3:uid="{0C1FD2BC-AE5F-4E00-AC3A-28398FA94E09}" name="Jemena" dataDxfId="271" dataCellStyle="Calculation">
      <calculatedColumnFormula>SUMIFS(Calc_NetworkV_1[Jemena],Calc_NetworkV_1[[Cost item]:[Cost item]],$C295,Calc_NetworkV_1[[Customer type]:[Customer type]],$F295)</calculatedColumnFormula>
    </tableColumn>
    <tableColumn id="8" xr3:uid="{E174452F-B3A9-4A57-BB2E-7C173F27A50E}" name="Powercor" dataDxfId="270" dataCellStyle="Calculation">
      <calculatedColumnFormula>SUMIFS(Calc_NetworkV_1[Powercor],Calc_NetworkV_1[[Cost item]:[Cost item]],$C295,Calc_NetworkV_1[[Customer type]:[Customer type]],$F295)</calculatedColumnFormula>
    </tableColumn>
    <tableColumn id="9" xr3:uid="{141CD577-64AA-4FBA-A116-0412EB02F72E}" name="United Energy" dataDxfId="269" dataCellStyle="Calculation">
      <calculatedColumnFormula>SUMIFS(Calc_NetworkV_1[United Energy],Calc_NetworkV_1[[Cost item]:[Cost item]],$C295,Calc_NetworkV_1[[Customer type]:[Customer type]],$F295)</calculatedColumnFormula>
    </tableColumn>
  </tableColumns>
  <tableStyleInfo name="Default tab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D4BA07-FFEF-46D7-8C6B-485F53BD797C}" name="Calc_TUV_Env_1" displayName="Calc_TUV_Env_1" ref="C15:O57" totalsRowShown="0" headerRowDxfId="268" headerRowBorderDxfId="267" tableBorderDxfId="266" headerRowCellStyle="Table col heading" dataCellStyle="Table cell">
  <tableColumns count="13">
    <tableColumn id="1" xr3:uid="{9A3E1522-EF60-458C-A033-8259CC991250}" name="Cost item" dataCellStyle="Table cell"/>
    <tableColumn id="3" xr3:uid="{AA6A5485-9931-42FB-A21B-7887DFCCA014}" name="VDO decision" dataCellStyle="Table cell"/>
    <tableColumn id="11" xr3:uid="{63469E02-A8E6-4904-A4D1-AA605090A9A1}" name="Decision/Actual" dataCellStyle="Table cell"/>
    <tableColumn id="13" xr3:uid="{6A4C01CA-5362-400A-B621-C790E4ECD057}" name="Decision ref" dataCellStyle="Table cell"/>
    <tableColumn id="4" xr3:uid="{8ABEC6A4-07CC-490E-98FE-DD358CAF5DEF}" name="Pass through (Yes/No)" dataCellStyle="Table cell"/>
    <tableColumn id="12" xr3:uid="{9AA432CC-A2AE-4FBD-93D9-8298E3AA8C5C}" name="Fixed/Variable" dataCellStyle="Table cell"/>
    <tableColumn id="2" xr3:uid="{83818C8B-F883-42B7-993F-A248AF1DD74B}" name="Unit" dataCellStyle="Table cell"/>
    <tableColumn id="5" xr3:uid="{768912C1-1664-4D27-8D20-D52821CA2B28}" name="Customer type" dataCellStyle="Table cell"/>
    <tableColumn id="6" xr3:uid="{04DDD5E9-508C-40C4-947C-1D357D975B8B}" name="Ausnet" dataDxfId="265" dataCellStyle="Table cell"/>
    <tableColumn id="7" xr3:uid="{CD0C679D-D835-4294-85E9-654B7B6E8BE3}" name="Citipower" dataDxfId="264" dataCellStyle="Table cell"/>
    <tableColumn id="8" xr3:uid="{02ABE665-7668-45F8-AD39-37CF4EF95002}" name="Jemena" dataDxfId="263" dataCellStyle="Table cell"/>
    <tableColumn id="9" xr3:uid="{79A5E329-7BA6-4A9F-8AC8-3B57AFA0DAD3}" name="Powercor" dataDxfId="262" dataCellStyle="Table cell"/>
    <tableColumn id="10" xr3:uid="{1C09CFC8-36A6-407C-B07B-AAF64193F92A}" name="United Energy" dataDxfId="261" dataCellStyle="Table cell"/>
  </tableColumns>
  <tableStyleInfo name="Default tab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BD8368D-D2AA-4ABB-80C1-FE62922A7BBF}" name="Calc_TUV_Env_2" displayName="Calc_TUV_Env_2" ref="C245:O287" totalsRowShown="0" headerRowDxfId="260" headerRowBorderDxfId="259" tableBorderDxfId="258" headerRowCellStyle="Table col heading" dataCellStyle="Table cell">
  <tableColumns count="13">
    <tableColumn id="1" xr3:uid="{DEAB59F0-3313-48E1-848D-A0C5FC8C4A7D}" name="Cost item" dataCellStyle="Table cell"/>
    <tableColumn id="11" xr3:uid="{07468E5A-1C05-4869-8028-31B5FD6FE643}" name="VDO decision" dataCellStyle="Table cell"/>
    <tableColumn id="12" xr3:uid="{E0CA252D-08A0-47E0-AE7D-A94CDBF23AEB}" name="Decision/Actual" dataCellStyle="Table cell"/>
    <tableColumn id="13" xr3:uid="{8E626171-48B0-4F76-8FBA-CD121EEF8146}" name="Decision ref" dataCellStyle="Table cell"/>
    <tableColumn id="4" xr3:uid="{90758148-81F3-46AE-977E-3B565EE1655E}" name="Pass through (Yes/No)" dataCellStyle="Table cell"/>
    <tableColumn id="3" xr3:uid="{F3E9F982-5696-4FC0-9018-6739485A8E32}" name="Fixed/Variable" dataCellStyle="Table cell"/>
    <tableColumn id="2" xr3:uid="{E2711737-C5E5-4DFE-B4D7-6C39AB9F3BBA}" name="Unit" dataCellStyle="Table cell"/>
    <tableColumn id="5" xr3:uid="{F1CEFF4A-CFB0-4FB8-B8F7-00ACC7559123}" name="Customer type" dataCellStyle="Table cell"/>
    <tableColumn id="6" xr3:uid="{19C836A4-81F0-4E02-8F62-124FF79FB078}" name="Ausnet" dataDxfId="257" dataCellStyle="Table cell"/>
    <tableColumn id="7" xr3:uid="{AEE24C25-A8BC-420E-B521-18899E5AA37E}" name="Citipower" dataDxfId="256" dataCellStyle="Table cell"/>
    <tableColumn id="8" xr3:uid="{AEB8CFC9-76A8-427E-A724-08B3A335C7AF}" name="Jemena" dataDxfId="255" dataCellStyle="Table cell"/>
    <tableColumn id="9" xr3:uid="{96BC78E1-488C-466C-AC22-9843F217394B}" name="Powercor" dataDxfId="254" dataCellStyle="Table cell"/>
    <tableColumn id="10" xr3:uid="{745E68ED-8623-427C-AE81-7FDF8DAA9F5A}" name="United Energy" dataDxfId="253" dataCellStyle="Table cell"/>
  </tableColumns>
  <tableStyleInfo name="Default tab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6B3887C2-F913-4ADF-BCE5-B4DB6FECDE42}" name="Calc_TUV_Net_1" displayName="Calc_TUV_Net_1" ref="C103:O230" totalsRowShown="0" headerRowDxfId="252" headerRowBorderDxfId="251" tableBorderDxfId="250" headerRowCellStyle="Table col heading" dataCellStyle="Table cell">
  <tableColumns count="13">
    <tableColumn id="1" xr3:uid="{C8BD7E1E-1DD8-46D7-A978-1371F62E5C22}" name="Cost item" dataCellStyle="Table cell"/>
    <tableColumn id="3" xr3:uid="{BB851345-3385-4E9C-BBF0-1BB75D6986E3}" name="VDO decision" dataCellStyle="Table cell"/>
    <tableColumn id="11" xr3:uid="{2B5E42B7-64E5-4CF9-903A-7E0F07472F89}" name="Decision/Actual" dataDxfId="249" dataCellStyle="Table cell"/>
    <tableColumn id="13" xr3:uid="{97AFA7C6-4729-480D-A539-A29F6733B180}" name="Decision ref" dataDxfId="248" dataCellStyle="Table cell"/>
    <tableColumn id="4" xr3:uid="{6C80B2D3-AB24-44F7-9DCD-E09360E88A84}" name="Pass through (Yes/No)" dataCellStyle="Table cell"/>
    <tableColumn id="12" xr3:uid="{FAF72939-7F43-4CA3-84B9-7001023E887A}" name="Fixed/Variable" dataCellStyle="Table cell"/>
    <tableColumn id="2" xr3:uid="{2B3E2C74-E92B-4B9B-BB93-24F7CEA69A4D}" name="Unit" dataCellStyle="Table cell"/>
    <tableColumn id="5" xr3:uid="{4C99CA6A-B8ED-4428-9001-5AF3B5520E55}" name="Customer type" dataCellStyle="Table cell"/>
    <tableColumn id="6" xr3:uid="{CF828979-524A-4DF9-B9B9-A6566CC50F44}" name="Ausnet" dataDxfId="247" dataCellStyle="Table cell">
      <calculatedColumnFormula>INDEX(Input_ForRateCalc[],MATCH($C104&amp;" - "&amp;K$103,Input_ForRateCalc[Cost item],0),MATCH(#REF!,Inputs!$C$8:$Q$8,0))</calculatedColumnFormula>
    </tableColumn>
    <tableColumn id="7" xr3:uid="{E72609C9-3164-4E3F-A82E-30ED89F2C915}" name="Citipower" dataDxfId="246" dataCellStyle="Table cell"/>
    <tableColumn id="8" xr3:uid="{ACFA6199-47C9-4850-BA0D-492483CB2DEB}" name="Jemena" dataDxfId="245" dataCellStyle="Table cell"/>
    <tableColumn id="9" xr3:uid="{0CCEDAC3-4F03-43F7-BBA9-1A2EBDE5BE72}" name="Powercor" dataDxfId="244" dataCellStyle="Table cell"/>
    <tableColumn id="10" xr3:uid="{AAB1F354-BEAF-414F-BA5C-28182E45CA95}" name="United Energy" dataDxfId="243" dataCellStyle="Table cell"/>
  </tableColumns>
  <tableStyleInfo name="Default tab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F98EC66F-AA68-4EDB-80C0-49E40603808F}" name="Calc_TUV_Net_2" displayName="Calc_TUV_Net_2" ref="C333:O460" totalsRowShown="0" headerRowDxfId="242" headerRowBorderDxfId="241" tableBorderDxfId="240" headerRowCellStyle="Table col heading" dataCellStyle="Table cell">
  <tableColumns count="13">
    <tableColumn id="1" xr3:uid="{802AF59F-8604-4B66-B903-49ADFE4E3CCF}" name="Cost item" dataCellStyle="Table cell"/>
    <tableColumn id="3" xr3:uid="{8EB27DDD-18AE-433F-A5B3-E76F9D20AD45}" name="VDO decision" dataCellStyle="Table cell"/>
    <tableColumn id="11" xr3:uid="{054988D7-4073-41D7-B3ED-090DF14BF35A}" name="Decision/Actual" dataDxfId="239" dataCellStyle="Table cell"/>
    <tableColumn id="13" xr3:uid="{BA0352E2-EB7C-493C-8993-65E9EE06C836}" name="Decision ref" dataDxfId="238" dataCellStyle="Table cell"/>
    <tableColumn id="4" xr3:uid="{B8CE70A9-6CC9-4624-8AEC-7C8BCC92192C}" name="Pass through (Yes/No)" dataCellStyle="Table cell"/>
    <tableColumn id="12" xr3:uid="{FEDE33B8-16DB-4276-A069-90785447428F}" name="Fixed/Variable" dataCellStyle="Table cell"/>
    <tableColumn id="2" xr3:uid="{ACF285C0-BF63-4F73-AB4F-234265ED90CC}" name="Unit" dataCellStyle="Table cell"/>
    <tableColumn id="5" xr3:uid="{ADAC2617-D3E7-4BB8-A4F4-61EC5A4F109C}" name="Customer type" dataCellStyle="Table cell"/>
    <tableColumn id="6" xr3:uid="{DA662F0E-03DC-4EB7-A888-9EACD0EA6005}" name="Ausnet" dataDxfId="237" dataCellStyle="Table cell">
      <calculatedColumnFormula>INDEX(Input_ForRateCalc[],MATCH($C334&amp;" - "&amp;K$103,Input_ForRateCalc[Cost item],0),MATCH(#REF!,Inputs!$C$8:$Q$8,0))</calculatedColumnFormula>
    </tableColumn>
    <tableColumn id="7" xr3:uid="{7DB7A116-3678-474F-83C5-D1168C6C71C3}" name="Citipower" dataDxfId="236" dataCellStyle="Table cell"/>
    <tableColumn id="8" xr3:uid="{B5696C6B-ABCE-4541-B404-66A016EC8947}" name="Jemena" dataDxfId="235" dataCellStyle="Table cell"/>
    <tableColumn id="9" xr3:uid="{D039B53D-61BC-47A9-9CFB-2D46DD3B9A03}" name="Powercor" dataDxfId="234" dataCellStyle="Table cell"/>
    <tableColumn id="10" xr3:uid="{EF8C0228-0A1F-40C9-B385-AB92F6CA0C3C}" name="United Energy" dataDxfId="233" dataCellStyle="Table cell"/>
  </tableColumns>
  <tableStyleInfo name="Default tab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2D055C5D-D1CA-45B7-8D3A-DEFFFED99BA7}" name="TUNet_Usage_Actual_2" displayName="TUNet_Usage_Actual_2" ref="C315:F321" totalsRowShown="0" headerRowDxfId="232" headerRowBorderDxfId="231" tableBorderDxfId="230" totalsRowBorderDxfId="229" headerRowCellStyle="Table col heading">
  <tableColumns count="4">
    <tableColumn id="1" xr3:uid="{28874C8A-C156-40BF-A055-DDB875FFA0D4}" name="Description"/>
    <tableColumn id="4" xr3:uid="{1B4BDA76-AE03-4FF7-9CFC-38F17C7DF6E4}" name="VDO decision"/>
    <tableColumn id="2" xr3:uid="{17A7A0D3-28A8-4CE6-936E-F72D83CD961B}" name="Customer type" dataDxfId="228" dataCellStyle="Table cell"/>
    <tableColumn id="3" xr3:uid="{7E3A8B2D-4674-4822-AF6C-48930867276F}" name="Value" dataDxfId="227" dataCellStyle="Table cell"/>
  </tableColumns>
  <tableStyleInfo name="Default tab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5D4EB641-0DAC-4188-BFB1-262EBF68F214}" name="TUNet_Usage_Actual_1" displayName="TUNet_Usage_Actual_1" ref="C85:F91" totalsRowShown="0" headerRowDxfId="226" headerRowBorderDxfId="225" tableBorderDxfId="224" totalsRowBorderDxfId="223" headerRowCellStyle="Table col heading">
  <tableColumns count="4">
    <tableColumn id="1" xr3:uid="{DF878388-1FA3-415B-AEDD-161C1919B838}" name="Description"/>
    <tableColumn id="4" xr3:uid="{84EADD7B-F51E-412C-8E94-AC0CBC19B57F}" name="VDO decision" dataDxfId="222" dataCellStyle="Auto-populated">
      <calculatedColumnFormula>INDEX(Inputs!$H$10:$Q$10,1,MATCH($D$5,Inputs!$H$8:$Q$8,0))</calculatedColumnFormula>
    </tableColumn>
    <tableColumn id="2" xr3:uid="{425C28FB-44A3-4B7F-9A78-0A22116B43DA}" name="Customer type" dataDxfId="221" dataCellStyle="Table cell"/>
    <tableColumn id="3" xr3:uid="{E37F2044-12A9-4467-A63A-24B0657C5167}" name="Value" dataDxfId="220" dataCellStyle="Table cell"/>
  </tableColumns>
  <tableStyleInfo name="Default tabl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F45BCF77-CD47-4788-AE60-2582F6BED31B}" name="TUNet_Usage_PerRate_2" displayName="TUNet_Usage_PerRate_2" ref="C324:J330" totalsRowShown="0" headerRowDxfId="219" dataDxfId="217" headerRowBorderDxfId="218" tableBorderDxfId="216" headerRowCellStyle="Table col heading" dataCellStyle="Table cell">
  <tableColumns count="8">
    <tableColumn id="1" xr3:uid="{E8C7C3E9-1B26-46E0-A663-1DE39AE4D2C0}" name="Description" dataDxfId="215" dataCellStyle="Table cell"/>
    <tableColumn id="2" xr3:uid="{DF74788D-B1C9-4A01-B1A6-5EAF60A5F171}" name="VDO decision" dataDxfId="214" dataCellStyle="Auto-populated">
      <calculatedColumnFormula>INDEX(Inputs!$H$10:$Q$10,1,MATCH($D$235,Inputs!$H$8:$Q$8,0))</calculatedColumnFormula>
    </tableColumn>
    <tableColumn id="3" xr3:uid="{83EEC5EB-CF34-4F33-8180-0BEEF7880743}" name="Customer type" dataDxfId="213" dataCellStyle="Table cell"/>
    <tableColumn id="4" xr3:uid="{C1263D2C-8A88-4BC9-BAA1-B9848AFA365B}" name="Ausnet" dataDxfId="212" dataCellStyle="Table cell"/>
    <tableColumn id="5" xr3:uid="{3CF3B8DA-29D3-4ECD-9F95-B43381124E67}" name="Citipower" dataDxfId="211" dataCellStyle="Table cell"/>
    <tableColumn id="6" xr3:uid="{8443C700-E09C-4871-8A19-F1CF5F7F18C5}" name="Jemena" dataDxfId="210" dataCellStyle="Table cell"/>
    <tableColumn id="7" xr3:uid="{C0C7F693-766A-44F0-9355-01AF25816965}" name="Powercor" dataDxfId="209" dataCellStyle="Table cell"/>
    <tableColumn id="8" xr3:uid="{164E8A61-7E00-4646-A499-3A3CF12C6416}" name="United Energy" dataDxfId="208" dataCellStyle="Table cell"/>
  </tableColumns>
  <tableStyleInfo name="Default tabl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290D667-A4D7-4671-9874-2284EC2678F4}" name="TUNet_Usage_PerRate_1" displayName="TUNet_Usage_PerRate_1" ref="C94:J100" totalsRowShown="0" headerRowDxfId="207" dataDxfId="205" headerRowBorderDxfId="206" tableBorderDxfId="204" headerRowCellStyle="Table col heading" dataCellStyle="Table cell">
  <tableColumns count="8">
    <tableColumn id="1" xr3:uid="{6A8EE9E9-FD7F-4BAE-9667-4BEE14FBF643}" name="Description" dataDxfId="203" dataCellStyle="Table cell"/>
    <tableColumn id="2" xr3:uid="{71F24345-BDE3-4B02-B60B-052DAE341DAA}" name="VDO decision" dataDxfId="202" dataCellStyle="Auto-populated">
      <calculatedColumnFormula>INDEX(Inputs!$H$10:$Q$10,1,MATCH($D$5,Inputs!$H$8:$Q$8,0))</calculatedColumnFormula>
    </tableColumn>
    <tableColumn id="3" xr3:uid="{2DE31F73-71D0-4149-8C55-8C6CB0899630}" name="Customer type" dataDxfId="201" dataCellStyle="Table cell"/>
    <tableColumn id="4" xr3:uid="{559B296F-1ED7-477A-9A22-F41F2956040E}" name="Ausnet" dataDxfId="200" dataCellStyle="Table cell"/>
    <tableColumn id="5" xr3:uid="{9E6DF55C-DF9C-470F-87BB-1DE64F2879D3}" name="Citipower" dataDxfId="199" dataCellStyle="Table cell"/>
    <tableColumn id="6" xr3:uid="{DEB90EB0-CBB8-48EC-ACA0-948C53D65573}" name="Jemena" dataDxfId="198" dataCellStyle="Table cell"/>
    <tableColumn id="7" xr3:uid="{BCB28824-5A3E-47B5-B8F4-1BDD7B8F06D3}" name="Powercor" dataDxfId="197" dataCellStyle="Table cell"/>
    <tableColumn id="8" xr3:uid="{08441778-95AA-43DA-B706-B90571C5C6CA}" name="United Energy" dataDxfId="196" dataCellStyle="Table cell"/>
  </tableColumns>
  <tableStyleInfo name="Default tabl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4D2CFF59-1E5D-4A47-96A5-64C9EA3C528A}" name="Calc_TUV_NetGroup_1" displayName="Calc_TUV_NetGroup_1" ref="C10:L19" totalsRowShown="0" headerRowDxfId="195" headerRowBorderDxfId="194" tableBorderDxfId="193" totalsRowBorderDxfId="192" headerRowCellStyle="Table col heading" dataCellStyle="Table cell">
  <tableColumns count="10">
    <tableColumn id="1" xr3:uid="{8EF54E5A-D91D-4298-89FD-EFC67CFE0DD4}" name="Cost item" dataCellStyle="Table cell"/>
    <tableColumn id="2" xr3:uid="{84190791-6BFC-4A79-B93B-C4866579D043}" name="Fixed/Variable" dataCellStyle="Table cell"/>
    <tableColumn id="3" xr3:uid="{769CC324-A856-4800-B91F-1A2F23BCF882}" name="Unit" dataDxfId="191" dataCellStyle="Table cell"/>
    <tableColumn id="4" xr3:uid="{0869432B-AD12-48DC-AA94-60F2AF283928}" name="Customer type" dataCellStyle="Table cell"/>
    <tableColumn id="10" xr3:uid="{2D9A4D99-6B97-45E1-BFC0-B4B5F1A63637}" name="Cost element" dataCellStyle="Table cell"/>
    <tableColumn id="5" xr3:uid="{633ADCA7-E47D-4FBF-B95A-08C92B09A782}" name="Ausnet" dataCellStyle="Table cell">
      <calculatedColumnFormula array="1">IFERROR(SUMIFS(INDEX(Calc_TUV_Net_1[[Ausnet]:[United Energy]],0,MATCH(Calc_TUV_NetGroup_1[[#Headers],[Ausnet]],Calc_TUV_Net_1[[#Headers],[Ausnet]:[United Energy]],0)),
Calc_TUV_Net_1[Cost item],Calc_TUV_NetGroup_1[[#This Row],[Cost item]]&amp;" cost true up",
Calc_TUV_Net_1[Customer type],Calc_TUV_NetGroup_1[[#This Row],[Customer type]]),"-")</calculatedColumnFormula>
    </tableColumn>
    <tableColumn id="6" xr3:uid="{F041680C-4CA3-4784-93F1-6F2393CEA3D1}" name="Citipower" dataCellStyle="Table cell">
      <calculatedColumnFormula array="1">IFERROR(SUMIFS(INDEX(Calc_TUV_Net_1[[Ausnet]:[United Energy]],0,MATCH(Calc_TUV_NetGroup_1[[#Headers],[Citipower]],Calc_TUV_Net_1[[#Headers],[Ausnet]:[United Energy]],0)),
Calc_TUV_Net_1[Cost item],Calc_TUV_NetGroup_1[[#This Row],[Cost item]]&amp;" cost true up",
Calc_TUV_Net_1[Customer type],Calc_TUV_NetGroup_1[[#This Row],[Customer type]]),"-")</calculatedColumnFormula>
    </tableColumn>
    <tableColumn id="7" xr3:uid="{EAEA72E6-8228-47AC-A1B7-9E9AD032E3C2}" name="Jemena" dataCellStyle="Table cell">
      <calculatedColumnFormula array="1">IFERROR(SUMIFS(INDEX(Calc_TUV_Net_1[[Ausnet]:[United Energy]],0,MATCH(Calc_TUV_NetGroup_1[[#Headers],[Jemena]],Calc_TUV_Net_1[[#Headers],[Ausnet]:[United Energy]],0)),
Calc_TUV_Net_1[Cost item],Calc_TUV_NetGroup_1[[#This Row],[Cost item]]&amp;" cost true up",
Calc_TUV_Net_1[Customer type],Calc_TUV_NetGroup_1[[#This Row],[Customer type]]),"-")</calculatedColumnFormula>
    </tableColumn>
    <tableColumn id="8" xr3:uid="{4375E2F2-823F-43AA-9CF8-D2D45DCDED3C}" name="Powercor" dataCellStyle="Table cell">
      <calculatedColumnFormula array="1">IFERROR(SUMIFS(INDEX(Calc_TUV_Net_1[[Ausnet]:[United Energy]],0,MATCH(Calc_TUV_NetGroup_1[[#Headers],[Powercor]],Calc_TUV_Net_1[[#Headers],[Ausnet]:[United Energy]],0)),
Calc_TUV_Net_1[Cost item],Calc_TUV_NetGroup_1[[#This Row],[Cost item]]&amp;" cost true up",
Calc_TUV_Net_1[Customer type],Calc_TUV_NetGroup_1[[#This Row],[Customer type]]),"-")</calculatedColumnFormula>
    </tableColumn>
    <tableColumn id="9" xr3:uid="{CEE57B37-3775-45C1-98C7-DD7F7D8E2BA0}" name="United Energy" dataDxfId="190" dataCellStyle="Internal link/lookup">
      <calculatedColumnFormula array="1">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calculatedColumnFormula>
    </tableColumn>
  </tableColumns>
  <tableStyleInfo name="Default tabl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A1D5CE5C-A7FD-4197-8202-4CC5CB5898FF}" name="Calc_TUR_Net_1" displayName="Calc_TUR_Net_1" ref="C27:L32" totalsRowShown="0" headerRowDxfId="189" headerRowBorderDxfId="188" tableBorderDxfId="187" totalsRowBorderDxfId="186" headerRowCellStyle="Table col heading" dataCellStyle="Table cell">
  <tableColumns count="10">
    <tableColumn id="1" xr3:uid="{96F69DDD-7037-4C9B-A249-9FA4BE31F052}" name="Rate type" dataCellStyle="Table cell"/>
    <tableColumn id="2" xr3:uid="{51C955C3-5452-4093-B916-4551E0C3E040}" name="Fixed/Variable" dataCellStyle="Table cell"/>
    <tableColumn id="3" xr3:uid="{E1277D1F-56B0-47A1-9F4F-B169635AF99E}" name="Unit" dataDxfId="185" dataCellStyle="Table cell"/>
    <tableColumn id="4" xr3:uid="{3E7740D7-E476-4509-87CD-7D23F9E3747F}" name="Customer type" dataCellStyle="Table cell"/>
    <tableColumn id="10" xr3:uid="{15876CB1-BDA5-40C1-AC3B-33A0F20AAC93}" name="Cost element" dataCellStyle="Table cell"/>
    <tableColumn id="5" xr3:uid="{7F803B0D-7C22-4C4A-9B48-AA4986ED7D5F}" name="Ausnet" dataDxfId="184" dataCellStyle="Table cell">
      <calculatedColumnFormula array="1">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6" xr3:uid="{AA7550F8-9E8A-49A7-9D44-4F718B588574}" name="Citipower" dataCellStyle="Table cell">
      <calculatedColumnFormula array="1">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7" xr3:uid="{39C8AE9E-CD64-486E-A690-2982460B8CBA}" name="Jemena" dataCellStyle="Table cell">
      <calculatedColumnFormula array="1">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8" xr3:uid="{F9ECED3E-FBA7-4474-85E3-046AD064484D}" name="Powercor" dataCellStyle="Table cell">
      <calculatedColumnFormula array="1">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9" xr3:uid="{3F3EEF4C-7BBA-4E7C-BF35-6557F7A4646C}" name="United Energy" dataCellStyle="Table cell">
      <calculatedColumnFormula array="1">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s>
  <tableStyleInfo name="Default tabl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FF52C258-3781-49C1-93FF-ED4580772ABC}" name="Calc_TUV_NetGroup_2" displayName="Calc_TUV_NetGroup_2" ref="C128:L137" totalsRowShown="0" headerRowDxfId="183" headerRowBorderDxfId="182" tableBorderDxfId="181" totalsRowBorderDxfId="180" headerRowCellStyle="Table col heading" dataCellStyle="Table cell">
  <tableColumns count="10">
    <tableColumn id="1" xr3:uid="{96D57AE1-EAFB-4AE0-9A16-5641BF28AB88}" name="Cost item" dataCellStyle="Table cell"/>
    <tableColumn id="2" xr3:uid="{45E5DC47-42D8-4C19-A53B-34F01C430921}" name="Fixed/Variable" dataCellStyle="Table cell"/>
    <tableColumn id="3" xr3:uid="{8A839F41-6127-4498-BB74-2A33BD70C444}" name="Unit" dataDxfId="179" dataCellStyle="Table cell"/>
    <tableColumn id="4" xr3:uid="{4AA6621C-AD01-4FA5-A52D-3B9C375567E2}" name="Customer type" dataCellStyle="Table cell"/>
    <tableColumn id="10" xr3:uid="{895BEAC1-AD7F-4A6E-97EF-2E1519C868CA}" name="Cost element" dataCellStyle="Table cell"/>
    <tableColumn id="5" xr3:uid="{74F5D4C2-2436-4C64-B88E-48412B7FA8CF}" name="Ausnet" dataDxfId="178" dataCellStyle="Internal link/lookup">
      <calculatedColumnFormula array="1">IFERROR(SUMIFS(INDEX(Calc_TUV_Net_2[[Ausnet]:[United Energy]],0,MATCH(Calc_TUV_NetGroup_2[[#Headers],[Ausnet]],Calc_TUV_Net_2[[#Headers],[Ausnet]:[United Energy]],0)),
Calc_TUV_Net_2[Cost item],Calc_TUV_NetGroup_2[[#This Row],[Cost item]]&amp;" cost true up",
Calc_TUV_Net_2[Customer type],Calc_TUV_NetGroup_2[[#This Row],[Customer type]]),"-")</calculatedColumnFormula>
    </tableColumn>
    <tableColumn id="6" xr3:uid="{74FFEFDF-9C46-4F0B-8874-6F37BD69D5B7}" name="Citipower" dataCellStyle="Table cell">
      <calculatedColumnFormula array="1">IFERROR(SUMIFS(INDEX(Calc_TUV_Net_2[[Ausnet]:[United Energy]],0,MATCH(Calc_TUV_NetGroup_2[[#Headers],[Citipower]],Calc_TUV_Net_2[[#Headers],[Ausnet]:[United Energy]],0)),
Calc_TUV_Net_2[Cost item],Calc_TUV_NetGroup_2[[#This Row],[Cost item]]&amp;" cost true up",
Calc_TUV_Net_2[Customer type],Calc_TUV_NetGroup_2[[#This Row],[Customer type]]),"-")</calculatedColumnFormula>
    </tableColumn>
    <tableColumn id="7" xr3:uid="{0FDAD0C1-BE4E-41E2-BF53-BA901AB1B2F3}" name="Jemena" dataCellStyle="Table cell">
      <calculatedColumnFormula array="1">IFERROR(SUMIFS(INDEX(Calc_TUV_Net_2[[Ausnet]:[United Energy]],0,MATCH(Calc_TUV_NetGroup_2[[#Headers],[Jemena]],Calc_TUV_Net_2[[#Headers],[Ausnet]:[United Energy]],0)),
Calc_TUV_Net_2[Cost item],Calc_TUV_NetGroup_2[[#This Row],[Cost item]]&amp;" cost true up",
Calc_TUV_Net_2[Customer type],Calc_TUV_NetGroup_2[[#This Row],[Customer type]]),"-")</calculatedColumnFormula>
    </tableColumn>
    <tableColumn id="8" xr3:uid="{B1FD8009-9B3A-4206-977D-C65BF274EDE2}" name="Powercor" dataCellStyle="Table cell">
      <calculatedColumnFormula array="1">IFERROR(SUMIFS(INDEX(Calc_TUV_Net_2[[Ausnet]:[United Energy]],0,MATCH(Calc_TUV_NetGroup_2[[#Headers],[Powercor]],Calc_TUV_Net_2[[#Headers],[Ausnet]:[United Energy]],0)),
Calc_TUV_Net_2[Cost item],Calc_TUV_NetGroup_2[[#This Row],[Cost item]]&amp;" cost true up",
Calc_TUV_Net_2[Customer type],Calc_TUV_NetGroup_2[[#This Row],[Customer type]]),"-")</calculatedColumnFormula>
    </tableColumn>
    <tableColumn id="9" xr3:uid="{72761EAB-764C-4B07-AEDE-D8BF0E5F5B5C}" name="United Energy" dataCellStyle="Table cell">
      <calculatedColumnFormula array="1">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calculatedColumnFormula>
    </tableColumn>
  </tableColumns>
  <tableStyleInfo name="Default tabl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4DC4A019-850F-494F-98C1-0BFBD305CF6C}" name="Calc_TUR_Net_2" displayName="Calc_TUR_Net_2" ref="C145:L150" totalsRowShown="0" headerRowDxfId="177" headerRowBorderDxfId="176" tableBorderDxfId="175" totalsRowBorderDxfId="174" headerRowCellStyle="Table col heading" dataCellStyle="Table cell">
  <tableColumns count="10">
    <tableColumn id="1" xr3:uid="{508F5893-0986-4EA2-B925-B2EFB5554C3F}" name="Rate type" dataCellStyle="Table cell"/>
    <tableColumn id="2" xr3:uid="{B7A36EFE-FB09-4217-904A-912BBEC39451}" name="Fixed/Variable" dataCellStyle="Table cell"/>
    <tableColumn id="3" xr3:uid="{AA5BEA6C-3068-493A-9312-D43ED42985A2}" name="Unit" dataDxfId="173" dataCellStyle="Table cell"/>
    <tableColumn id="4" xr3:uid="{6849D791-ED42-40F6-88F6-33FD3B78900C}" name="Customer type" dataCellStyle="Table cell"/>
    <tableColumn id="10" xr3:uid="{CAFC397D-BF7C-4BA6-BEFB-0F1D12042B14}" name="Cost element" dataCellStyle="Table cell"/>
    <tableColumn id="5" xr3:uid="{1A63BAF3-86BD-4481-AB28-EA4C2604DE32}" name="Ausnet" dataDxfId="172" dataCellStyle="Table cell">
      <calculatedColumnFormula array="1">IFERROR(
IF(OR(
AND(Calc_TUR_Net_2[[#Headers],[Ausnet]]="Ausnet",Calc_TUR_Net_2[[#This Row],[Rate type]]="Single rate"),
AND(Calc_TUR_Net_2[[#Headers],[Ausnet]]&lt;&gt;"Ausnet",OR(Calc_TUR_Net_2[[#This Row],[Rate type]]="Block 1",Calc_TUR_Net_2[[#This Row],[Rate type]]="Balance"))),"-",
IF(Calc_TUR_Net_2[[#This Row],[Fixed/Variable]]="Fixed",
SUMIFS(Calc_TUV_NetGroup_2[Ausnet],
Calc_TUV_NetGroup_2[Cost item],Calc_TUR_Net_2[[#This Row],[Rate type]],
Calc_TUV_NetGroup_2[Customer type],Calc_TUR_Net_2[[#This Row],[Customer type]],
Calc_TUV_NetGroup_2[Cost element],Calc_TUR_Net_2[[#This Row],[Cost element]])/_xlfn.DAYS(TUR_EndDate,TUR_StartDate),
(SUMIFS(Calc_TUV_NetGroup_2[Ausnet],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(INDEX(Input_Usage[[F-CurrentVDO_Input]:[F-NextVDO_Input]],MATCH(Calc_TUR_Net_2[[#This Row],[Customer type]]&amp;" - medium - "&amp;Calc_TUR_Net_2[[#This Row],[Rate type]],Input_Usage[Ref],0),MATCH(Calc_TU_rates!$D$123,Inputs!$I$131:$M$131,0))*
(TU_NET_RateMths/MiY)))*INDEX(#REF!,MATCH(Calc_TUR_Net_2[[#This Row],[Rate type]],#REF!,0),MATCH(Calc_TUR_Net_2[[#This Row],[Customer type]],#REF!,0)))),"-")</calculatedColumnFormula>
    </tableColumn>
    <tableColumn id="6" xr3:uid="{AD72CD18-01CA-4969-807E-1EF3C8B94066}" name="Citipower" dataCellStyle="Table cell">
      <calculatedColumnFormula array="1">IFERROR(
IF(OR(
AND(Calc_TUR_Net_2[[#Headers],[Citipower]]="Ausnet",Calc_TUR_Net_2[[#This Row],[Rate type]]="Single rate"),
AND(Calc_TUR_Net_2[[#Headers],[Citipower]]&lt;&gt;"Ausnet",OR(Calc_TUR_Net_2[[#This Row],[Rate type]]="Block 1",Calc_TUR_Net_2[[#This Row],[Rate type]]="Balance"))),"-",
IF(Calc_TUR_Net_2[[#This Row],[Fixed/Variable]]="Fixed",
SUMIFS(Calc_TUV_NetGroup_2[Citipower],
Calc_TUV_NetGroup_2[Cost item],Calc_TUR_Net_2[[#This Row],[Rate type]],
Calc_TUV_NetGroup_2[Customer type],Calc_TUR_Net_2[[#This Row],[Customer type]],
Calc_TUV_NetGroup_2[Cost element],Calc_TUR_Net_2[[#This Row],[Cost element]])/_xlfn.DAYS(TUR_EndDate,TUR_StartDate),
(SUMIFS(Calc_TUV_NetGroup_2[Citipower],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(INDEX(Input_Usage[[F-CurrentVDO_Input]:[F-NextVDO_Input]],MATCH(Calc_TUR_Net_2[[#This Row],[Customer type]]&amp;" - medium - "&amp;Calc_TUR_Net_2[[#This Row],[Rate type]],Input_Usage[Ref],0),MATCH(Calc_TU_rates!$D$123,Inputs!$I$131:$M$131,0))*
(TU_NET_RateMths/MiY)))*INDEX(#REF!,MATCH(Calc_TUR_Net_2[[#This Row],[Rate type]],#REF!,0),MATCH(Calc_TUR_Net_2[[#This Row],[Customer type]],#REF!,0)))),"-")</calculatedColumnFormula>
    </tableColumn>
    <tableColumn id="7" xr3:uid="{BDACC691-E68C-4508-B968-4DA4567D6FDC}" name="Jemena" dataCellStyle="Table cell">
      <calculatedColumnFormula array="1">IFERROR(
IF(OR(
AND(Calc_TUR_Net_2[[#Headers],[Jemena]]="Ausnet",Calc_TUR_Net_2[[#This Row],[Rate type]]="Single rate"),
AND(Calc_TUR_Net_2[[#Headers],[Jemena]]&lt;&gt;"Ausnet",OR(Calc_TUR_Net_2[[#This Row],[Rate type]]="Block 1",Calc_TUR_Net_2[[#This Row],[Rate type]]="Balance"))),"-",
IF(Calc_TUR_Net_2[[#This Row],[Fixed/Variable]]="Fixed",
SUMIFS(Calc_TUV_NetGroup_2[Jemena],
Calc_TUV_NetGroup_2[Cost item],Calc_TUR_Net_2[[#This Row],[Rate type]],
Calc_TUV_NetGroup_2[Customer type],Calc_TUR_Net_2[[#This Row],[Customer type]],
Calc_TUV_NetGroup_2[Cost element],Calc_TUR_Net_2[[#This Row],[Cost element]])/_xlfn.DAYS(TUR_EndDate,TUR_StartDate),
(SUMIFS(Calc_TUV_NetGroup_2[Jemena],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(INDEX(Input_Usage[[F-CurrentVDO_Input]:[F-NextVDO_Input]],MATCH(Calc_TUR_Net_2[[#This Row],[Customer type]]&amp;" - medium - "&amp;Calc_TUR_Net_2[[#This Row],[Rate type]],Input_Usage[Ref],0),MATCH(Calc_TU_rates!$D$123,Inputs!$I$131:$M$131,0))*
(TU_NET_RateMths/MiY)))*INDEX(#REF!,MATCH(Calc_TUR_Net_2[[#This Row],[Rate type]],#REF!,0),MATCH(Calc_TUR_Net_2[[#This Row],[Customer type]],#REF!,0)))),"-")</calculatedColumnFormula>
    </tableColumn>
    <tableColumn id="8" xr3:uid="{DFE8DC4B-790A-4026-BDAA-688FB431C951}" name="Powercor" dataCellStyle="Table cell">
      <calculatedColumnFormula array="1">IFERROR(
IF(OR(
AND(Calc_TUR_Net_2[[#Headers],[Powercor]]="Ausnet",Calc_TUR_Net_2[[#This Row],[Rate type]]="Single rate"),
AND(Calc_TUR_Net_2[[#Headers],[Powercor]]&lt;&gt;"Ausnet",OR(Calc_TUR_Net_2[[#This Row],[Rate type]]="Block 1",Calc_TUR_Net_2[[#This Row],[Rate type]]="Balance"))),"-",
IF(Calc_TUR_Net_2[[#This Row],[Fixed/Variable]]="Fixed",
SUMIFS(Calc_TUV_NetGroup_2[Powercor],
Calc_TUV_NetGroup_2[Cost item],Calc_TUR_Net_2[[#This Row],[Rate type]],
Calc_TUV_NetGroup_2[Customer type],Calc_TUR_Net_2[[#This Row],[Customer type]],
Calc_TUV_NetGroup_2[Cost element],Calc_TUR_Net_2[[#This Row],[Cost element]])/_xlfn.DAYS(TUR_EndDate,TUR_StartDate),
(SUMIFS(Calc_TUV_NetGroup_2[Powercor],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(INDEX(Input_Usage[[F-CurrentVDO_Input]:[F-NextVDO_Input]],MATCH(Calc_TUR_Net_2[[#This Row],[Customer type]]&amp;" - medium - "&amp;Calc_TUR_Net_2[[#This Row],[Rate type]],Input_Usage[Ref],0),MATCH(Calc_TU_rates!$D$123,Inputs!$I$131:$M$131,0))*
(TU_NET_RateMths/MiY)))*INDEX(#REF!,MATCH(Calc_TUR_Net_2[[#This Row],[Rate type]],#REF!,0),MATCH(Calc_TUR_Net_2[[#This Row],[Customer type]],#REF!,0)))),"-")</calculatedColumnFormula>
    </tableColumn>
    <tableColumn id="9" xr3:uid="{116286F6-B1EA-474F-919D-97933C9FFD8E}" name="United Energy" dataCellStyle="Table cell">
      <calculatedColumnFormula array="1">IFERROR(
IF(OR(
AND(Calc_TUR_Net_2[[#Headers],[United Energy]]="Ausnet",Calc_TUR_Net_2[[#This Row],[Rate type]]="Single rate"),
AND(Calc_TUR_Net_2[[#Headers],[United Energy]]&lt;&gt;"Ausnet",OR(Calc_TUR_Net_2[[#This Row],[Rate type]]="Block 1",Calc_TUR_Net_2[[#This Row],[Rate type]]="Balance"))),"-",
IF(Calc_TUR_Net_2[[#This Row],[Fixed/Variable]]="Fixed",
SUMIFS(Calc_TUV_NetGroup_2[United Energy],
Calc_TUV_NetGroup_2[Cost item],Calc_TUR_Net_2[[#This Row],[Rate type]],
Calc_TUV_NetGroup_2[Customer type],Calc_TUR_Net_2[[#This Row],[Customer type]],
Calc_TUV_NetGroup_2[Cost element],Calc_TUR_Net_2[[#This Row],[Cost element]])/_xlfn.DAYS(TUR_EndDate,TUR_StartDate),
(SUMIFS(Calc_TUV_NetGroup_2[United Energy],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(INDEX(Input_Usage[[F-CurrentVDO_Input]:[F-NextVDO_Input]],MATCH(Calc_TUR_Net_2[[#This Row],[Customer type]]&amp;" - medium - "&amp;Calc_TUR_Net_2[[#This Row],[Rate type]],Input_Usage[Ref],0),MATCH(Calc_TU_rates!$D$123,Inputs!$I$131:$M$131,0))*
(TU_NET_RateMths/MiY)))*INDEX(#REF!,MATCH(Calc_TUR_Net_2[[#This Row],[Rate type]],#REF!,0),MATCH(Calc_TUR_Net_2[[#This Row],[Customer type]],#REF!,0)))),"-")</calculatedColumnFormula>
    </tableColumn>
  </tableColumns>
  <tableStyleInfo name="Default tabl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6098B90B-1344-4E60-B447-B890077F8628}" name="Calc_TUR_Env_1" displayName="Calc_TUR_Env_1" ref="C51:L84" totalsRowShown="0" headerRowDxfId="171" headerRowBorderDxfId="170" tableBorderDxfId="169" totalsRowBorderDxfId="168" headerRowCellStyle="Table col heading" dataCellStyle="Table cell">
  <tableColumns count="10">
    <tableColumn id="1" xr3:uid="{E332C2D4-CE8D-433A-9ADC-D8857F562942}" name="Rate type" dataCellStyle="Table cell"/>
    <tableColumn id="2" xr3:uid="{FD1AF85E-E765-4BB5-8EC8-A06734719E82}" name="True up" dataCellStyle="Table cell"/>
    <tableColumn id="3" xr3:uid="{66195402-7784-4DD6-BFD4-6D91BEEDF8B0}" name="Unit" dataDxfId="167" dataCellStyle="Table cell"/>
    <tableColumn id="4" xr3:uid="{EAE4A069-891C-411F-9742-DF18ADDA3EA8}" name="Customer type" dataCellStyle="Table cell"/>
    <tableColumn id="5" xr3:uid="{ACC8F195-ADA3-40DC-919D-25E00F5290C5}" name="Cost element" dataDxfId="166" dataCellStyle="Table cell"/>
    <tableColumn id="6" xr3:uid="{A72E99F3-93C6-4BF6-B455-BB551880D6F9}" name="Ausnet" dataDxfId="165" dataCellStyle="Table cell">
      <calculatedColumnFormula array="1">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calculatedColumnFormula>
    </tableColumn>
    <tableColumn id="7" xr3:uid="{5A3D3D9B-379A-4FAE-B0D3-6769ACEE354F}" name="Citipower" dataDxfId="164" dataCellStyle="Table cell">
      <calculatedColumnFormula array="1">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calculatedColumnFormula>
    </tableColumn>
    <tableColumn id="8" xr3:uid="{3AA2F046-55C7-4C97-8768-89AA876C4F26}" name="Jemena" dataDxfId="163" dataCellStyle="Table cell">
      <calculatedColumnFormula array="1">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calculatedColumnFormula>
    </tableColumn>
    <tableColumn id="9" xr3:uid="{892CB232-15D1-4FBB-B203-B4FB00635D8D}" name="Powercor" dataDxfId="162" dataCellStyle="Table cell">
      <calculatedColumnFormula array="1">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calculatedColumnFormula>
    </tableColumn>
    <tableColumn id="10" xr3:uid="{3A2D3832-2CE2-4857-A3A9-52809919DD21}" name="United Energy" dataDxfId="161" dataCellStyle="Table cell">
      <calculatedColumnFormula array="1">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calculatedColumnFormula>
    </tableColumn>
  </tableColumns>
  <tableStyleInfo name="Default tabl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ABD8EC13-7FD6-4873-9A8A-AF27A1752654}" name="Calc_TUR_ENV_2" displayName="Calc_TUR_ENV_2" ref="C169:L202" totalsRowShown="0" headerRowDxfId="160" headerRowBorderDxfId="159" tableBorderDxfId="158" totalsRowBorderDxfId="157" headerRowCellStyle="Table col heading" dataCellStyle="Table cell">
  <tableColumns count="10">
    <tableColumn id="1" xr3:uid="{D7402472-7D51-45A2-9F7E-32054A9C2AD1}" name="Rate type" dataCellStyle="Table cell"/>
    <tableColumn id="2" xr3:uid="{F4F50483-5EB8-47B9-8D7E-627214C0558E}" name="True up" dataCellStyle="Table cell"/>
    <tableColumn id="3" xr3:uid="{07E06059-0FC6-4AB4-8825-B95E8D18E5B8}" name="Unit" dataDxfId="156" dataCellStyle="Table cell"/>
    <tableColumn id="4" xr3:uid="{EAD4F5E9-2E38-4436-A301-DED41D02DFE3}" name="Customer type" dataCellStyle="Table cell"/>
    <tableColumn id="5" xr3:uid="{0DC1F14F-359A-46F9-BCA5-E770B1F92F26}" name="Cost element" dataDxfId="155" dataCellStyle="Table cell"/>
    <tableColumn id="6" xr3:uid="{29A716A7-E637-4169-A549-5FF4D3815C70}" name="Ausnet" dataDxfId="154" dataCellStyle="Table cell">
      <calculatedColumnFormula array="1">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calculatedColumnFormula>
    </tableColumn>
    <tableColumn id="7" xr3:uid="{BB0FA067-EEAA-48E9-BA9B-E23C98706BA6}" name="Citipower" dataDxfId="153" dataCellStyle="Table cell">
      <calculatedColumnFormula array="1">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calculatedColumnFormula>
    </tableColumn>
    <tableColumn id="8" xr3:uid="{F79E3A5D-B4CB-4D5B-B931-80D771F44DFA}" name="Jemena" dataDxfId="152" dataCellStyle="Table cell">
      <calculatedColumnFormula array="1">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calculatedColumnFormula>
    </tableColumn>
    <tableColumn id="9" xr3:uid="{7C67EE55-D28A-4FC5-ADEA-A4209390FD33}" name="Powercor" dataDxfId="151" dataCellStyle="Table cell">
      <calculatedColumnFormula array="1">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calculatedColumnFormula>
    </tableColumn>
    <tableColumn id="10" xr3:uid="{B4D050EC-0A71-4081-81A2-AFA078DCC264}" name="United Energy" dataDxfId="150" dataCellStyle="Table cell">
      <calculatedColumnFormula array="1">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calculatedColumnFormula>
    </tableColumn>
  </tableColumns>
  <tableStyleInfo name="Default tabl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48CEC897-179F-44BD-825C-BF0EE47BDAFA}" name="Calc_TUV_EnvGroup_1" displayName="Calc_TUV_EnvGroup_1" ref="C45:L48" totalsRowShown="0" headerRowDxfId="149" headerRowBorderDxfId="148" tableBorderDxfId="147" totalsRowBorderDxfId="146" headerRowCellStyle="Table col heading" dataCellStyle="Table cell">
  <tableColumns count="10">
    <tableColumn id="1" xr3:uid="{771BEA51-0FCE-4793-A637-2E8F5130E753}" name="Cost item" dataCellStyle="Table cell"/>
    <tableColumn id="2" xr3:uid="{3C34CCF2-954E-4687-8C99-E8D7D3C7ED75}" name="Fixed/Variable" dataCellStyle="Table cell"/>
    <tableColumn id="3" xr3:uid="{3C619B4E-BAC1-47C4-8ECC-6C46384996FD}" name="Unit" dataDxfId="145" dataCellStyle="Table cell"/>
    <tableColumn id="4" xr3:uid="{1503A5BC-F78F-4CF2-8C21-4A9FDC822142}" name="Customer type" dataCellStyle="Table cell"/>
    <tableColumn id="10" xr3:uid="{DE17B893-52B8-4859-B65F-88EF53883407}" name="Cost element" dataCellStyle="Table cell"/>
    <tableColumn id="5" xr3:uid="{629ABBA2-7FF9-4A02-9450-29C885B8A013}" name="Ausnet" dataCellStyle="Table cell"/>
    <tableColumn id="6" xr3:uid="{A7018C6B-64E8-46E4-8B26-2CC338AA6532}" name="Citipower" dataCellStyle="Table cell"/>
    <tableColumn id="7" xr3:uid="{94C35522-202F-48D0-8FA8-A1D7265F3B2F}" name="Jemena" dataCellStyle="Table cell"/>
    <tableColumn id="8" xr3:uid="{FEB8FEBC-4FE0-4AB3-97D0-522C200D0F26}" name="Powercor" dataCellStyle="Table cell"/>
    <tableColumn id="9" xr3:uid="{0B954CA1-2B1F-466E-85CC-83463172A299}" name="United Energy" dataDxfId="144" dataCellStyle="Internal link/lookup"/>
  </tableColumns>
  <tableStyleInfo name="Default tabl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86494F6-C76D-4BC0-9178-C720B04554FE}" name="Calc_TUV_ENVGroup_2" displayName="Calc_TUV_ENVGroup_2" ref="C163:L166" totalsRowShown="0" headerRowDxfId="143" headerRowBorderDxfId="142" tableBorderDxfId="141" totalsRowBorderDxfId="140" headerRowCellStyle="Table col heading" dataCellStyle="Table cell">
  <tableColumns count="10">
    <tableColumn id="1" xr3:uid="{F0BC8329-99A3-492E-B008-C6618C682212}" name="Cost item" dataCellStyle="Table cell"/>
    <tableColumn id="2" xr3:uid="{261548EE-86CB-4D51-A270-6FBA44A0057A}" name="Fixed/Variable" dataCellStyle="Table cell"/>
    <tableColumn id="3" xr3:uid="{2124D95F-7020-4F59-A852-6176E8CC21B4}" name="Unit" dataDxfId="139" dataCellStyle="Table cell"/>
    <tableColumn id="4" xr3:uid="{71CD4922-C40D-4E7C-9EA0-A9982C2437A5}" name="Customer type" dataCellStyle="Table cell"/>
    <tableColumn id="10" xr3:uid="{435000DE-70B4-4E67-9743-C7CF9651578E}" name="Cost element" dataDxfId="138" dataCellStyle="Table cell"/>
    <tableColumn id="5" xr3:uid="{E6640A9F-DA07-42FE-9755-14B74DDFEF89}" name="Ausnet" dataDxfId="137" dataCellStyle="Table cell"/>
    <tableColumn id="6" xr3:uid="{A0AEEBC5-C581-4732-B8E1-39B16BDC01CD}" name="Citipower" dataDxfId="136" dataCellStyle="Table cell">
      <calculatedColumnFormula array="1">IFERROR(SUMIFS(INDEX(Calc_TUV_Net_2[[Ausnet]:[United Energy]],0,MATCH(Calc_TUV_ENVGroup_2[[#Headers],[Citipower]],Calc_TUV_Net_2[[#Headers],[Ausnet]:[United Energy]],0)),
Calc_TUV_Net_2[Cost item],Calc_TUV_ENVGroup_2[[#This Row],[Cost item]]&amp;" cost true up",
Calc_TUV_Net_2[Customer type],Calc_TUV_ENVGroup_2[[#This Row],[Customer type]]),"-")</calculatedColumnFormula>
    </tableColumn>
    <tableColumn id="7" xr3:uid="{6686C12D-E8CE-44B6-86AA-D3D4B4EEC21A}" name="Jemena" dataDxfId="135" dataCellStyle="Table cell">
      <calculatedColumnFormula array="1">IFERROR(SUMIFS(INDEX(Calc_TUV_Net_2[[Ausnet]:[United Energy]],0,MATCH(Calc_TUV_ENVGroup_2[[#Headers],[Jemena]],Calc_TUV_Net_2[[#Headers],[Ausnet]:[United Energy]],0)),
Calc_TUV_Net_2[Cost item],Calc_TUV_ENVGroup_2[[#This Row],[Cost item]]&amp;" cost true up",
Calc_TUV_Net_2[Customer type],Calc_TUV_ENVGroup_2[[#This Row],[Customer type]]),"-")</calculatedColumnFormula>
    </tableColumn>
    <tableColumn id="8" xr3:uid="{2B48CA0E-7C6A-447D-84BC-7C8DC5D8197A}" name="Powercor" dataDxfId="134" dataCellStyle="Table cell">
      <calculatedColumnFormula array="1">IFERROR(SUMIFS(INDEX(Calc_TUV_Net_2[[Ausnet]:[United Energy]],0,MATCH(Calc_TUV_ENVGroup_2[[#Headers],[Powercor]],Calc_TUV_Net_2[[#Headers],[Ausnet]:[United Energy]],0)),
Calc_TUV_Net_2[Cost item],Calc_TUV_ENVGroup_2[[#This Row],[Cost item]]&amp;" cost true up",
Calc_TUV_Net_2[Customer type],Calc_TUV_ENVGroup_2[[#This Row],[Customer type]]),"-")</calculatedColumnFormula>
    </tableColumn>
    <tableColumn id="9" xr3:uid="{D5759CE0-CE25-4D79-9B28-831164F69512}" name="United Energy" dataDxfId="133" dataCellStyle="Table cell">
      <calculatedColumnFormula array="1">IFERROR(SUMIFS(INDEX(Calc_TUV_Net_2[[Ausnet]:[United Energy]],0,MATCH(Calc_TUV_ENVGroup_2[[#Headers],[United Energy]],Calc_TUV_Net_2[[#Headers],[Ausnet]:[United Energy]],0)),
Calc_TUV_Net_2[Cost item],Calc_TUV_ENVGroup_2[[#This Row],[Cost item]]&amp;" cost true up",
Calc_TUV_Net_2[Customer type],Calc_TUV_ENVGroup_2[[#This Row],[Customer type]]),"-")</calculatedColumnFormula>
    </tableColumn>
  </tableColumns>
  <tableStyleInfo name="Default tabl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99DC0A2-AC8F-4B3C-9546-BB458AD3C7A6}" name="OP_Rates_RES_1" displayName="OP_Rates_RES_1" ref="C19:K27" totalsRowShown="0" headerRowDxfId="132" headerRowBorderDxfId="131" tableBorderDxfId="130" headerRowCellStyle="Table col heading" dataCellStyle="Internal link/lookup">
  <tableColumns count="9">
    <tableColumn id="1" xr3:uid="{E78C1163-A3DD-48CF-86C4-4713E427B63D}" name="Rate name" dataCellStyle="Table cell"/>
    <tableColumn id="3" xr3:uid="{31ACDE4B-AAB5-4640-BE08-6E125BC844E4}" name="Unit" dataCellStyle="Table cell"/>
    <tableColumn id="4" xr3:uid="{B95AFB37-8599-48CB-B375-2E0E5F80DCD9}" name="Customer type" dataCellStyle="Table cell"/>
    <tableColumn id="2" xr3:uid="{F2682DF7-9005-4C15-A85A-9FA6E5E76CD8}" name="-" dataCellStyle="Table cell"/>
    <tableColumn id="5" xr3:uid="{9CB4A5E8-F8B3-45A6-9942-EC4FC685C94A}" name="Ausnet" dataDxfId="129" dataCellStyle="Internal link/lookup">
      <calculatedColumnFormula>IF(SUMIFS(Calc_Rates!G$63:G$139,Calc_Rates!$C$63:$C$139,OP_Rates!$C20,Calc_Rates!$F$63:$F$139,OP_Rates!$E20)=0,"-",SUMIFS(Calc_Rates!G$63:G$139,Calc_Rates!$C$63:$C$139,OP_Rates!$C20,Calc_Rates!$F$63:$F$139,OP_Rates!$E20))</calculatedColumnFormula>
    </tableColumn>
    <tableColumn id="6" xr3:uid="{669EA234-B896-4973-A45B-9E0DF7CF06BA}" name="Citipower" dataDxfId="128" dataCellStyle="Internal link/lookup">
      <calculatedColumnFormula>IF(SUMIFS(Calc_Rates!H$63:H$139,Calc_Rates!$C$63:$C$139,OP_Rates!$C20,Calc_Rates!$F$63:$F$139,OP_Rates!$E20)=0,"-",SUMIFS(Calc_Rates!H$63:H$139,Calc_Rates!$C$63:$C$139,OP_Rates!$C20,Calc_Rates!$F$63:$F$139,OP_Rates!$E20))</calculatedColumnFormula>
    </tableColumn>
    <tableColumn id="7" xr3:uid="{B77A7A81-62E1-4C8C-AE91-1162A78C6068}" name="Jemena" dataDxfId="127" dataCellStyle="Internal link/lookup">
      <calculatedColumnFormula>IF(SUMIFS(Calc_Rates!I$63:I$139,Calc_Rates!$C$63:$C$139,OP_Rates!$C20,Calc_Rates!$F$63:$F$139,OP_Rates!$E20)=0,"-",SUMIFS(Calc_Rates!I$63:I$139,Calc_Rates!$C$63:$C$139,OP_Rates!$C20,Calc_Rates!$F$63:$F$139,OP_Rates!$E20))</calculatedColumnFormula>
    </tableColumn>
    <tableColumn id="8" xr3:uid="{A1C2027B-3C88-4875-88CB-ACD29E96093E}" name="Powercor" dataDxfId="126" dataCellStyle="Internal link/lookup">
      <calculatedColumnFormula>IF(SUMIFS(Calc_Rates!J$63:J$139,Calc_Rates!$C$63:$C$139,OP_Rates!$C20,Calc_Rates!$F$63:$F$139,OP_Rates!$E20)=0,"-",SUMIFS(Calc_Rates!J$63:J$139,Calc_Rates!$C$63:$C$139,OP_Rates!$C20,Calc_Rates!$F$63:$F$139,OP_Rates!$E20))</calculatedColumnFormula>
    </tableColumn>
    <tableColumn id="9" xr3:uid="{FD9385BF-8187-449D-8F2C-5C88233245B6}" name="United Energy" dataDxfId="125" dataCellStyle="Internal link/lookup">
      <calculatedColumnFormula>IF(SUMIFS(Calc_Rates!K$63:K$139,Calc_Rates!$C$63:$C$139,OP_Rates!$C20,Calc_Rates!$F$63:$F$139,OP_Rates!$E20)=0,"-",SUMIFS(Calc_Rates!K$63:K$139,Calc_Rates!$C$63:$C$139,OP_Rates!$C20,Calc_Rates!$F$63:$F$139,OP_Rates!$E20))</calculatedColumnFormula>
    </tableColumn>
  </tableColumns>
  <tableStyleInfo name="Default tabl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F4CE869-0C56-420A-9C47-EF4446BA5787}" name="OP_Rates_SME_1" displayName="OP_Rates_SME_1" ref="M19:U27" totalsRowShown="0" headerRowDxfId="124" headerRowBorderDxfId="123" tableBorderDxfId="122" headerRowCellStyle="Table col heading" dataCellStyle="Internal link/lookup">
  <tableColumns count="9">
    <tableColumn id="1" xr3:uid="{D27CB02D-C880-42BA-8A91-6A1E16B41704}" name="Rate name" dataCellStyle="Table cell"/>
    <tableColumn id="3" xr3:uid="{8D3D4CDE-7941-453F-A7D2-1DCF4C88CBE2}" name="Unit" dataCellStyle="Table cell"/>
    <tableColumn id="4" xr3:uid="{6B4BCB35-90DC-4E06-A680-4545F6EFC0EF}" name="Customer type" dataCellStyle="Table cell"/>
    <tableColumn id="2" xr3:uid="{E9424C30-CDA0-432E-B849-6901BA45511B}" name="-" dataCellStyle="Table cell"/>
    <tableColumn id="5" xr3:uid="{F1DF3EB2-65A6-4DE4-95FA-10252DB899BE}" name="Ausnet" dataDxfId="121" dataCellStyle="Internal link/lookup"/>
    <tableColumn id="6" xr3:uid="{D03672B6-E990-42AC-A5B0-852970523C84}" name="Citipower" dataDxfId="120" dataCellStyle="Internal link/lookup"/>
    <tableColumn id="7" xr3:uid="{0963EA57-64B0-42D0-8E54-91364C6BB07D}" name="Jemena" dataDxfId="119" dataCellStyle="Internal link/lookup"/>
    <tableColumn id="8" xr3:uid="{FA086775-EDB3-437E-98E2-743CF43E2CD6}" name="Powercor" dataDxfId="118" dataCellStyle="Internal link/lookup"/>
    <tableColumn id="9" xr3:uid="{BD89ACA8-91CC-445D-A6A8-D18D25F8F791}" name="United Energy" dataDxfId="117" dataCellStyle="Internal link/lookup"/>
  </tableColumns>
  <tableStyleInfo name="Default tabl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62F88B8-AD2B-48D5-B9A0-A6F8233392FC}" name="OP_Rates_RES_2" displayName="OP_Rates_RES_2" ref="C92:K100" totalsRowShown="0" headerRowDxfId="116" headerRowBorderDxfId="115" tableBorderDxfId="114" headerRowCellStyle="Table col heading" dataCellStyle="Internal link/lookup">
  <tableColumns count="9">
    <tableColumn id="1" xr3:uid="{E12D8BB7-7DC5-4C01-A1DF-2C5092D6D281}" name="Rate name" dataCellStyle="Table cell"/>
    <tableColumn id="3" xr3:uid="{9B50B068-A20B-4598-8290-BF3F0B0D57EC}" name="Unit" dataCellStyle="Table cell"/>
    <tableColumn id="4" xr3:uid="{A745D100-FCD8-4948-BAE1-379CE68563D2}" name="Customer type" dataCellStyle="Table cell"/>
    <tableColumn id="2" xr3:uid="{036C2A5D-6065-4DF0-AAB3-E8921DA08FC2}" name="-" dataCellStyle="Table cell"/>
    <tableColumn id="5" xr3:uid="{A01E3015-10DD-4402-9C8C-004F533C0307}" name="Ausnet" dataDxfId="113" dataCellStyle="Internal link/lookup">
      <calculatedColumnFormula>IF(SUMIFS(Calc_Rates!G$63:G$139,Calc_Rates!$C$63:$C$139,OP_Rates!$C93,Calc_Rates!$F$63:$F$139,OP_Rates!$E93)=0,"-",SUMIFS(Calc_Rates!G$63:G$139,Calc_Rates!$C$63:$C$139,OP_Rates!$C93,Calc_Rates!$F$63:$F$139,OP_Rates!$E93))</calculatedColumnFormula>
    </tableColumn>
    <tableColumn id="6" xr3:uid="{DCD1340B-8D59-43A1-99C0-DAB67D15E969}" name="Citipower" dataDxfId="112" dataCellStyle="Internal link/lookup"/>
    <tableColumn id="7" xr3:uid="{B04CCA25-39DB-491F-BEA7-EFA7273E728A}" name="Jemena" dataDxfId="111" dataCellStyle="Internal link/lookup"/>
    <tableColumn id="8" xr3:uid="{C71DCC1C-CCB0-40E6-96E6-F5CDADD8B122}" name="Powercor" dataDxfId="110" dataCellStyle="Internal link/lookup"/>
    <tableColumn id="9" xr3:uid="{0B2E8CE8-F4F9-4846-83C4-FD2DFABC3C97}" name="United Energy" dataDxfId="109" dataCellStyle="Internal link/lookup"/>
  </tableColumns>
  <tableStyleInfo name="Default tabl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1148602-7459-4803-87B6-C831DEC44EC0}" name="OP_Rates_SME_2" displayName="OP_Rates_SME_2" ref="M92:U100" totalsRowShown="0" headerRowDxfId="108" headerRowBorderDxfId="107" tableBorderDxfId="106" headerRowCellStyle="Table col heading" dataCellStyle="Internal link/lookup">
  <tableColumns count="9">
    <tableColumn id="1" xr3:uid="{97447A12-70C5-49D9-A9E5-AEA25F884FA1}" name="Rate name" dataCellStyle="Table cell"/>
    <tableColumn id="3" xr3:uid="{2E2D66FB-47ED-43DF-A9CB-A2A955515374}" name="Unit" dataCellStyle="Table cell"/>
    <tableColumn id="4" xr3:uid="{3F2FC573-2AD7-4D41-8610-CC1693F433D0}" name="Customer type" dataCellStyle="Table cell"/>
    <tableColumn id="2" xr3:uid="{0923915D-2DEA-4E2B-98A9-C7D61F13E764}" name="-" dataCellStyle="Table cell"/>
    <tableColumn id="5" xr3:uid="{E1BD715C-539D-44A0-B07A-26372BFE7814}" name="Ausnet" dataDxfId="105" dataCellStyle="Internal link/lookup"/>
    <tableColumn id="6" xr3:uid="{DD804863-CB84-4F97-A3F4-DA8AA3710A39}" name="Citipower" dataDxfId="104" dataCellStyle="Internal link/lookup"/>
    <tableColumn id="7" xr3:uid="{C21B25A8-D01D-48E4-9F05-9CE92DF68805}" name="Jemena" dataDxfId="103" dataCellStyle="Internal link/lookup"/>
    <tableColumn id="8" xr3:uid="{29D436D3-A10E-420D-BA0A-B4F3748975DA}" name="Powercor" dataDxfId="102" dataCellStyle="Internal link/lookup"/>
    <tableColumn id="9" xr3:uid="{1952C4E9-7E24-444C-A20B-0F52828AE40D}" name="United Energy" dataDxfId="101" dataCellStyle="Internal link/lookup"/>
  </tableColumns>
  <tableStyleInfo name="Default tabl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2DAC482D-F423-4BB1-8E59-F00A38D3CBB1}" name="OP_RatesTU_RES_2" displayName="OP_RatesTU_RES_2" ref="C103:K112" totalsRowShown="0" headerRowDxfId="100" headerRowBorderDxfId="99" tableBorderDxfId="98" headerRowCellStyle="Table col heading" dataCellStyle="Internal link/lookup">
  <tableColumns count="9">
    <tableColumn id="1" xr3:uid="{E6DACF48-AAD3-4B44-8D3A-458714AA3224}" name="Rate name" dataDxfId="97" dataCellStyle="Table cell"/>
    <tableColumn id="2" xr3:uid="{811FF1AC-CED0-4823-AEE8-4CD78F706245}" name="Unit" dataDxfId="96" dataCellStyle="Table cell"/>
    <tableColumn id="3" xr3:uid="{BC4BC08A-6590-4549-AE2B-11F5B4196FEC}" name="Customer type" dataDxfId="95" dataCellStyle="Table cell"/>
    <tableColumn id="4" xr3:uid="{F70B0783-4C97-416B-A3FA-83DEEC36DD93}" name="Cost element" dataDxfId="94" dataCellStyle="Table cell"/>
    <tableColumn id="5" xr3:uid="{D6B56A29-DEAB-4BAF-9917-AEABCE4AAD1E}" name="Ausnet" dataDxfId="93" dataCellStyle="Internal link/lookup">
      <calculatedColumnFormula array="1">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calculatedColumnFormula>
    </tableColumn>
    <tableColumn id="6" xr3:uid="{EA6FD84F-66D4-4F51-A153-F8802F930F0F}" name="Citipower" dataDxfId="92" dataCellStyle="Internal link/lookup">
      <calculatedColumnFormula array="1">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calculatedColumnFormula>
    </tableColumn>
    <tableColumn id="7" xr3:uid="{2E9A544A-3531-4E17-9996-F185A676A58E}" name="Jemena" dataDxfId="91" dataCellStyle="Internal link/lookup">
      <calculatedColumnFormula array="1">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calculatedColumnFormula>
    </tableColumn>
    <tableColumn id="8" xr3:uid="{B159A814-6932-40BB-8657-EE60FC7A8539}" name="Powercor" dataDxfId="90" dataCellStyle="Internal link/lookup">
      <calculatedColumnFormula array="1">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calculatedColumnFormula>
    </tableColumn>
    <tableColumn id="9" xr3:uid="{E5EFB52A-128C-463D-BA62-7C010A23850E}" name="United Energy" dataDxfId="89" dataCellStyle="Internal link/lookup">
      <calculatedColumnFormula array="1">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calculatedColumnFormula>
    </tableColumn>
  </tableColumns>
  <tableStyleInfo name="Default tabl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743AF80E-DA00-49A0-A159-7CB4D1510410}" name="OP_RatesTU_SME_2" displayName="OP_RatesTU_SME_2" ref="M103:U112" totalsRowShown="0" headerRowDxfId="88" headerRowBorderDxfId="87" tableBorderDxfId="86" headerRowCellStyle="Table col heading" dataCellStyle="Internal link/lookup">
  <tableColumns count="9">
    <tableColumn id="1" xr3:uid="{D68FF8AE-5781-4255-BEA3-9E4E2B088DC9}" name="Rate name" dataDxfId="85" dataCellStyle="Table cell"/>
    <tableColumn id="2" xr3:uid="{050CECEC-B13D-445D-BECE-B28F63E59C08}" name="Unit" dataDxfId="84" dataCellStyle="Table cell"/>
    <tableColumn id="3" xr3:uid="{A450D655-A125-49C9-9A0F-3AA46242B60C}" name="Customer type" dataDxfId="83" dataCellStyle="Table cell"/>
    <tableColumn id="4" xr3:uid="{77C75CCA-D769-45F7-ACE7-23CCDD8A0810}" name="Cost element" dataDxfId="82" dataCellStyle="Table cell"/>
    <tableColumn id="5" xr3:uid="{F2725072-29B9-4CB3-887D-563B8DD59831}" name="Ausnet" dataDxfId="81"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calculatedColumnFormula>
    </tableColumn>
    <tableColumn id="6" xr3:uid="{E4A449F9-EA18-418F-BC67-AE1FCC5E9F1C}" name="Citipower" dataDxfId="80"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calculatedColumnFormula>
    </tableColumn>
    <tableColumn id="7" xr3:uid="{B402EAD2-D706-473C-BDA1-7A0E47075E01}" name="Jemena" dataDxfId="79"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calculatedColumnFormula>
    </tableColumn>
    <tableColumn id="8" xr3:uid="{97A3C1DD-56FB-4F27-AEE3-30EA5D428A98}" name="Powercor" dataDxfId="78"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calculatedColumnFormula>
    </tableColumn>
    <tableColumn id="9" xr3:uid="{561B1A63-A796-4486-9F20-06B3F749C9E3}" name="United Energy" dataDxfId="77"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calculatedColumnFormula>
    </tableColumn>
  </tableColumns>
  <tableStyleInfo name="Default tabl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259EE597-E6A4-44E4-944B-CDA626B5424B}" name="OP_TotalRates_RES_2" displayName="OP_TotalRates_RES_2" ref="C81:K89" totalsRowShown="0" headerRowDxfId="76" headerRowBorderDxfId="75" tableBorderDxfId="74" headerRowCellStyle="Table col heading">
  <tableColumns count="9">
    <tableColumn id="1" xr3:uid="{B296EB3D-E1CD-4637-9283-577B47AFA9A8}" name="Rate name" dataCellStyle="Table cell"/>
    <tableColumn id="2" xr3:uid="{EA2CEDA9-E825-4F7B-B818-53C4D2298ACA}" name="Unit" dataCellStyle="Table cell"/>
    <tableColumn id="3" xr3:uid="{36EFECE8-C52B-4F8C-92EF-2B882EAD862E}" name="Customer type" dataCellStyle="Table cell"/>
    <tableColumn id="4" xr3:uid="{4C89433C-DBD0-484D-A453-D4B50CC1EA25}" name="-" dataDxfId="73" dataCellStyle="Table cell"/>
    <tableColumn id="5" xr3:uid="{4ACF9A4B-7DA7-4470-89DC-4E06ABC5E77E}" name="Ausnet" dataDxfId="72" dataCellStyle="Table cell">
      <calculatedColumnFormula array="1">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calculatedColumnFormula>
    </tableColumn>
    <tableColumn id="6" xr3:uid="{6259725D-7D50-451A-B378-89B6848CEA53}" name="Citipower" dataDxfId="71" dataCellStyle="Table cell">
      <calculatedColumnFormula array="1">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calculatedColumnFormula>
    </tableColumn>
    <tableColumn id="7" xr3:uid="{3CB60922-6057-4639-94B8-707474840F4B}" name="Jemena" dataDxfId="70" dataCellStyle="Table cell">
      <calculatedColumnFormula array="1">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calculatedColumnFormula>
    </tableColumn>
    <tableColumn id="8" xr3:uid="{826D1692-DC0C-4317-A6F5-9D4E7153FBC1}" name="Powercor" dataDxfId="69" dataCellStyle="Table cell">
      <calculatedColumnFormula array="1">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calculatedColumnFormula>
    </tableColumn>
    <tableColumn id="9" xr3:uid="{B5E44275-79B2-41BC-8097-33A90558A19F}" name="United Energy" dataDxfId="68" dataCellStyle="Table cell">
      <calculatedColumnFormula array="1">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calculatedColumnFormula>
    </tableColumn>
  </tableColumns>
  <tableStyleInfo name="Default tabl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504AC9F5-FD18-4D06-A7AC-1599A20A14AB}" name="OP_TotalRates_SME_2" displayName="OP_TotalRates_SME_2" ref="M81:U89" totalsRowShown="0" headerRowDxfId="67" headerRowBorderDxfId="66" tableBorderDxfId="65" totalsRowBorderDxfId="64" headerRowCellStyle="Table col heading" dataCellStyle="Table cell">
  <tableColumns count="9">
    <tableColumn id="1" xr3:uid="{DC5AEBFC-A846-492A-9A3D-3C7B70A489D9}" name="Rate name" dataCellStyle="Table cell"/>
    <tableColumn id="2" xr3:uid="{61A248F6-55CA-4DCE-9C91-D6A9AED0FDC4}" name="Unit" dataCellStyle="Table cell"/>
    <tableColumn id="3" xr3:uid="{CBD751F5-C15F-4B12-80C4-7B799928ED9C}" name="Customer type" dataCellStyle="Table cell"/>
    <tableColumn id="4" xr3:uid="{5030C31E-5AD7-4F56-A84F-C30DC69E7E84}" name="-" dataCellStyle="Table cell"/>
    <tableColumn id="5" xr3:uid="{CB1F387B-FA11-477B-9107-645E6D46001E}" name="Ausnet" dataDxfId="63" dataCellStyle="Table cell">
      <calculatedColumnFormula array="1">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calculatedColumnFormula>
    </tableColumn>
    <tableColumn id="6" xr3:uid="{18B5BA61-65BA-4620-AB6C-9F9986211959}" name="Citipower" dataDxfId="62" dataCellStyle="Table cell">
      <calculatedColumnFormula array="1">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calculatedColumnFormula>
    </tableColumn>
    <tableColumn id="7" xr3:uid="{659B9969-5A85-4180-AA25-716A2E7F41B2}" name="Jemena" dataDxfId="61" dataCellStyle="Table cell">
      <calculatedColumnFormula array="1">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calculatedColumnFormula>
    </tableColumn>
    <tableColumn id="8" xr3:uid="{17A869EE-93CC-4116-83C5-BA1B6DD4154B}" name="Powercor" dataDxfId="60" dataCellStyle="Table cell">
      <calculatedColumnFormula array="1">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calculatedColumnFormula>
    </tableColumn>
    <tableColumn id="9" xr3:uid="{763A5092-A841-48AE-A61A-D58EAB0E4FA5}" name="United Energy" dataDxfId="59" dataCellStyle="Table cell">
      <calculatedColumnFormula array="1">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calculatedColumnFormula>
    </tableColumn>
  </tableColumns>
  <tableStyleInfo name="Default tabl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C68F836F-BFAF-4D94-8E10-FB158016F93D}" name="OP_TotalRates_RES_1" displayName="OP_TotalRates_RES_1" ref="C8:K16" totalsRowShown="0" headerRowDxfId="58" headerRowBorderDxfId="57" tableBorderDxfId="56" headerRowCellStyle="Table col heading">
  <tableColumns count="9">
    <tableColumn id="1" xr3:uid="{EFBA7F8E-5702-4B5F-A24C-D58F32BECFFD}" name="Rate name" dataCellStyle="Table cell"/>
    <tableColumn id="2" xr3:uid="{24CBE57F-78AE-413E-88DE-E3AFD3FAC564}" name="Unit" dataCellStyle="Table cell"/>
    <tableColumn id="3" xr3:uid="{CC5F9EDC-12A7-4A47-87A8-B10E13AC49C0}" name="Customer type" dataCellStyle="Table cell"/>
    <tableColumn id="4" xr3:uid="{6028E8A5-6981-468F-8C25-5C3250F89BE4}" name="-" dataDxfId="55" dataCellStyle="Table cell"/>
    <tableColumn id="5" xr3:uid="{19AB9587-A48D-452C-A107-3AD3AECADD01}" name="Ausnet" dataDxfId="54" dataCellStyle="Table cell">
      <calculatedColumnFormula array="1">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6" xr3:uid="{5ADC659C-CDAF-412F-A469-5F305214C88F}" name="Citipower" dataDxfId="53" dataCellStyle="Table cell">
      <calculatedColumnFormula array="1">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7" xr3:uid="{A8D8F831-A0DC-4582-9262-C3C3BBD0BC92}" name="Jemena" dataDxfId="52" dataCellStyle="Table cell">
      <calculatedColumnFormula array="1">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8" xr3:uid="{64D6C646-6150-4639-ABF2-AE215E5A4B51}" name="Powercor" dataDxfId="51" dataCellStyle="Table cell">
      <calculatedColumnFormula array="1">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9" xr3:uid="{BC7F9AB5-3ED3-42A5-B1F1-C1AA07207FF4}" name="United Energy" dataDxfId="50" dataCellStyle="Table cell">
      <calculatedColumnFormula array="1">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s>
  <tableStyleInfo name="Default tabl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225A8613-B156-4E18-B29B-6F0EDD6D2F86}" name="OP_TotalRates_SME_1" displayName="OP_TotalRates_SME_1" ref="M8:U16" totalsRowShown="0" headerRowDxfId="49" headerRowBorderDxfId="48" tableBorderDxfId="47" totalsRowBorderDxfId="46" headerRowCellStyle="Table col heading" dataCellStyle="Table cell">
  <tableColumns count="9">
    <tableColumn id="1" xr3:uid="{C1A5C6F0-D41E-4832-A0D0-06DD1D76E1EE}" name="Rate name" dataCellStyle="Table cell"/>
    <tableColumn id="2" xr3:uid="{845C0D52-D2ED-4E94-BAD9-3BC221A1B4D6}" name="Unit" dataCellStyle="Table cell"/>
    <tableColumn id="3" xr3:uid="{F7EC689D-02E3-4F6F-B915-FB8FE642570C}" name="Customer type" dataCellStyle="Table cell"/>
    <tableColumn id="4" xr3:uid="{C4F34141-B33C-47EB-964B-78FFC9127264}" name="-" dataCellStyle="Table cell"/>
    <tableColumn id="5" xr3:uid="{759561F8-C1F4-4740-BBC1-CD3BBC1A4B6D}" name="Ausnet" dataDxfId="45" dataCellStyle="Table cell">
      <calculatedColumnFormula array="1">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6" xr3:uid="{8DB3D203-F696-471E-A81B-2603227D4C1C}" name="Citipower" dataDxfId="44" dataCellStyle="Table cell">
      <calculatedColumnFormula array="1">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7" xr3:uid="{12599797-6DB1-4752-A91D-D4F5623A9C9B}" name="Jemena" dataDxfId="43" dataCellStyle="Table cell">
      <calculatedColumnFormula array="1">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8" xr3:uid="{38D6C70A-AEA2-4EE5-BB10-DC85E9F4FBEF}" name="Powercor" dataDxfId="42" dataCellStyle="Table cell">
      <calculatedColumnFormula array="1">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9" xr3:uid="{3266CD91-BF6F-45E4-999E-6CBA79B9C8E8}" name="United Energy" dataDxfId="41" dataCellStyle="Table cell">
      <calculatedColumnFormula array="1">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s>
  <tableStyleInfo name="Default tabl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FEB8D17F-5D68-4130-BFBB-1A43FBFC16A3}" name="OP_RatesTU_RES_1" displayName="OP_RatesTU_RES_1" ref="C30:K39" totalsRowShown="0" headerRowDxfId="40" headerRowBorderDxfId="39" tableBorderDxfId="38" headerRowCellStyle="Table col heading" dataCellStyle="Internal link/lookup">
  <tableColumns count="9">
    <tableColumn id="1" xr3:uid="{EDE28CA5-A06C-49F9-A068-256EFAE7F168}" name="Rate name" dataDxfId="37" dataCellStyle="Table cell"/>
    <tableColumn id="2" xr3:uid="{F8BA328E-C870-4835-A420-6C613706B330}" name="Unit" dataDxfId="36" dataCellStyle="Table cell"/>
    <tableColumn id="3" xr3:uid="{2848F034-ACD7-4EBD-8A6C-818F974EFF49}" name="Customer type" dataDxfId="35" dataCellStyle="Table cell"/>
    <tableColumn id="4" xr3:uid="{2962F910-A75B-405C-9C97-A0C617F4A661}" name="Cost element" dataCellStyle="Table cell"/>
    <tableColumn id="5" xr3:uid="{686EA705-D4CF-4833-A268-FE69EB04E7AF}" name="Ausnet" dataDxfId="34" dataCellStyle="Internal link/lookup">
      <calculatedColumnFormula array="1">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calculatedColumnFormula>
    </tableColumn>
    <tableColumn id="6" xr3:uid="{9B8ED77B-C08F-4D34-8E42-4A9655A90B4C}" name="Citipower" dataDxfId="33" dataCellStyle="Internal link/lookup">
      <calculatedColumnFormula array="1">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calculatedColumnFormula>
    </tableColumn>
    <tableColumn id="7" xr3:uid="{12E49AC4-261F-464A-AB58-F13487FE2360}" name="Jemena" dataDxfId="32" dataCellStyle="Internal link/lookup">
      <calculatedColumnFormula array="1">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calculatedColumnFormula>
    </tableColumn>
    <tableColumn id="8" xr3:uid="{5A3667C2-AFFE-442F-B9A7-EB8AEA384D28}" name="Powercor" dataDxfId="31" dataCellStyle="Internal link/lookup">
      <calculatedColumnFormula array="1">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calculatedColumnFormula>
    </tableColumn>
    <tableColumn id="9" xr3:uid="{B2228E7E-67E5-4ECB-BC40-E0E7E16BAD7E}" name="United Energy" dataDxfId="30" dataCellStyle="Internal link/lookup">
      <calculatedColumnFormula array="1">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calculatedColumnFormula>
    </tableColumn>
  </tableColumns>
  <tableStyleInfo name="Default tabl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B81553BE-E008-47C5-AF75-1727F1702120}" name="OP_RatesTU_SME_1" displayName="OP_RatesTU_SME_1" ref="M30:U39" totalsRowShown="0" headerRowDxfId="29" headerRowBorderDxfId="28" tableBorderDxfId="27" headerRowCellStyle="Table col heading" dataCellStyle="Internal link/lookup">
  <tableColumns count="9">
    <tableColumn id="1" xr3:uid="{45406C57-34CB-4B65-8E2B-1D5152BD0A25}" name="Rate name" dataDxfId="26" dataCellStyle="Table cell"/>
    <tableColumn id="2" xr3:uid="{2FA43327-1E12-456B-A0E8-9000AD58FD7D}" name="Unit" dataDxfId="25" dataCellStyle="Table cell"/>
    <tableColumn id="3" xr3:uid="{4C2AA5BA-F3B5-45BE-85C2-C987C331A4BA}" name="Customer type" dataDxfId="24" dataCellStyle="Table cell"/>
    <tableColumn id="4" xr3:uid="{9DC50DAB-4D1C-4AC1-A5AF-E33DB96A5A0F}" name="Cost element" dataCellStyle="Table cell"/>
    <tableColumn id="5" xr3:uid="{A13D3C70-92AE-4F16-91DA-A2562019C4A7}" name="Ausnet" dataDxfId="23"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calculatedColumnFormula>
    </tableColumn>
    <tableColumn id="6" xr3:uid="{6C8D8A13-598E-4820-8EAC-0364F4D1FB1E}" name="Citipower" dataDxfId="22"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calculatedColumnFormula>
    </tableColumn>
    <tableColumn id="7" xr3:uid="{7DD7EBBA-DA06-49A8-AC07-9371903F86CD}" name="Jemena" dataDxfId="21"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calculatedColumnFormula>
    </tableColumn>
    <tableColumn id="8" xr3:uid="{F9EC145C-9D67-49B2-A213-5370F048104E}" name="Powercor" dataDxfId="20"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calculatedColumnFormula>
    </tableColumn>
    <tableColumn id="9" xr3:uid="{4EC1B886-E7FA-4600-BED1-B95F3DBB98F2}" name="United Energy" dataDxfId="19"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calculatedColumnFormula>
    </tableColumn>
  </tableColumns>
  <tableStyleInfo name="Default tabl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981ECF00-A28C-4DAE-BCAD-B3F05BFD6430}" name="CMAB_RES_1" displayName="CMAB_RES_1" ref="C13:I16" totalsRowShown="0" headerRowDxfId="18" headerRowBorderDxfId="17" tableBorderDxfId="16" totalsRowBorderDxfId="15" headerRowCellStyle="Table col heading">
  <tableColumns count="7">
    <tableColumn id="1" xr3:uid="{84FEBB47-56AD-49B3-9311-BA71F8AEC495}" name="Customer type"/>
    <tableColumn id="2" xr3:uid="{AC9F98FB-8140-41C9-84B7-22980FC208CE}" name="Usage profile"/>
    <tableColumn id="3" xr3:uid="{A389BDD1-8970-442A-9855-389673EB38C0}" name="Ausnet" dataDxfId="14" dataCellStyle="Table cell">
      <calculatedColumnFormula>IFERROR(
IF($D$7="VDO 2021 - Final",
ROUNDUP(
(INDEX(OP_Rates_RES_1[[Ausnet]:[United Energy]],MATCH("Anytime - supply",OP_Rates_RES_1[[Rate name]:[Rate name]],0),MATCH(OP_CMAB!E$13,OP_Rates_RES_1[[#Headers],[Ausnet]:[United Energy]],0))*DiY)+
IFERROR((INDEX(OP_RatesTU_RES_1[[Ausnet]:[United Energy]],MATCH("Anytime",OP_RatesTU_RES_1[[Rate name]:[Rate name]],0),MATCH(OP_CMAB!E$13,OP_RatesTU_RES_1[[#Headers],[Ausnet]:[United Energy]],0))*$H$10),0)+
(IFERROR((INDEX(OP_TotalRates_RES_1[[Ausnet]:[United Energy]],MATCH("Block 1",OP_TotalRates_RES_1[[Rate name]:[Rate name]],0),MATCH(OP_CMAB!E$13,OP_TotalRates_RES_1[[#Headers],[Ausnet]:[United Energy]],0))*
INDEX(Input_Usage[[F-CurrentVDO_Input]:[F-NextVDO_Input]],MATCH(OP_CMAB!$D14&amp;" - Block 1",Input_Usage[[Ref]:[Ref]],0),MATCH(OP_CMAB!$D$7,Inputs!$I$131:$M$131,0))),0)+
IFERROR((INDEX(OP_TotalRates_RES_1[[Ausnet]:[United Energy]],MATCH("Balance",OP_TotalRates_RES_1[[Rate name]:[Rate name]],0),MATCH(OP_CMAB!E$13,OP_TotalRates_RES_1[[#Headers],[Ausnet]:[United Energy]],0))*
INDEX(Input_Usage[[F-CurrentVDO_Input]:[F-NextVDO_Input]],MATCH(OP_CMAB!$D14&amp;" - Balance",Input_Usage[[Ref]:[Ref]],0),MATCH(OP_CMAB!$D$7,Inputs!$I$131:$M$131,0))),0)+
IFERROR((INDEX(OP_TotalRates_RES_1[[Ausnet]:[United Energy]],MATCH("Single rate",OP_TotalRates_RES_1[[Rate name]:[Rate name]],0),MATCH(OP_CMAB!E$13,OP_TotalRates_RES_1[[#Headers],[Ausnet]:[United Energy]],0))*
INDEX(Input_Usage[[F-CurrentVDO_Input]:[F-NextVDO_Input]],MATCH(OP_CMAB!$D14&amp;" - Annual",Input_Usage[[Ref]:[Ref]],0),MATCH(OP_CMAB!$D$7,Inputs!$I$131:$M$131,0))),0)),0),
ROUNDUP(
(INDEX(OP_Rates_RES_1[[Ausnet]:[United Energy]],MATCH("TOU - supply",OP_Rates_RES_1[[Rate name]:[Rate name]],0),MATCH(OP_CMAB!E$13,OP_Rates_RES_1[[#Headers],[Ausnet]:[United Energy]],0))*DiY)+
IFERROR((INDEX(OP_RatesTU_RES_1[[Ausnet]:[United Energy]],MATCH("TOU",OP_RatesTU_RES_1[[Rate name]:[Rate name]],0),MATCH(OP_CMAB!E$13,OP_RatesTU_RES_1[[#Headers],[Ausnet]:[United Energy]],0))*$H$10),0)+
(INDEX(OP_TotalRates_RES_1[[Ausnet]:[United Energy]],MATCH("Peak",OP_TotalRates_RES_1[[Rate name]:[Rate name]],0),MATCH(OP_CMAB!E$13,OP_TotalRates_RES_1[[#Headers],[Ausnet]:[United Energy]],0))*
INDEX(Input_Usage[[F-CurrentVDO_Input]:[F-NextVDO_Input]],MATCH($D14&amp;" - Peak",Input_Usage[[Ref]:[Ref]],0),MATCH($D$7,Inputs!$I$131:$M$131,0)))+
IFERROR((INDEX(OP_TotalRates_RES_1[[Ausnet]:[United Energy]],MATCH("TOU - Shoulder",OP_TotalRates_RES_1[[Rate name]:[Rate name]],0),MATCH(OP_CMAB!E$13,OP_TotalRates_RES_1[[#Headers],[Ausnet]:[United Energy]],0))*
INDEX(Input_Usage[[F-CurrentVDO_Input]:[F-NextVDO_Input]],MATCH($D14&amp;" - Shoulder",Input_Usage[[Ref]:[Ref]],0),MATCH($D$7,Inputs!$I$131:$M$131,0))),0)+
(INDEX(OP_TotalRates_RES_1[[Ausnet]:[United Energy]],MATCH("Off peak",OP_TotalRates_RES_1[[Rate name]:[Rate name]],0),MATCH(OP_CMAB!E$13,OP_TotalRates_RES_1[[#Headers],[Ausnet]:[United Energy]],0))*
INDEX(Input_Usage[[F-CurrentVDO_Input]:[F-NextVDO_Input]],MATCH($D14&amp;" - Off peak",Input_Usage[[Ref]:[Ref]],0),MATCH($D$7,Inputs!$I$131:$M$131,0))),0)),"-")</calculatedColumnFormula>
    </tableColumn>
    <tableColumn id="4" xr3:uid="{BA39D082-53B0-4996-8C75-52452724B87F}" name="Citipower">
      <calculatedColumnFormula>IFERROR(
IF($D$7="VDO 2021 - Final",
ROUNDUP(
(INDEX(OP_Rates_RES_1[[Ausnet]:[United Energy]],MATCH("Anytime - supply",OP_Rates_RES_1[[Rate name]:[Rate name]],0),MATCH(OP_CMAB!F$13,OP_Rates_RES_1[[#Headers],[Ausnet]:[United Energy]],0))*DiY)+
IFERROR((INDEX(OP_RatesTU_RES_1[[Ausnet]:[United Energy]],MATCH("Anytime",OP_RatesTU_RES_1[[Rate name]:[Rate name]],0),MATCH(OP_CMAB!F$13,OP_RatesTU_RES_1[[#Headers],[Ausnet]:[United Energy]],0))*$H$10),0)+
(IFERROR((INDEX(OP_TotalRates_RES_1[[Ausnet]:[United Energy]],MATCH("Block 1",OP_TotalRates_RES_1[[Rate name]:[Rate name]],0),MATCH(OP_CMAB!F$13,OP_TotalRates_RES_1[[#Headers],[Ausnet]:[United Energy]],0))*
INDEX(Input_Usage[[F-CurrentVDO_Input]:[F-NextVDO_Input]],MATCH(OP_CMAB!$D14&amp;" - Block 1",Input_Usage[[Ref]:[Ref]],0),MATCH(OP_CMAB!$D$7,Inputs!$I$131:$M$131,0))),0)+
IFERROR((INDEX(OP_TotalRates_RES_1[[Ausnet]:[United Energy]],MATCH("Balance",OP_TotalRates_RES_1[[Rate name]:[Rate name]],0),MATCH(OP_CMAB!F$13,OP_TotalRates_RES_1[[#Headers],[Ausnet]:[United Energy]],0))*
INDEX(Input_Usage[[F-CurrentVDO_Input]:[F-NextVDO_Input]],MATCH(OP_CMAB!$D14&amp;" - Balance",Input_Usage[[Ref]:[Ref]],0),MATCH(OP_CMAB!$D$7,Inputs!$I$131:$M$131,0))),0)+
IFERROR((INDEX(OP_TotalRates_RES_1[[Ausnet]:[United Energy]],MATCH("Single rate",OP_TotalRates_RES_1[[Rate name]:[Rate name]],0),MATCH(OP_CMAB!F$13,OP_TotalRates_RES_1[[#Headers],[Ausnet]:[United Energy]],0))*
INDEX(Input_Usage[[F-CurrentVDO_Input]:[F-NextVDO_Input]],MATCH(OP_CMAB!$D14&amp;" - Annual",Input_Usage[[Ref]:[Ref]],0),MATCH(OP_CMAB!$D$7,Inputs!$I$131:$M$131,0))),0)),0),
ROUNDUP(
(INDEX(OP_Rates_RES_1[[Ausnet]:[United Energy]],MATCH("TOU - supply",OP_Rates_RES_1[[Rate name]:[Rate name]],0),MATCH(OP_CMAB!F$13,OP_Rates_RES_1[[#Headers],[Ausnet]:[United Energy]],0))*DiY)+
IFERROR((INDEX(OP_RatesTU_RES_1[[Ausnet]:[United Energy]],MATCH("TOU",OP_RatesTU_RES_1[[Rate name]:[Rate name]],0),MATCH(OP_CMAB!F$13,OP_RatesTU_RES_1[[#Headers],[Ausnet]:[United Energy]],0))*$H$10),0)+
(INDEX(OP_TotalRates_RES_1[[Ausnet]:[United Energy]],MATCH("Peak",OP_TotalRates_RES_1[[Rate name]:[Rate name]],0),MATCH(OP_CMAB!F$13,OP_TotalRates_RES_1[[#Headers],[Ausnet]:[United Energy]],0))*
INDEX(Input_Usage[[F-CurrentVDO_Input]:[F-NextVDO_Input]],MATCH($D14&amp;" - Peak",Input_Usage[[Ref]:[Ref]],0),MATCH($D$7,Inputs!$I$131:$M$131,0)))+
IFERROR((INDEX(OP_TotalRates_RES_1[[Ausnet]:[United Energy]],MATCH("TOU - Shoulder",OP_TotalRates_RES_1[[Rate name]:[Rate name]],0),MATCH(OP_CMAB!F$13,OP_TotalRates_RES_1[[#Headers],[Ausnet]:[United Energy]],0))*
INDEX(Input_Usage[[F-CurrentVDO_Input]:[F-NextVDO_Input]],MATCH($D14&amp;" - Shoulder",Input_Usage[[Ref]:[Ref]],0),MATCH($D$7,Inputs!$I$131:$M$131,0))),0)+
(INDEX(OP_TotalRates_RES_1[[Ausnet]:[United Energy]],MATCH("Off peak",OP_TotalRates_RES_1[[Rate name]:[Rate name]],0),MATCH(OP_CMAB!F$13,OP_TotalRates_RES_1[[#Headers],[Ausnet]:[United Energy]],0))*
INDEX(Input_Usage[[F-CurrentVDO_Input]:[F-NextVDO_Input]],MATCH($D14&amp;" - Off peak",Input_Usage[[Ref]:[Ref]],0),MATCH($D$7,Inputs!$I$131:$M$131,0))),0)),"-")</calculatedColumnFormula>
    </tableColumn>
    <tableColumn id="5" xr3:uid="{282AD3F8-3333-43B4-86C8-A1CA8ED95F00}" name="Jemena">
      <calculatedColumnFormula>IFERROR(
IF($D$7="VDO 2021 - Final",
ROUNDUP(
(INDEX(OP_Rates_RES_1[[Ausnet]:[United Energy]],MATCH("Anytime - supply",OP_Rates_RES_1[[Rate name]:[Rate name]],0),MATCH(OP_CMAB!G$13,OP_Rates_RES_1[[#Headers],[Ausnet]:[United Energy]],0))*DiY)+
IFERROR((INDEX(OP_RatesTU_RES_1[[Ausnet]:[United Energy]],MATCH("Anytime",OP_RatesTU_RES_1[[Rate name]:[Rate name]],0),MATCH(OP_CMAB!G$13,OP_RatesTU_RES_1[[#Headers],[Ausnet]:[United Energy]],0))*$H$10),0)+
(IFERROR((INDEX(OP_TotalRates_RES_1[[Ausnet]:[United Energy]],MATCH("Block 1",OP_TotalRates_RES_1[[Rate name]:[Rate name]],0),MATCH(OP_CMAB!G$13,OP_TotalRates_RES_1[[#Headers],[Ausnet]:[United Energy]],0))*
INDEX(Input_Usage[[F-CurrentVDO_Input]:[F-NextVDO_Input]],MATCH(OP_CMAB!$D14&amp;" - Block 1",Input_Usage[[Ref]:[Ref]],0),MATCH(OP_CMAB!$D$7,Inputs!$I$131:$M$131,0))),0)+
IFERROR((INDEX(OP_TotalRates_RES_1[[Ausnet]:[United Energy]],MATCH("Balance",OP_TotalRates_RES_1[[Rate name]:[Rate name]],0),MATCH(OP_CMAB!G$13,OP_TotalRates_RES_1[[#Headers],[Ausnet]:[United Energy]],0))*
INDEX(Input_Usage[[F-CurrentVDO_Input]:[F-NextVDO_Input]],MATCH(OP_CMAB!$D14&amp;" - Balance",Input_Usage[[Ref]:[Ref]],0),MATCH(OP_CMAB!$D$7,Inputs!$I$131:$M$131,0))),0)+
IFERROR((INDEX(OP_TotalRates_RES_1[[Ausnet]:[United Energy]],MATCH("Single rate",OP_TotalRates_RES_1[[Rate name]:[Rate name]],0),MATCH(OP_CMAB!G$13,OP_TotalRates_RES_1[[#Headers],[Ausnet]:[United Energy]],0))*
INDEX(Input_Usage[[F-CurrentVDO_Input]:[F-NextVDO_Input]],MATCH(OP_CMAB!$D14&amp;" - Annual",Input_Usage[[Ref]:[Ref]],0),MATCH(OP_CMAB!$D$7,Inputs!$I$131:$M$131,0))),0)),0),
ROUNDUP(
(INDEX(OP_Rates_RES_1[[Ausnet]:[United Energy]],MATCH("TOU - supply",OP_Rates_RES_1[[Rate name]:[Rate name]],0),MATCH(OP_CMAB!G$13,OP_Rates_RES_1[[#Headers],[Ausnet]:[United Energy]],0))*DiY)+
IFERROR((INDEX(OP_RatesTU_RES_1[[Ausnet]:[United Energy]],MATCH("TOU",OP_RatesTU_RES_1[[Rate name]:[Rate name]],0),MATCH(OP_CMAB!G$13,OP_RatesTU_RES_1[[#Headers],[Ausnet]:[United Energy]],0))*$H$10),0)+
(INDEX(OP_TotalRates_RES_1[[Ausnet]:[United Energy]],MATCH("Peak",OP_TotalRates_RES_1[[Rate name]:[Rate name]],0),MATCH(OP_CMAB!G$13,OP_TotalRates_RES_1[[#Headers],[Ausnet]:[United Energy]],0))*
INDEX(Input_Usage[[F-CurrentVDO_Input]:[F-NextVDO_Input]],MATCH($D14&amp;" - Peak",Input_Usage[[Ref]:[Ref]],0),MATCH($D$7,Inputs!$I$131:$M$131,0)))+
IFERROR((INDEX(OP_TotalRates_RES_1[[Ausnet]:[United Energy]],MATCH("TOU - Shoulder",OP_TotalRates_RES_1[[Rate name]:[Rate name]],0),MATCH(OP_CMAB!G$13,OP_TotalRates_RES_1[[#Headers],[Ausnet]:[United Energy]],0))*
INDEX(Input_Usage[[F-CurrentVDO_Input]:[F-NextVDO_Input]],MATCH($D14&amp;" - Shoulder",Input_Usage[[Ref]:[Ref]],0),MATCH($D$7,Inputs!$I$131:$M$131,0))),0)+
(INDEX(OP_TotalRates_RES_1[[Ausnet]:[United Energy]],MATCH("Off peak",OP_TotalRates_RES_1[[Rate name]:[Rate name]],0),MATCH(OP_CMAB!G$13,OP_TotalRates_RES_1[[#Headers],[Ausnet]:[United Energy]],0))*
INDEX(Input_Usage[[F-CurrentVDO_Input]:[F-NextVDO_Input]],MATCH($D14&amp;" - Off peak",Input_Usage[[Ref]:[Ref]],0),MATCH($D$7,Inputs!$I$131:$M$131,0))),0)),"-")</calculatedColumnFormula>
    </tableColumn>
    <tableColumn id="6" xr3:uid="{8787BD47-D93F-4B34-86AA-1295F8CA6ECE}" name="Powercor">
      <calculatedColumnFormula>IFERROR(
IF($D$7="VDO 2021 - Final",
ROUNDUP(
(INDEX(OP_Rates_RES_1[[Ausnet]:[United Energy]],MATCH("Anytime - supply",OP_Rates_RES_1[[Rate name]:[Rate name]],0),MATCH(OP_CMAB!H$13,OP_Rates_RES_1[[#Headers],[Ausnet]:[United Energy]],0))*DiY)+
IFERROR((INDEX(OP_RatesTU_RES_1[[Ausnet]:[United Energy]],MATCH("Anytime",OP_RatesTU_RES_1[[Rate name]:[Rate name]],0),MATCH(OP_CMAB!H$13,OP_RatesTU_RES_1[[#Headers],[Ausnet]:[United Energy]],0))*$H$10),0)+
(IFERROR((INDEX(OP_TotalRates_RES_1[[Ausnet]:[United Energy]],MATCH("Block 1",OP_TotalRates_RES_1[[Rate name]:[Rate name]],0),MATCH(OP_CMAB!H$13,OP_TotalRates_RES_1[[#Headers],[Ausnet]:[United Energy]],0))*
INDEX(Input_Usage[[F-CurrentVDO_Input]:[F-NextVDO_Input]],MATCH(OP_CMAB!$D14&amp;" - Block 1",Input_Usage[[Ref]:[Ref]],0),MATCH(OP_CMAB!$D$7,Inputs!$I$131:$M$131,0))),0)+
IFERROR((INDEX(OP_TotalRates_RES_1[[Ausnet]:[United Energy]],MATCH("Balance",OP_TotalRates_RES_1[[Rate name]:[Rate name]],0),MATCH(OP_CMAB!H$13,OP_TotalRates_RES_1[[#Headers],[Ausnet]:[United Energy]],0))*
INDEX(Input_Usage[[F-CurrentVDO_Input]:[F-NextVDO_Input]],MATCH(OP_CMAB!$D14&amp;" - Balance",Input_Usage[[Ref]:[Ref]],0),MATCH(OP_CMAB!$D$7,Inputs!$I$131:$M$131,0))),0)+
IFERROR((INDEX(OP_TotalRates_RES_1[[Ausnet]:[United Energy]],MATCH("Single rate",OP_TotalRates_RES_1[[Rate name]:[Rate name]],0),MATCH(OP_CMAB!H$13,OP_TotalRates_RES_1[[#Headers],[Ausnet]:[United Energy]],0))*
INDEX(Input_Usage[[F-CurrentVDO_Input]:[F-NextVDO_Input]],MATCH(OP_CMAB!$D14&amp;" - Annual",Input_Usage[[Ref]:[Ref]],0),MATCH(OP_CMAB!$D$7,Inputs!$I$131:$M$131,0))),0)),0),
ROUNDUP(
(INDEX(OP_Rates_RES_1[[Ausnet]:[United Energy]],MATCH("TOU - supply",OP_Rates_RES_1[[Rate name]:[Rate name]],0),MATCH(OP_CMAB!H$13,OP_Rates_RES_1[[#Headers],[Ausnet]:[United Energy]],0))*DiY)+
IFERROR((INDEX(OP_RatesTU_RES_1[[Ausnet]:[United Energy]],MATCH("TOU",OP_RatesTU_RES_1[[Rate name]:[Rate name]],0),MATCH(OP_CMAB!H$13,OP_RatesTU_RES_1[[#Headers],[Ausnet]:[United Energy]],0))*$H$10),0)+
(INDEX(OP_TotalRates_RES_1[[Ausnet]:[United Energy]],MATCH("Peak",OP_TotalRates_RES_1[[Rate name]:[Rate name]],0),MATCH(OP_CMAB!H$13,OP_TotalRates_RES_1[[#Headers],[Ausnet]:[United Energy]],0))*
INDEX(Input_Usage[[F-CurrentVDO_Input]:[F-NextVDO_Input]],MATCH($D14&amp;" - Peak",Input_Usage[[Ref]:[Ref]],0),MATCH($D$7,Inputs!$I$131:$M$131,0)))+
IFERROR((INDEX(OP_TotalRates_RES_1[[Ausnet]:[United Energy]],MATCH("TOU - Shoulder",OP_TotalRates_RES_1[[Rate name]:[Rate name]],0),MATCH(OP_CMAB!H$13,OP_TotalRates_RES_1[[#Headers],[Ausnet]:[United Energy]],0))*
INDEX(Input_Usage[[F-CurrentVDO_Input]:[F-NextVDO_Input]],MATCH($D14&amp;" - Shoulder",Input_Usage[[Ref]:[Ref]],0),MATCH($D$7,Inputs!$I$131:$M$131,0))),0)+
(INDEX(OP_TotalRates_RES_1[[Ausnet]:[United Energy]],MATCH("Off peak",OP_TotalRates_RES_1[[Rate name]:[Rate name]],0),MATCH(OP_CMAB!H$13,OP_TotalRates_RES_1[[#Headers],[Ausnet]:[United Energy]],0))*
INDEX(Input_Usage[[F-CurrentVDO_Input]:[F-NextVDO_Input]],MATCH($D14&amp;" - Off peak",Input_Usage[[Ref]:[Ref]],0),MATCH($D$7,Inputs!$I$131:$M$131,0))),0)),"-")</calculatedColumnFormula>
    </tableColumn>
    <tableColumn id="7" xr3:uid="{6DCB4D75-0C84-4A70-9F7B-3AA3F67D07AB}" name="United Energy">
      <calculatedColumnFormula>IFERROR(
IF($D$7="VDO 2021 - Final",
ROUNDUP(
(INDEX(OP_Rates_RES_1[[Ausnet]:[United Energy]],MATCH("Anytime - supply",OP_Rates_RES_1[[Rate name]:[Rate name]],0),MATCH(OP_CMAB!I$13,OP_Rates_RES_1[[#Headers],[Ausnet]:[United Energy]],0))*DiY)+
IFERROR((INDEX(OP_RatesTU_RES_1[[Ausnet]:[United Energy]],MATCH("Anytime",OP_RatesTU_RES_1[[Rate name]:[Rate name]],0),MATCH(OP_CMAB!I$13,OP_RatesTU_RES_1[[#Headers],[Ausnet]:[United Energy]],0))*$H$10),0)+
(IFERROR((INDEX(OP_TotalRates_RES_1[[Ausnet]:[United Energy]],MATCH("Block 1",OP_TotalRates_RES_1[[Rate name]:[Rate name]],0),MATCH(OP_CMAB!I$13,OP_TotalRates_RES_1[[#Headers],[Ausnet]:[United Energy]],0))*
INDEX(Input_Usage[[F-CurrentVDO_Input]:[F-NextVDO_Input]],MATCH(OP_CMAB!$D14&amp;" - Block 1",Input_Usage[[Ref]:[Ref]],0),MATCH(OP_CMAB!$D$7,Inputs!$I$131:$M$131,0))),0)+
IFERROR((INDEX(OP_TotalRates_RES_1[[Ausnet]:[United Energy]],MATCH("Balance",OP_TotalRates_RES_1[[Rate name]:[Rate name]],0),MATCH(OP_CMAB!I$13,OP_TotalRates_RES_1[[#Headers],[Ausnet]:[United Energy]],0))*
INDEX(Input_Usage[[F-CurrentVDO_Input]:[F-NextVDO_Input]],MATCH(OP_CMAB!$D14&amp;" - Balance",Input_Usage[[Ref]:[Ref]],0),MATCH(OP_CMAB!$D$7,Inputs!$I$131:$M$131,0))),0)+
IFERROR((INDEX(OP_TotalRates_RES_1[[Ausnet]:[United Energy]],MATCH("Single rate",OP_TotalRates_RES_1[[Rate name]:[Rate name]],0),MATCH(OP_CMAB!I$13,OP_TotalRates_RES_1[[#Headers],[Ausnet]:[United Energy]],0))*
INDEX(Input_Usage[[F-CurrentVDO_Input]:[F-NextVDO_Input]],MATCH(OP_CMAB!$D14&amp;" - Annual",Input_Usage[[Ref]:[Ref]],0),MATCH(OP_CMAB!$D$7,Inputs!$I$131:$M$131,0))),0)),0),
ROUNDUP(
(INDEX(OP_Rates_RES_1[[Ausnet]:[United Energy]],MATCH("TOU - supply",OP_Rates_RES_1[[Rate name]:[Rate name]],0),MATCH(OP_CMAB!I$13,OP_Rates_RES_1[[#Headers],[Ausnet]:[United Energy]],0))*DiY)+
IFERROR((INDEX(OP_RatesTU_RES_1[[Ausnet]:[United Energy]],MATCH("TOU",OP_RatesTU_RES_1[[Rate name]:[Rate name]],0),MATCH(OP_CMAB!I$13,OP_RatesTU_RES_1[[#Headers],[Ausnet]:[United Energy]],0))*$H$10),0)+
(INDEX(OP_TotalRates_RES_1[[Ausnet]:[United Energy]],MATCH("Peak",OP_TotalRates_RES_1[[Rate name]:[Rate name]],0),MATCH(OP_CMAB!I$13,OP_TotalRates_RES_1[[#Headers],[Ausnet]:[United Energy]],0))*
INDEX(Input_Usage[[F-CurrentVDO_Input]:[F-NextVDO_Input]],MATCH($D14&amp;" - Peak",Input_Usage[[Ref]:[Ref]],0),MATCH($D$7,Inputs!$I$131:$M$131,0)))+
IFERROR((INDEX(OP_TotalRates_RES_1[[Ausnet]:[United Energy]],MATCH("TOU - Shoulder",OP_TotalRates_RES_1[[Rate name]:[Rate name]],0),MATCH(OP_CMAB!I$13,OP_TotalRates_RES_1[[#Headers],[Ausnet]:[United Energy]],0))*
INDEX(Input_Usage[[F-CurrentVDO_Input]:[F-NextVDO_Input]],MATCH($D14&amp;" - Shoulder",Input_Usage[[Ref]:[Ref]],0),MATCH($D$7,Inputs!$I$131:$M$131,0))),0)+
(INDEX(OP_TotalRates_RES_1[[Ausnet]:[United Energy]],MATCH("Off peak",OP_TotalRates_RES_1[[Rate name]:[Rate name]],0),MATCH(OP_CMAB!I$13,OP_TotalRates_RES_1[[#Headers],[Ausnet]:[United Energy]],0))*
INDEX(Input_Usage[[F-CurrentVDO_Input]:[F-NextVDO_Input]],MATCH($D14&amp;" - Off peak",Input_Usage[[Ref]:[Ref]],0),MATCH($D$7,Inputs!$I$131:$M$131,0))),0)),"-")</calculatedColumnFormula>
    </tableColumn>
  </tableColumns>
  <tableStyleInfo name="Default tabl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78868BB8-B928-42FB-BADD-F5CE65D1A929}" name="CMAB_SME_1" displayName="CMAB_SME_1" ref="K13:Q16" totalsRowShown="0" headerRowDxfId="13" headerRowBorderDxfId="12" tableBorderDxfId="11" totalsRowBorderDxfId="10" headerRowCellStyle="Table col heading">
  <tableColumns count="7">
    <tableColumn id="1" xr3:uid="{CFE1BF38-F8D5-417C-B8B8-055440189F48}" name="Customer type"/>
    <tableColumn id="2" xr3:uid="{A1BFB354-68E7-422C-A85D-4EE75E8C112A}" name="Usage profile"/>
    <tableColumn id="3" xr3:uid="{5FC92D0D-723D-4278-A68D-731B046067B9}" name="Ausnet" dataDxfId="9" dataCellStyle="Table cell">
      <calculatedColumnFormula>IFERROR(
IF($D$7="VDO 2021 - Final",
ROUNDUP(
(INDEX(OP_Rates_SME_1[[Ausnet]:[United Energy]],MATCH("Anytime - supply",OP_Rates_SME_1[[Rate name]:[Rate name]],0),MATCH(OP_CMAB!M$13,OP_Rates_SME_1[[#Headers],[Ausnet]:[United Energy]],0))*DiY)+
IFERROR((INDEX(OP_RatesTU_SME_1[[Ausnet]:[United Energy]],MATCH("Anytime",OP_RatesTU_SME_1[[Rate name]:[Rate name]],0),MATCH(OP_CMAB!M$13,OP_RatesTU_SME_1[[#Headers],[Ausnet]:[United Energy]],0))*$H$10),0)+
(IFERROR((INDEX(OP_TotalRates_SME_1[[Ausnet]:[United Energy]],MATCH("Block 1",OP_TotalRates_SME_1[[Rate name]:[Rate name]],0),MATCH(OP_CMAB!M$13,OP_TotalRates_SME_1[[#Headers],[Ausnet]:[United Energy]],0))*
INDEX(Input_Usage[[F-CurrentVDO_Input]:[F-NextVDO_Input]],MATCH(OP_CMAB!$L14&amp;" - Block 1",Input_Usage[[Ref]:[Ref]],0),MATCH(OP_CMAB!$D$7,Inputs!$I$131:$M$131,0))),0)+
IFERROR((INDEX(OP_TotalRates_SME_1[[Ausnet]:[United Energy]],MATCH("Balance",OP_TotalRates_SME_1[[Rate name]:[Rate name]],0),MATCH(OP_CMAB!M$13,OP_TotalRates_SME_1[[#Headers],[Ausnet]:[United Energy]],0))*
INDEX(Input_Usage[[F-CurrentVDO_Input]:[F-NextVDO_Input]],MATCH(OP_CMAB!$L14&amp;" - Balance",Input_Usage[[Ref]:[Ref]],0),MATCH(OP_CMAB!$D$7,Inputs!$I$131:$M$131,0))),0)+
IFERROR((INDEX(OP_TotalRates_SME_1[[Ausnet]:[United Energy]],MATCH("Single rate",OP_TotalRates_SME_1[[Rate name]:[Rate name]],0),MATCH(OP_CMAB!M$13,OP_TotalRates_SME_1[[#Headers],[Ausnet]:[United Energy]],0))*
INDEX(Input_Usage[[F-CurrentVDO_Input]:[F-NextVDO_Input]],MATCH(OP_CMAB!$L14&amp;" - Annual",Input_Usage[[Ref]:[Ref]],0),MATCH(OP_CMAB!$D$7,Inputs!$I$131:$M$131,0))),0)),0),
ROUNDUP(
(INDEX(OP_Rates_SME_1[[Ausnet]:[United Energy]],MATCH("TOU - supply",OP_Rates_SME_1[[Rate name]:[Rate name]],0),MATCH(OP_CMAB!M$13,OP_Rates_SME_1[[#Headers],[Ausnet]:[United Energy]],0))*DiY)+
IFERROR((INDEX(OP_RatesTU_SME_1[[Ausnet]:[United Energy]],MATCH("TOU",OP_RatesTU_SME_1[[Rate name]:[Rate name]],0),MATCH(OP_CMAB!M$13,OP_RatesTU_SME_1[[#Headers],[Ausnet]:[United Energy]],0))*$H$10),0)+
(INDEX(OP_TotalRates_SME_1[[Ausnet]:[United Energy]],MATCH("Peak",OP_TotalRates_SME_1[[Rate name]:[Rate name]],0),MATCH(OP_CMAB!M$13,OP_TotalRates_SME_1[[#Headers],[Ausnet]:[United Energy]],0))*
INDEX(Input_Usage[[F-CurrentVDO_Input]:[F-NextVDO_Input]],MATCH($L14&amp;" - Peak",Input_Usage[[Ref]:[Ref]],0),MATCH($D$7,Inputs!$I$131:$M$131,0)))+
IFERROR((INDEX(OP_TotalRates_SME_1[[Ausnet]:[United Energy]],MATCH("TOU - Shoulder",OP_TotalRates_SME_1[[Rate name]:[Rate name]],0),MATCH(OP_CMAB!M$13,OP_TotalRates_SME_1[[#Headers],[Ausnet]:[United Energy]],0))*
INDEX(Input_Usage[[F-CurrentVDO_Input]:[F-NextVDO_Input]],MATCH($L14&amp;" - Shoulder",Input_Usage[[Ref]:[Ref]],0),MATCH($D$7,Inputs!$I$131:$M$131,0))),0)+
(INDEX(OP_TotalRates_SME_1[[Ausnet]:[United Energy]],MATCH("Off peak",OP_TotalRates_SME_1[[Rate name]:[Rate name]],0),MATCH(OP_CMAB!M$13,OP_TotalRates_SME_1[[#Headers],[Ausnet]:[United Energy]],0))*
INDEX(Input_Usage[[F-CurrentVDO_Input]:[F-NextVDO_Input]],MATCH($L14&amp;" - Off peak",Input_Usage[[Ref]:[Ref]],0),MATCH($D$7,Inputs!$I$131:$M$131,0))),0)),"-")</calculatedColumnFormula>
    </tableColumn>
    <tableColumn id="4" xr3:uid="{A854BB72-10CE-41A2-BD33-3B9D4B05B42C}" name="Citipower">
      <calculatedColumnFormula>IFERROR(
IF($D$7="VDO 2021 - Final",
ROUNDUP(
(INDEX(OP_Rates_SME_1[[Ausnet]:[United Energy]],MATCH("Anytime - supply",OP_Rates_SME_1[[Rate name]:[Rate name]],0),MATCH(OP_CMAB!N$13,OP_Rates_SME_1[[#Headers],[Ausnet]:[United Energy]],0))*DiY)+
IFERROR((INDEX(OP_RatesTU_SME_1[[Ausnet]:[United Energy]],MATCH("Anytime",OP_RatesTU_SME_1[[Rate name]:[Rate name]],0),MATCH(OP_CMAB!N$13,OP_RatesTU_SME_1[[#Headers],[Ausnet]:[United Energy]],0))*$H$10),0)+
(IFERROR((INDEX(OP_TotalRates_SME_1[[Ausnet]:[United Energy]],MATCH("Block 1",OP_TotalRates_SME_1[[Rate name]:[Rate name]],0),MATCH(OP_CMAB!N$13,OP_TotalRates_SME_1[[#Headers],[Ausnet]:[United Energy]],0))*
INDEX(Input_Usage[[F-CurrentVDO_Input]:[F-NextVDO_Input]],MATCH(OP_CMAB!$L14&amp;" - Block 1",Input_Usage[[Ref]:[Ref]],0),MATCH(OP_CMAB!$D$7,Inputs!$I$131:$M$131,0))),0)+
IFERROR((INDEX(OP_TotalRates_SME_1[[Ausnet]:[United Energy]],MATCH("Balance",OP_TotalRates_SME_1[[Rate name]:[Rate name]],0),MATCH(OP_CMAB!N$13,OP_TotalRates_SME_1[[#Headers],[Ausnet]:[United Energy]],0))*
INDEX(Input_Usage[[F-CurrentVDO_Input]:[F-NextVDO_Input]],MATCH(OP_CMAB!$L14&amp;" - Balance",Input_Usage[[Ref]:[Ref]],0),MATCH(OP_CMAB!$D$7,Inputs!$I$131:$M$131,0))),0)+
IFERROR((INDEX(OP_TotalRates_SME_1[[Ausnet]:[United Energy]],MATCH("Single rate",OP_TotalRates_SME_1[[Rate name]:[Rate name]],0),MATCH(OP_CMAB!N$13,OP_TotalRates_SME_1[[#Headers],[Ausnet]:[United Energy]],0))*
INDEX(Input_Usage[[F-CurrentVDO_Input]:[F-NextVDO_Input]],MATCH(OP_CMAB!$L14&amp;" - Annual",Input_Usage[[Ref]:[Ref]],0),MATCH(OP_CMAB!$D$7,Inputs!$I$131:$M$131,0))),0)),0),
ROUNDUP(
(INDEX(OP_Rates_SME_1[[Ausnet]:[United Energy]],MATCH("TOU - supply",OP_Rates_SME_1[[Rate name]:[Rate name]],0),MATCH(OP_CMAB!N$13,OP_Rates_SME_1[[#Headers],[Ausnet]:[United Energy]],0))*DiY)+
IFERROR((INDEX(OP_RatesTU_SME_1[[Ausnet]:[United Energy]],MATCH("TOU",OP_RatesTU_SME_1[[Rate name]:[Rate name]],0),MATCH(OP_CMAB!N$13,OP_RatesTU_SME_1[[#Headers],[Ausnet]:[United Energy]],0))*$H$10),0)+
(INDEX(OP_TotalRates_SME_1[[Ausnet]:[United Energy]],MATCH("Peak",OP_TotalRates_SME_1[[Rate name]:[Rate name]],0),MATCH(OP_CMAB!N$13,OP_TotalRates_SME_1[[#Headers],[Ausnet]:[United Energy]],0))*
INDEX(Input_Usage[[F-CurrentVDO_Input]:[F-NextVDO_Input]],MATCH($L14&amp;" - Peak",Input_Usage[[Ref]:[Ref]],0),MATCH($D$7,Inputs!$I$131:$M$131,0)))+
IFERROR((INDEX(OP_TotalRates_SME_1[[Ausnet]:[United Energy]],MATCH("TOU - Shoulder",OP_TotalRates_SME_1[[Rate name]:[Rate name]],0),MATCH(OP_CMAB!N$13,OP_TotalRates_SME_1[[#Headers],[Ausnet]:[United Energy]],0))*
INDEX(Input_Usage[[F-CurrentVDO_Input]:[F-NextVDO_Input]],MATCH($L14&amp;" - Shoulder",Input_Usage[[Ref]:[Ref]],0),MATCH($D$7,Inputs!$I$131:$M$131,0))),0)+
(INDEX(OP_TotalRates_SME_1[[Ausnet]:[United Energy]],MATCH("Off peak",OP_TotalRates_SME_1[[Rate name]:[Rate name]],0),MATCH(OP_CMAB!N$13,OP_TotalRates_SME_1[[#Headers],[Ausnet]:[United Energy]],0))*
INDEX(Input_Usage[[F-CurrentVDO_Input]:[F-NextVDO_Input]],MATCH($L14&amp;" - Off peak",Input_Usage[[Ref]:[Ref]],0),MATCH($D$7,Inputs!$I$131:$M$131,0))),0)),"-")</calculatedColumnFormula>
    </tableColumn>
    <tableColumn id="5" xr3:uid="{37F3AA68-E85C-4177-B19E-9471B53A7CC8}" name="Jemena">
      <calculatedColumnFormula>IFERROR(
IF($D$7="VDO 2021 - Final",
ROUNDUP(
(INDEX(OP_Rates_SME_1[[Ausnet]:[United Energy]],MATCH("Anytime - supply",OP_Rates_SME_1[[Rate name]:[Rate name]],0),MATCH(OP_CMAB!O$13,OP_Rates_SME_1[[#Headers],[Ausnet]:[United Energy]],0))*DiY)+
IFERROR((INDEX(OP_RatesTU_SME_1[[Ausnet]:[United Energy]],MATCH("Anytime",OP_RatesTU_SME_1[[Rate name]:[Rate name]],0),MATCH(OP_CMAB!O$13,OP_RatesTU_SME_1[[#Headers],[Ausnet]:[United Energy]],0))*$H$10),0)+
(IFERROR((INDEX(OP_TotalRates_SME_1[[Ausnet]:[United Energy]],MATCH("Block 1",OP_TotalRates_SME_1[[Rate name]:[Rate name]],0),MATCH(OP_CMAB!O$13,OP_TotalRates_SME_1[[#Headers],[Ausnet]:[United Energy]],0))*
INDEX(Input_Usage[[F-CurrentVDO_Input]:[F-NextVDO_Input]],MATCH(OP_CMAB!$L14&amp;" - Block 1",Input_Usage[[Ref]:[Ref]],0),MATCH(OP_CMAB!$D$7,Inputs!$I$131:$M$131,0))),0)+
IFERROR((INDEX(OP_TotalRates_SME_1[[Ausnet]:[United Energy]],MATCH("Balance",OP_TotalRates_SME_1[[Rate name]:[Rate name]],0),MATCH(OP_CMAB!O$13,OP_TotalRates_SME_1[[#Headers],[Ausnet]:[United Energy]],0))*
INDEX(Input_Usage[[F-CurrentVDO_Input]:[F-NextVDO_Input]],MATCH(OP_CMAB!$L14&amp;" - Balance",Input_Usage[[Ref]:[Ref]],0),MATCH(OP_CMAB!$D$7,Inputs!$I$131:$M$131,0))),0)+
IFERROR((INDEX(OP_TotalRates_SME_1[[Ausnet]:[United Energy]],MATCH("Single rate",OP_TotalRates_SME_1[[Rate name]:[Rate name]],0),MATCH(OP_CMAB!O$13,OP_TotalRates_SME_1[[#Headers],[Ausnet]:[United Energy]],0))*
INDEX(Input_Usage[[F-CurrentVDO_Input]:[F-NextVDO_Input]],MATCH(OP_CMAB!$L14&amp;" - Annual",Input_Usage[[Ref]:[Ref]],0),MATCH(OP_CMAB!$D$7,Inputs!$I$131:$M$131,0))),0)),0),
ROUNDUP(
(INDEX(OP_Rates_SME_1[[Ausnet]:[United Energy]],MATCH("TOU - supply",OP_Rates_SME_1[[Rate name]:[Rate name]],0),MATCH(OP_CMAB!O$13,OP_Rates_SME_1[[#Headers],[Ausnet]:[United Energy]],0))*DiY)+
IFERROR((INDEX(OP_RatesTU_SME_1[[Ausnet]:[United Energy]],MATCH("TOU",OP_RatesTU_SME_1[[Rate name]:[Rate name]],0),MATCH(OP_CMAB!O$13,OP_RatesTU_SME_1[[#Headers],[Ausnet]:[United Energy]],0))*$H$10),0)+
(INDEX(OP_TotalRates_SME_1[[Ausnet]:[United Energy]],MATCH("Peak",OP_TotalRates_SME_1[[Rate name]:[Rate name]],0),MATCH(OP_CMAB!O$13,OP_TotalRates_SME_1[[#Headers],[Ausnet]:[United Energy]],0))*
INDEX(Input_Usage[[F-CurrentVDO_Input]:[F-NextVDO_Input]],MATCH($L14&amp;" - Peak",Input_Usage[[Ref]:[Ref]],0),MATCH($D$7,Inputs!$I$131:$M$131,0)))+
IFERROR((INDEX(OP_TotalRates_SME_1[[Ausnet]:[United Energy]],MATCH("TOU - Shoulder",OP_TotalRates_SME_1[[Rate name]:[Rate name]],0),MATCH(OP_CMAB!O$13,OP_TotalRates_SME_1[[#Headers],[Ausnet]:[United Energy]],0))*
INDEX(Input_Usage[[F-CurrentVDO_Input]:[F-NextVDO_Input]],MATCH($L14&amp;" - Shoulder",Input_Usage[[Ref]:[Ref]],0),MATCH($D$7,Inputs!$I$131:$M$131,0))),0)+
(INDEX(OP_TotalRates_SME_1[[Ausnet]:[United Energy]],MATCH("Off peak",OP_TotalRates_SME_1[[Rate name]:[Rate name]],0),MATCH(OP_CMAB!O$13,OP_TotalRates_SME_1[[#Headers],[Ausnet]:[United Energy]],0))*
INDEX(Input_Usage[[F-CurrentVDO_Input]:[F-NextVDO_Input]],MATCH($L14&amp;" - Off peak",Input_Usage[[Ref]:[Ref]],0),MATCH($D$7,Inputs!$I$131:$M$131,0))),0)),"-")</calculatedColumnFormula>
    </tableColumn>
    <tableColumn id="6" xr3:uid="{CC163AC0-D0FC-4725-AB96-3480C0535BF2}" name="Powercor">
      <calculatedColumnFormula>IFERROR(
IF($D$7="VDO 2021 - Final",
ROUNDUP(
(INDEX(OP_Rates_SME_1[[Ausnet]:[United Energy]],MATCH("Anytime - supply",OP_Rates_SME_1[[Rate name]:[Rate name]],0),MATCH(OP_CMAB!P$13,OP_Rates_SME_1[[#Headers],[Ausnet]:[United Energy]],0))*DiY)+
IFERROR((INDEX(OP_RatesTU_SME_1[[Ausnet]:[United Energy]],MATCH("Anytime",OP_RatesTU_SME_1[[Rate name]:[Rate name]],0),MATCH(OP_CMAB!P$13,OP_RatesTU_SME_1[[#Headers],[Ausnet]:[United Energy]],0))*$H$10),0)+
(IFERROR((INDEX(OP_TotalRates_SME_1[[Ausnet]:[United Energy]],MATCH("Block 1",OP_TotalRates_SME_1[[Rate name]:[Rate name]],0),MATCH(OP_CMAB!P$13,OP_TotalRates_SME_1[[#Headers],[Ausnet]:[United Energy]],0))*
INDEX(Input_Usage[[F-CurrentVDO_Input]:[F-NextVDO_Input]],MATCH(OP_CMAB!$L14&amp;" - Block 1",Input_Usage[[Ref]:[Ref]],0),MATCH(OP_CMAB!$D$7,Inputs!$I$131:$M$131,0))),0)+
IFERROR((INDEX(OP_TotalRates_SME_1[[Ausnet]:[United Energy]],MATCH("Balance",OP_TotalRates_SME_1[[Rate name]:[Rate name]],0),MATCH(OP_CMAB!P$13,OP_TotalRates_SME_1[[#Headers],[Ausnet]:[United Energy]],0))*
INDEX(Input_Usage[[F-CurrentVDO_Input]:[F-NextVDO_Input]],MATCH(OP_CMAB!$L14&amp;" - Balance",Input_Usage[[Ref]:[Ref]],0),MATCH(OP_CMAB!$D$7,Inputs!$I$131:$M$131,0))),0)+
IFERROR((INDEX(OP_TotalRates_SME_1[[Ausnet]:[United Energy]],MATCH("Single rate",OP_TotalRates_SME_1[[Rate name]:[Rate name]],0),MATCH(OP_CMAB!P$13,OP_TotalRates_SME_1[[#Headers],[Ausnet]:[United Energy]],0))*
INDEX(Input_Usage[[F-CurrentVDO_Input]:[F-NextVDO_Input]],MATCH(OP_CMAB!$L14&amp;" - Annual",Input_Usage[[Ref]:[Ref]],0),MATCH(OP_CMAB!$D$7,Inputs!$I$131:$M$131,0))),0)),0),
ROUNDUP(
(INDEX(OP_Rates_SME_1[[Ausnet]:[United Energy]],MATCH("TOU - supply",OP_Rates_SME_1[[Rate name]:[Rate name]],0),MATCH(OP_CMAB!P$13,OP_Rates_SME_1[[#Headers],[Ausnet]:[United Energy]],0))*DiY)+
IFERROR((INDEX(OP_RatesTU_SME_1[[Ausnet]:[United Energy]],MATCH("TOU",OP_RatesTU_SME_1[[Rate name]:[Rate name]],0),MATCH(OP_CMAB!P$13,OP_RatesTU_SME_1[[#Headers],[Ausnet]:[United Energy]],0))*$H$10),0)+
(INDEX(OP_TotalRates_SME_1[[Ausnet]:[United Energy]],MATCH("Peak",OP_TotalRates_SME_1[[Rate name]:[Rate name]],0),MATCH(OP_CMAB!P$13,OP_TotalRates_SME_1[[#Headers],[Ausnet]:[United Energy]],0))*
INDEX(Input_Usage[[F-CurrentVDO_Input]:[F-NextVDO_Input]],MATCH($L14&amp;" - Peak",Input_Usage[[Ref]:[Ref]],0),MATCH($D$7,Inputs!$I$131:$M$131,0)))+
IFERROR((INDEX(OP_TotalRates_SME_1[[Ausnet]:[United Energy]],MATCH("TOU - Shoulder",OP_TotalRates_SME_1[[Rate name]:[Rate name]],0),MATCH(OP_CMAB!P$13,OP_TotalRates_SME_1[[#Headers],[Ausnet]:[United Energy]],0))*
INDEX(Input_Usage[[F-CurrentVDO_Input]:[F-NextVDO_Input]],MATCH($L14&amp;" - Shoulder",Input_Usage[[Ref]:[Ref]],0),MATCH($D$7,Inputs!$I$131:$M$131,0))),0)+
(INDEX(OP_TotalRates_SME_1[[Ausnet]:[United Energy]],MATCH("Off peak",OP_TotalRates_SME_1[[Rate name]:[Rate name]],0),MATCH(OP_CMAB!P$13,OP_TotalRates_SME_1[[#Headers],[Ausnet]:[United Energy]],0))*
INDEX(Input_Usage[[F-CurrentVDO_Input]:[F-NextVDO_Input]],MATCH($L14&amp;" - Off peak",Input_Usage[[Ref]:[Ref]],0),MATCH($D$7,Inputs!$I$131:$M$131,0))),0)),"-")</calculatedColumnFormula>
    </tableColumn>
    <tableColumn id="7" xr3:uid="{9EF53383-EDFC-4887-B9C3-5A5731D858F0}" name="United Energy">
      <calculatedColumnFormula>IFERROR(
IF($D$7="VDO 2021 - Final",
ROUNDUP(
(INDEX(OP_Rates_SME_1[[Ausnet]:[United Energy]],MATCH("Anytime - supply",OP_Rates_SME_1[[Rate name]:[Rate name]],0),MATCH(OP_CMAB!Q$13,OP_Rates_SME_1[[#Headers],[Ausnet]:[United Energy]],0))*DiY)+
IFERROR((INDEX(OP_RatesTU_SME_1[[Ausnet]:[United Energy]],MATCH("Anytime",OP_RatesTU_SME_1[[Rate name]:[Rate name]],0),MATCH(OP_CMAB!Q$13,OP_RatesTU_SME_1[[#Headers],[Ausnet]:[United Energy]],0))*$H$10),0)+
(IFERROR((INDEX(OP_TotalRates_SME_1[[Ausnet]:[United Energy]],MATCH("Block 1",OP_TotalRates_SME_1[[Rate name]:[Rate name]],0),MATCH(OP_CMAB!Q$13,OP_TotalRates_SME_1[[#Headers],[Ausnet]:[United Energy]],0))*
INDEX(Input_Usage[[F-CurrentVDO_Input]:[F-NextVDO_Input]],MATCH(OP_CMAB!$L14&amp;" - Block 1",Input_Usage[[Ref]:[Ref]],0),MATCH(OP_CMAB!$D$7,Inputs!$I$131:$M$131,0))),0)+
IFERROR((INDEX(OP_TotalRates_SME_1[[Ausnet]:[United Energy]],MATCH("Balance",OP_TotalRates_SME_1[[Rate name]:[Rate name]],0),MATCH(OP_CMAB!Q$13,OP_TotalRates_SME_1[[#Headers],[Ausnet]:[United Energy]],0))*
INDEX(Input_Usage[[F-CurrentVDO_Input]:[F-NextVDO_Input]],MATCH(OP_CMAB!$L14&amp;" - Balance",Input_Usage[[Ref]:[Ref]],0),MATCH(OP_CMAB!$D$7,Inputs!$I$131:$M$131,0))),0)+
IFERROR((INDEX(OP_TotalRates_SME_1[[Ausnet]:[United Energy]],MATCH("Single rate",OP_TotalRates_SME_1[[Rate name]:[Rate name]],0),MATCH(OP_CMAB!Q$13,OP_TotalRates_SME_1[[#Headers],[Ausnet]:[United Energy]],0))*
INDEX(Input_Usage[[F-CurrentVDO_Input]:[F-NextVDO_Input]],MATCH(OP_CMAB!$L14&amp;" - Annual",Input_Usage[[Ref]:[Ref]],0),MATCH(OP_CMAB!$D$7,Inputs!$I$131:$M$131,0))),0)),0),
ROUNDUP(
(INDEX(OP_Rates_SME_1[[Ausnet]:[United Energy]],MATCH("TOU - supply",OP_Rates_SME_1[[Rate name]:[Rate name]],0),MATCH(OP_CMAB!Q$13,OP_Rates_SME_1[[#Headers],[Ausnet]:[United Energy]],0))*DiY)+
IFERROR((INDEX(OP_RatesTU_SME_1[[Ausnet]:[United Energy]],MATCH("TOU",OP_RatesTU_SME_1[[Rate name]:[Rate name]],0),MATCH(OP_CMAB!Q$13,OP_RatesTU_SME_1[[#Headers],[Ausnet]:[United Energy]],0))*$H$10),0)+
(INDEX(OP_TotalRates_SME_1[[Ausnet]:[United Energy]],MATCH("Peak",OP_TotalRates_SME_1[[Rate name]:[Rate name]],0),MATCH(OP_CMAB!Q$13,OP_TotalRates_SME_1[[#Headers],[Ausnet]:[United Energy]],0))*
INDEX(Input_Usage[[F-CurrentVDO_Input]:[F-NextVDO_Input]],MATCH($L14&amp;" - Peak",Input_Usage[[Ref]:[Ref]],0),MATCH($D$7,Inputs!$I$131:$M$131,0)))+
IFERROR((INDEX(OP_TotalRates_SME_1[[Ausnet]:[United Energy]],MATCH("TOU - Shoulder",OP_TotalRates_SME_1[[Rate name]:[Rate name]],0),MATCH(OP_CMAB!Q$13,OP_TotalRates_SME_1[[#Headers],[Ausnet]:[United Energy]],0))*
INDEX(Input_Usage[[F-CurrentVDO_Input]:[F-NextVDO_Input]],MATCH($L14&amp;" - Shoulder",Input_Usage[[Ref]:[Ref]],0),MATCH($D$7,Inputs!$I$131:$M$131,0))),0)+
(INDEX(OP_TotalRates_SME_1[[Ausnet]:[United Energy]],MATCH("Off peak",OP_TotalRates_SME_1[[Rate name]:[Rate name]],0),MATCH(OP_CMAB!Q$13,OP_TotalRates_SME_1[[#Headers],[Ausnet]:[United Energy]],0))*
INDEX(Input_Usage[[F-CurrentVDO_Input]:[F-NextVDO_Input]],MATCH($L14&amp;" - Off peak",Input_Usage[[Ref]:[Ref]],0),MATCH($D$7,Inputs!$I$131:$M$131,0))),0)),"-")</calculatedColumnFormula>
    </tableColumn>
  </tableColumns>
  <tableStyleInfo name="Default tabl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784CBC18-9383-4B2E-A511-0F55943CEE1D}" name="CMAB_RES_2" displayName="CMAB_RES_2" ref="C31:I34" totalsRowShown="0" headerRowDxfId="8" headerRowBorderDxfId="7" tableBorderDxfId="6" totalsRowBorderDxfId="5" headerRowCellStyle="Table col heading">
  <tableColumns count="7">
    <tableColumn id="1" xr3:uid="{A8F78815-AEAC-434F-B06A-A08BC4351EAC}" name="Customer type"/>
    <tableColumn id="2" xr3:uid="{7569B853-B0EF-41A4-A839-E23B991D1B54}" name="Usage profile"/>
    <tableColumn id="3" xr3:uid="{8D8BA29C-1E24-4688-8F81-2395D28FE733}" name="Ausnet">
      <calculatedColumnFormula>IFERROR(
IF($D$24="VDO 2021 - Final",
ROUNDUP(
(INDEX(OP_Rates_RES_2[[Ausnet]:[United Energy]],MATCH("Anytime - supply",OP_Rates_RES_2[[Rate name]:[Rate name]],0),MATCH(OP_CMAB!E$31,OP_Rates_RES_2[[#Headers],[Ausnet]:[United Energy]],0))*DiY)+
(INDEX(OP_RatesTU_RES_2[[Ausnet]:[United Energy]],MATCH("Anytime",OP_RatesTU_RES_2[[Rate name]:[Rate name]],0),MATCH(OP_CMAB!E$31,OP_RatesTU_RES_2[[#Headers],[Ausnet]:[United Energy]],0))*$H$27)+
(IFERROR((INDEX(OP_TotalRates_RES_2[[Ausnet]:[United Energy]],MATCH("Block 1",OP_TotalRates_RES_2[[Rate name]:[Rate name]],0),MATCH(OP_CMAB!E$31,OP_TotalRates_RES_2[[#Headers],[Ausnet]:[United Energy]],0))*
INDEX(Input_Usage[[F-CurrentVDO_Input]:[F-NextVDO_Input]],MATCH(OP_CMAB!$D32&amp;" - Block 1",Input_Usage[[Ref]:[Ref]],0),MATCH(OP_CMAB!$D$24,Inputs!$I$131:$M$131,0))),0)+
IFERROR((INDEX(OP_TotalRates_RES_2[[Ausnet]:[United Energy]],MATCH("Balance",OP_TotalRates_RES_2[[Rate name]:[Rate name]],0),MATCH(OP_CMAB!E$31,OP_TotalRates_RES_2[[#Headers],[Ausnet]:[United Energy]],0))*
INDEX(Input_Usage[[F-CurrentVDO_Input]:[F-NextVDO_Input]],MATCH(OP_CMAB!$D32&amp;" - Balance",Input_Usage[[Ref]:[Ref]],0),MATCH(OP_CMAB!$D$24,Inputs!$I$131:$M$131,0))),0)+
IFERROR((INDEX(OP_TotalRates_RES_2[[Ausnet]:[United Energy]],MATCH("Single rate",OP_TotalRates_RES_2[[Rate name]:[Rate name]],0),MATCH(OP_CMAB!E$31,OP_TotalRates_RES_2[[#Headers],[Ausnet]:[United Energy]],0))*
INDEX(Input_Usage[[F-CurrentVDO_Input]:[F-NextVDO_Input]],MATCH(OP_CMAB!$D32&amp;" - Annual",Input_Usage[[Ref]:[Ref]],0),MATCH(OP_CMAB!$D$24,Inputs!$I$131:$M$131,0))),0)),0),
ROUNDUP(
(INDEX(OP_Rates_RES_2[[Ausnet]:[United Energy]],MATCH("TOU - supply",OP_Rates_RES_2[[Rate name]:[Rate name]],0),MATCH(OP_CMAB!E$31,OP_Rates_RES_2[[#Headers],[Ausnet]:[United Energy]],0))*DiY)+
(INDEX(OP_RatesTU_RES_2[[Ausnet]:[United Energy]],MATCH("TOU",OP_RatesTU_RES_2[[Rate name]:[Rate name]],0),MATCH(OP_CMAB!E$31,OP_RatesTU_RES_2[[#Headers],[Ausnet]:[United Energy]],0))*$H$27)+
(INDEX(OP_TotalRates_RES_2[[Ausnet]:[United Energy]],MATCH("Peak",OP_TotalRates_RES_2[[Rate name]:[Rate name]],0),MATCH(OP_CMAB!E$31,OP_TotalRates_RES_2[[#Headers],[Ausnet]:[United Energy]],0))*
INDEX(Input_Usage[[F-CurrentVDO_Input]:[F-NextVDO_Input]],MATCH($D32&amp;" - Peak",Input_Usage[[Ref]:[Ref]],0),MATCH($D$24,Inputs!$I$131:$M$131,0)))+
IFERROR((INDEX(OP_TotalRates_RES_2[[Ausnet]:[United Energy]],MATCH("TOU - Shoulder",OP_TotalRates_RES_2[[Rate name]:[Rate name]],0),MATCH(OP_CMAB!E$31,OP_TotalRates_RES_2[[#Headers],[Ausnet]:[United Energy]],0))*
INDEX(Input_Usage[[F-CurrentVDO_Input]:[F-NextVDO_Input]],MATCH($D32&amp;" - Shoulder",Input_Usage[[Ref]:[Ref]],0),MATCH($D$24,Inputs!$I$131:$M$131,0))),0)+
(INDEX(OP_TotalRates_RES_2[[Ausnet]:[United Energy]],MATCH("Off peak",OP_TotalRates_RES_2[[Rate name]:[Rate name]],0),MATCH(OP_CMAB!E$31,OP_TotalRates_RES_2[[#Headers],[Ausnet]:[United Energy]],0))*
INDEX(Input_Usage[[F-CurrentVDO_Input]:[F-NextVDO_Input]],MATCH($D32&amp;" - Off peak",Input_Usage[[Ref]:[Ref]],0),MATCH($D$24,Inputs!$I$131:$M$131,0))),0)),"-")</calculatedColumnFormula>
    </tableColumn>
    <tableColumn id="4" xr3:uid="{0D5F9249-2086-4CEA-909D-1923653A76C1}" name="Citipower">
      <calculatedColumnFormula>IFERROR(
IF($D$24="VDO 2021 - Final",
ROUNDUP(
(INDEX(OP_Rates_RES_2[[Ausnet]:[United Energy]],MATCH("Anytime - supply",OP_Rates_RES_2[[Rate name]:[Rate name]],0),MATCH(OP_CMAB!F$31,OP_Rates_RES_2[[#Headers],[Ausnet]:[United Energy]],0))*DiY)+
(INDEX(OP_RatesTU_RES_2[[Ausnet]:[United Energy]],MATCH("Anytime",OP_RatesTU_RES_2[[Rate name]:[Rate name]],0),MATCH(OP_CMAB!F$31,OP_RatesTU_RES_2[[#Headers],[Ausnet]:[United Energy]],0))*$H$27)+
(IFERROR((INDEX(OP_TotalRates_RES_2[[Ausnet]:[United Energy]],MATCH("Block 1",OP_TotalRates_RES_2[[Rate name]:[Rate name]],0),MATCH(OP_CMAB!F$31,OP_TotalRates_RES_2[[#Headers],[Ausnet]:[United Energy]],0))*
INDEX(Input_Usage[[F-CurrentVDO_Input]:[F-NextVDO_Input]],MATCH(OP_CMAB!$D32&amp;" - Block 1",Input_Usage[[Ref]:[Ref]],0),MATCH(OP_CMAB!$D$24,Inputs!$I$131:$M$131,0))),0)+
IFERROR((INDEX(OP_TotalRates_RES_2[[Ausnet]:[United Energy]],MATCH("Balance",OP_TotalRates_RES_2[[Rate name]:[Rate name]],0),MATCH(OP_CMAB!F$31,OP_TotalRates_RES_2[[#Headers],[Ausnet]:[United Energy]],0))*
INDEX(Input_Usage[[F-CurrentVDO_Input]:[F-NextVDO_Input]],MATCH(OP_CMAB!$D32&amp;" - Balance",Input_Usage[[Ref]:[Ref]],0),MATCH(OP_CMAB!$D$24,Inputs!$I$131:$M$131,0))),0)+
IFERROR((INDEX(OP_TotalRates_RES_2[[Ausnet]:[United Energy]],MATCH("Single rate",OP_TotalRates_RES_2[[Rate name]:[Rate name]],0),MATCH(OP_CMAB!F$31,OP_TotalRates_RES_2[[#Headers],[Ausnet]:[United Energy]],0))*
INDEX(Input_Usage[[F-CurrentVDO_Input]:[F-NextVDO_Input]],MATCH(OP_CMAB!$D32&amp;" - Annual",Input_Usage[[Ref]:[Ref]],0),MATCH(OP_CMAB!$D$24,Inputs!$I$131:$M$131,0))),0)),0),
ROUNDUP(
(INDEX(OP_Rates_RES_2[[Ausnet]:[United Energy]],MATCH("TOU - supply",OP_Rates_RES_2[[Rate name]:[Rate name]],0),MATCH(OP_CMAB!F$31,OP_Rates_RES_2[[#Headers],[Ausnet]:[United Energy]],0))*DiY)+
(INDEX(OP_RatesTU_RES_2[[Ausnet]:[United Energy]],MATCH("TOU",OP_RatesTU_RES_2[[Rate name]:[Rate name]],0),MATCH(OP_CMAB!F$31,OP_RatesTU_RES_2[[#Headers],[Ausnet]:[United Energy]],0))*$H$27)+
(INDEX(OP_TotalRates_RES_2[[Ausnet]:[United Energy]],MATCH("Peak",OP_TotalRates_RES_2[[Rate name]:[Rate name]],0),MATCH(OP_CMAB!F$31,OP_TotalRates_RES_2[[#Headers],[Ausnet]:[United Energy]],0))*
INDEX(Input_Usage[[F-CurrentVDO_Input]:[F-NextVDO_Input]],MATCH($D32&amp;" - Peak",Input_Usage[[Ref]:[Ref]],0),MATCH($D$24,Inputs!$I$131:$M$131,0)))+
IFERROR((INDEX(OP_TotalRates_RES_2[[Ausnet]:[United Energy]],MATCH("TOU - Shoulder",OP_TotalRates_RES_2[[Rate name]:[Rate name]],0),MATCH(OP_CMAB!F$31,OP_TotalRates_RES_2[[#Headers],[Ausnet]:[United Energy]],0))*
INDEX(Input_Usage[[F-CurrentVDO_Input]:[F-NextVDO_Input]],MATCH($D32&amp;" - Shoulder",Input_Usage[[Ref]:[Ref]],0),MATCH($D$24,Inputs!$I$131:$M$131,0))),0)+
(INDEX(OP_TotalRates_RES_2[[Ausnet]:[United Energy]],MATCH("Off peak",OP_TotalRates_RES_2[[Rate name]:[Rate name]],0),MATCH(OP_CMAB!F$31,OP_TotalRates_RES_2[[#Headers],[Ausnet]:[United Energy]],0))*
INDEX(Input_Usage[[F-CurrentVDO_Input]:[F-NextVDO_Input]],MATCH($D32&amp;" - Off peak",Input_Usage[[Ref]:[Ref]],0),MATCH($D$24,Inputs!$I$131:$M$131,0))),0)),"-")</calculatedColumnFormula>
    </tableColumn>
    <tableColumn id="5" xr3:uid="{FE2A9689-6847-47AC-BEEF-E289A5A229B5}" name="Jemena">
      <calculatedColumnFormula>IFERROR(
IF($D$24="VDO 2021 - Final",
ROUNDUP(
(INDEX(OP_Rates_RES_2[[Ausnet]:[United Energy]],MATCH("Anytime - supply",OP_Rates_RES_2[[Rate name]:[Rate name]],0),MATCH(OP_CMAB!G$31,OP_Rates_RES_2[[#Headers],[Ausnet]:[United Energy]],0))*DiY)+
(INDEX(OP_RatesTU_RES_2[[Ausnet]:[United Energy]],MATCH("Anytime",OP_RatesTU_RES_2[[Rate name]:[Rate name]],0),MATCH(OP_CMAB!G$31,OP_RatesTU_RES_2[[#Headers],[Ausnet]:[United Energy]],0))*$H$27)+
(IFERROR((INDEX(OP_TotalRates_RES_2[[Ausnet]:[United Energy]],MATCH("Block 1",OP_TotalRates_RES_2[[Rate name]:[Rate name]],0),MATCH(OP_CMAB!G$31,OP_TotalRates_RES_2[[#Headers],[Ausnet]:[United Energy]],0))*
INDEX(Input_Usage[[F-CurrentVDO_Input]:[F-NextVDO_Input]],MATCH(OP_CMAB!$D32&amp;" - Block 1",Input_Usage[[Ref]:[Ref]],0),MATCH(OP_CMAB!$D$24,Inputs!$I$131:$M$131,0))),0)+
IFERROR((INDEX(OP_TotalRates_RES_2[[Ausnet]:[United Energy]],MATCH("Balance",OP_TotalRates_RES_2[[Rate name]:[Rate name]],0),MATCH(OP_CMAB!G$31,OP_TotalRates_RES_2[[#Headers],[Ausnet]:[United Energy]],0))*
INDEX(Input_Usage[[F-CurrentVDO_Input]:[F-NextVDO_Input]],MATCH(OP_CMAB!$D32&amp;" - Balance",Input_Usage[[Ref]:[Ref]],0),MATCH(OP_CMAB!$D$24,Inputs!$I$131:$M$131,0))),0)+
IFERROR((INDEX(OP_TotalRates_RES_2[[Ausnet]:[United Energy]],MATCH("Single rate",OP_TotalRates_RES_2[[Rate name]:[Rate name]],0),MATCH(OP_CMAB!G$31,OP_TotalRates_RES_2[[#Headers],[Ausnet]:[United Energy]],0))*
INDEX(Input_Usage[[F-CurrentVDO_Input]:[F-NextVDO_Input]],MATCH(OP_CMAB!$D32&amp;" - Annual",Input_Usage[[Ref]:[Ref]],0),MATCH(OP_CMAB!$D$24,Inputs!$I$131:$M$131,0))),0)),0),
ROUNDUP(
(INDEX(OP_Rates_RES_2[[Ausnet]:[United Energy]],MATCH("TOU - supply",OP_Rates_RES_2[[Rate name]:[Rate name]],0),MATCH(OP_CMAB!G$31,OP_Rates_RES_2[[#Headers],[Ausnet]:[United Energy]],0))*DiY)+
(INDEX(OP_RatesTU_RES_2[[Ausnet]:[United Energy]],MATCH("TOU",OP_RatesTU_RES_2[[Rate name]:[Rate name]],0),MATCH(OP_CMAB!G$31,OP_RatesTU_RES_2[[#Headers],[Ausnet]:[United Energy]],0))*$H$27)+
(INDEX(OP_TotalRates_RES_2[[Ausnet]:[United Energy]],MATCH("Peak",OP_TotalRates_RES_2[[Rate name]:[Rate name]],0),MATCH(OP_CMAB!G$31,OP_TotalRates_RES_2[[#Headers],[Ausnet]:[United Energy]],0))*
INDEX(Input_Usage[[F-CurrentVDO_Input]:[F-NextVDO_Input]],MATCH($D32&amp;" - Peak",Input_Usage[[Ref]:[Ref]],0),MATCH($D$24,Inputs!$I$131:$M$131,0)))+
IFERROR((INDEX(OP_TotalRates_RES_2[[Ausnet]:[United Energy]],MATCH("TOU - Shoulder",OP_TotalRates_RES_2[[Rate name]:[Rate name]],0),MATCH(OP_CMAB!G$31,OP_TotalRates_RES_2[[#Headers],[Ausnet]:[United Energy]],0))*
INDEX(Input_Usage[[F-CurrentVDO_Input]:[F-NextVDO_Input]],MATCH($D32&amp;" - Shoulder",Input_Usage[[Ref]:[Ref]],0),MATCH($D$24,Inputs!$I$131:$M$131,0))),0)+
(INDEX(OP_TotalRates_RES_2[[Ausnet]:[United Energy]],MATCH("Off peak",OP_TotalRates_RES_2[[Rate name]:[Rate name]],0),MATCH(OP_CMAB!G$31,OP_TotalRates_RES_2[[#Headers],[Ausnet]:[United Energy]],0))*
INDEX(Input_Usage[[F-CurrentVDO_Input]:[F-NextVDO_Input]],MATCH($D32&amp;" - Off peak",Input_Usage[[Ref]:[Ref]],0),MATCH($D$24,Inputs!$I$131:$M$131,0))),0)),"-")</calculatedColumnFormula>
    </tableColumn>
    <tableColumn id="6" xr3:uid="{A6AD0D20-3ABA-4057-BAA3-35F27065C0F2}" name="Powercor">
      <calculatedColumnFormula>IFERROR(
IF($D$24="VDO 2021 - Final",
ROUNDUP(
(INDEX(OP_Rates_RES_2[[Ausnet]:[United Energy]],MATCH("Anytime - supply",OP_Rates_RES_2[[Rate name]:[Rate name]],0),MATCH(OP_CMAB!H$31,OP_Rates_RES_2[[#Headers],[Ausnet]:[United Energy]],0))*DiY)+
(INDEX(OP_RatesTU_RES_2[[Ausnet]:[United Energy]],MATCH("Anytime",OP_RatesTU_RES_2[[Rate name]:[Rate name]],0),MATCH(OP_CMAB!H$31,OP_RatesTU_RES_2[[#Headers],[Ausnet]:[United Energy]],0))*$H$27)+
(IFERROR((INDEX(OP_TotalRates_RES_2[[Ausnet]:[United Energy]],MATCH("Block 1",OP_TotalRates_RES_2[[Rate name]:[Rate name]],0),MATCH(OP_CMAB!H$31,OP_TotalRates_RES_2[[#Headers],[Ausnet]:[United Energy]],0))*
INDEX(Input_Usage[[F-CurrentVDO_Input]:[F-NextVDO_Input]],MATCH(OP_CMAB!$D32&amp;" - Block 1",Input_Usage[[Ref]:[Ref]],0),MATCH(OP_CMAB!$D$24,Inputs!$I$131:$M$131,0))),0)+
IFERROR((INDEX(OP_TotalRates_RES_2[[Ausnet]:[United Energy]],MATCH("Balance",OP_TotalRates_RES_2[[Rate name]:[Rate name]],0),MATCH(OP_CMAB!H$31,OP_TotalRates_RES_2[[#Headers],[Ausnet]:[United Energy]],0))*
INDEX(Input_Usage[[F-CurrentVDO_Input]:[F-NextVDO_Input]],MATCH(OP_CMAB!$D32&amp;" - Balance",Input_Usage[[Ref]:[Ref]],0),MATCH(OP_CMAB!$D$24,Inputs!$I$131:$M$131,0))),0)+
IFERROR((INDEX(OP_TotalRates_RES_2[[Ausnet]:[United Energy]],MATCH("Single rate",OP_TotalRates_RES_2[[Rate name]:[Rate name]],0),MATCH(OP_CMAB!H$31,OP_TotalRates_RES_2[[#Headers],[Ausnet]:[United Energy]],0))*
INDEX(Input_Usage[[F-CurrentVDO_Input]:[F-NextVDO_Input]],MATCH(OP_CMAB!$D32&amp;" - Annual",Input_Usage[[Ref]:[Ref]],0),MATCH(OP_CMAB!$D$24,Inputs!$I$131:$M$131,0))),0)),0),
ROUNDUP(
(INDEX(OP_Rates_RES_2[[Ausnet]:[United Energy]],MATCH("TOU - supply",OP_Rates_RES_2[[Rate name]:[Rate name]],0),MATCH(OP_CMAB!H$31,OP_Rates_RES_2[[#Headers],[Ausnet]:[United Energy]],0))*DiY)+
(INDEX(OP_RatesTU_RES_2[[Ausnet]:[United Energy]],MATCH("TOU",OP_RatesTU_RES_2[[Rate name]:[Rate name]],0),MATCH(OP_CMAB!H$31,OP_RatesTU_RES_2[[#Headers],[Ausnet]:[United Energy]],0))*$H$27)+
(INDEX(OP_TotalRates_RES_2[[Ausnet]:[United Energy]],MATCH("Peak",OP_TotalRates_RES_2[[Rate name]:[Rate name]],0),MATCH(OP_CMAB!H$31,OP_TotalRates_RES_2[[#Headers],[Ausnet]:[United Energy]],0))*
INDEX(Input_Usage[[F-CurrentVDO_Input]:[F-NextVDO_Input]],MATCH($D32&amp;" - Peak",Input_Usage[[Ref]:[Ref]],0),MATCH($D$24,Inputs!$I$131:$M$131,0)))+
IFERROR((INDEX(OP_TotalRates_RES_2[[Ausnet]:[United Energy]],MATCH("TOU - Shoulder",OP_TotalRates_RES_2[[Rate name]:[Rate name]],0),MATCH(OP_CMAB!H$31,OP_TotalRates_RES_2[[#Headers],[Ausnet]:[United Energy]],0))*
INDEX(Input_Usage[[F-CurrentVDO_Input]:[F-NextVDO_Input]],MATCH($D32&amp;" - Shoulder",Input_Usage[[Ref]:[Ref]],0),MATCH($D$24,Inputs!$I$131:$M$131,0))),0)+
(INDEX(OP_TotalRates_RES_2[[Ausnet]:[United Energy]],MATCH("Off peak",OP_TotalRates_RES_2[[Rate name]:[Rate name]],0),MATCH(OP_CMAB!H$31,OP_TotalRates_RES_2[[#Headers],[Ausnet]:[United Energy]],0))*
INDEX(Input_Usage[[F-CurrentVDO_Input]:[F-NextVDO_Input]],MATCH($D32&amp;" - Off peak",Input_Usage[[Ref]:[Ref]],0),MATCH($D$24,Inputs!$I$131:$M$131,0))),0)),"-")</calculatedColumnFormula>
    </tableColumn>
    <tableColumn id="7" xr3:uid="{B2B5B815-02E0-4F29-934A-9D7CE200BE7C}" name="United Energy">
      <calculatedColumnFormula>IFERROR(
IF($D$24="VDO 2021 - Final",
ROUNDUP(
(INDEX(OP_Rates_RES_2[[Ausnet]:[United Energy]],MATCH("Anytime - supply",OP_Rates_RES_2[[Rate name]:[Rate name]],0),MATCH(OP_CMAB!I$31,OP_Rates_RES_2[[#Headers],[Ausnet]:[United Energy]],0))*DiY)+
(INDEX(OP_RatesTU_RES_2[[Ausnet]:[United Energy]],MATCH("Anytime",OP_RatesTU_RES_2[[Rate name]:[Rate name]],0),MATCH(OP_CMAB!I$31,OP_RatesTU_RES_2[[#Headers],[Ausnet]:[United Energy]],0))*$H$27)+
(IFERROR((INDEX(OP_TotalRates_RES_2[[Ausnet]:[United Energy]],MATCH("Block 1",OP_TotalRates_RES_2[[Rate name]:[Rate name]],0),MATCH(OP_CMAB!I$31,OP_TotalRates_RES_2[[#Headers],[Ausnet]:[United Energy]],0))*
INDEX(Input_Usage[[F-CurrentVDO_Input]:[F-NextVDO_Input]],MATCH(OP_CMAB!$D32&amp;" - Block 1",Input_Usage[[Ref]:[Ref]],0),MATCH(OP_CMAB!$D$24,Inputs!$I$131:$M$131,0))),0)+
IFERROR((INDEX(OP_TotalRates_RES_2[[Ausnet]:[United Energy]],MATCH("Balance",OP_TotalRates_RES_2[[Rate name]:[Rate name]],0),MATCH(OP_CMAB!I$31,OP_TotalRates_RES_2[[#Headers],[Ausnet]:[United Energy]],0))*
INDEX(Input_Usage[[F-CurrentVDO_Input]:[F-NextVDO_Input]],MATCH(OP_CMAB!$D32&amp;" - Balance",Input_Usage[[Ref]:[Ref]],0),MATCH(OP_CMAB!$D$24,Inputs!$I$131:$M$131,0))),0)+
IFERROR((INDEX(OP_TotalRates_RES_2[[Ausnet]:[United Energy]],MATCH("Single rate",OP_TotalRates_RES_2[[Rate name]:[Rate name]],0),MATCH(OP_CMAB!I$31,OP_TotalRates_RES_2[[#Headers],[Ausnet]:[United Energy]],0))*
INDEX(Input_Usage[[F-CurrentVDO_Input]:[F-NextVDO_Input]],MATCH(OP_CMAB!$D32&amp;" - Annual",Input_Usage[[Ref]:[Ref]],0),MATCH(OP_CMAB!$D$24,Inputs!$I$131:$M$131,0))),0)),0),
ROUNDUP(
(INDEX(OP_Rates_RES_2[[Ausnet]:[United Energy]],MATCH("TOU - supply",OP_Rates_RES_2[[Rate name]:[Rate name]],0),MATCH(OP_CMAB!I$31,OP_Rates_RES_2[[#Headers],[Ausnet]:[United Energy]],0))*DiY)+
(INDEX(OP_RatesTU_RES_2[[Ausnet]:[United Energy]],MATCH("TOU",OP_RatesTU_RES_2[[Rate name]:[Rate name]],0),MATCH(OP_CMAB!I$31,OP_RatesTU_RES_2[[#Headers],[Ausnet]:[United Energy]],0))*$H$27)+
(INDEX(OP_TotalRates_RES_2[[Ausnet]:[United Energy]],MATCH("Peak",OP_TotalRates_RES_2[[Rate name]:[Rate name]],0),MATCH(OP_CMAB!I$31,OP_TotalRates_RES_2[[#Headers],[Ausnet]:[United Energy]],0))*
INDEX(Input_Usage[[F-CurrentVDO_Input]:[F-NextVDO_Input]],MATCH($D32&amp;" - Peak",Input_Usage[[Ref]:[Ref]],0),MATCH($D$24,Inputs!$I$131:$M$131,0)))+
IFERROR((INDEX(OP_TotalRates_RES_2[[Ausnet]:[United Energy]],MATCH("TOU - Shoulder",OP_TotalRates_RES_2[[Rate name]:[Rate name]],0),MATCH(OP_CMAB!I$31,OP_TotalRates_RES_2[[#Headers],[Ausnet]:[United Energy]],0))*
INDEX(Input_Usage[[F-CurrentVDO_Input]:[F-NextVDO_Input]],MATCH($D32&amp;" - Shoulder",Input_Usage[[Ref]:[Ref]],0),MATCH($D$24,Inputs!$I$131:$M$131,0))),0)+
(INDEX(OP_TotalRates_RES_2[[Ausnet]:[United Energy]],MATCH("Off peak",OP_TotalRates_RES_2[[Rate name]:[Rate name]],0),MATCH(OP_CMAB!I$31,OP_TotalRates_RES_2[[#Headers],[Ausnet]:[United Energy]],0))*
INDEX(Input_Usage[[F-CurrentVDO_Input]:[F-NextVDO_Input]],MATCH($D32&amp;" - Off peak",Input_Usage[[Ref]:[Ref]],0),MATCH($D$24,Inputs!$I$131:$M$131,0))),0)),"-")</calculatedColumnFormula>
    </tableColumn>
  </tableColumns>
  <tableStyleInfo name="Default tabl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2B6EB15-85B8-4ABE-85ED-496C073FF8CC}" name="CMAB_SME_2" displayName="CMAB_SME_2" ref="K31:Q34" totalsRowShown="0" headerRowDxfId="4" headerRowBorderDxfId="3" tableBorderDxfId="2" totalsRowBorderDxfId="1" headerRowCellStyle="Table col heading">
  <tableColumns count="7">
    <tableColumn id="1" xr3:uid="{EB6D28E3-1A73-4D41-A3B3-303EF3024DE7}" name="Customer type"/>
    <tableColumn id="2" xr3:uid="{CA13CB67-97D3-4228-93C6-A787A23F3C77}" name="Usage profile"/>
    <tableColumn id="3" xr3:uid="{BFA9E2A1-209A-4C28-9214-5A6338FB6F5D}" name="Ausnet" dataDxfId="0" dataCellStyle="Table cell">
      <calculatedColumnFormula>IFERROR(
IF($D$24="VDO 2021 - Final",
ROUNDUP(
(INDEX(OP_Rates_SME_2[[Ausnet]:[United Energy]],MATCH("Anytime - supply",OP_Rates_SME_2[[Rate name]:[Rate name]],0),MATCH(OP_CMAB!M$31,OP_Rates_SME_2[[#Headers],[Ausnet]:[United Energy]],0))*DiY)+
(INDEX(OP_RatesTU_SME_2[[Ausnet]:[United Energy]],MATCH("Anytime",OP_RatesTU_SME_2[[Rate name]:[Rate name]],0),MATCH(OP_CMAB!M$31,OP_RatesTU_SME_2[[#Headers],[Ausnet]:[United Energy]],0))*$H$27)+
(IFERROR((INDEX(OP_TotalRates_SME_2[[Ausnet]:[United Energy]],MATCH("Block 1",OP_TotalRates_SME_2[[Rate name]:[Rate name]],0),MATCH(OP_CMAB!M$31,OP_TotalRates_SME_2[[#Headers],[Ausnet]:[United Energy]],0))*
INDEX(Input_Usage[[F-CurrentVDO_Input]:[F-NextVDO_Input]],MATCH(OP_CMAB!$L32&amp;" - Block 1",Input_Usage[[Ref]:[Ref]],0),MATCH(OP_CMAB!$D$24,Inputs!$I$131:$M$131,0))),0)+
IFERROR((INDEX(OP_TotalRates_SME_2[[Ausnet]:[United Energy]],MATCH("Balance",OP_TotalRates_SME_2[[Rate name]:[Rate name]],0),MATCH(OP_CMAB!M$31,OP_TotalRates_SME_2[[#Headers],[Ausnet]:[United Energy]],0))*
INDEX(Input_Usage[[F-CurrentVDO_Input]:[F-NextVDO_Input]],MATCH(OP_CMAB!$L32&amp;" - Balance",Input_Usage[[Ref]:[Ref]],0),MATCH(OP_CMAB!$D$24,Inputs!$I$131:$M$131,0))),0)+
IFERROR((INDEX(OP_TotalRates_SME_2[[Ausnet]:[United Energy]],MATCH("Single rate",OP_TotalRates_SME_2[[Rate name]:[Rate name]],0),MATCH(OP_CMAB!M$31,OP_TotalRates_SME_2[[#Headers],[Ausnet]:[United Energy]],0))*
INDEX(Input_Usage[[F-CurrentVDO_Input]:[F-NextVDO_Input]],MATCH(OP_CMAB!$L32&amp;" - Annual",Input_Usage[[Ref]:[Ref]],0),MATCH(OP_CMAB!$D$24,Inputs!$I$131:$M$131,0))),0)),0),
ROUNDUP(
(INDEX(OP_Rates_SME_2[[Ausnet]:[United Energy]],MATCH("TOU - supply",OP_Rates_SME_2[[Rate name]:[Rate name]],0),MATCH(OP_CMAB!M$31,OP_Rates_SME_2[[#Headers],[Ausnet]:[United Energy]],0))*DiY)+
(INDEX(OP_RatesTU_SME_2[[Ausnet]:[United Energy]],MATCH("TOU",OP_RatesTU_SME_2[[Rate name]:[Rate name]],0),MATCH(OP_CMAB!M$31,OP_RatesTU_SME_2[[#Headers],[Ausnet]:[United Energy]],0))*$H$27)+
(INDEX(OP_TotalRates_SME_2[[Ausnet]:[United Energy]],MATCH("Peak",OP_TotalRates_SME_2[[Rate name]:[Rate name]],0),MATCH(OP_CMAB!M$31,OP_TotalRates_SME_2[[#Headers],[Ausnet]:[United Energy]],0))*
INDEX(Input_Usage[[F-CurrentVDO_Input]:[F-NextVDO_Input]],MATCH($L32&amp;" - Peak",Input_Usage[[Ref]:[Ref]],0),MATCH($D$24,Inputs!$I$131:$M$131,0)))+
IFERROR((INDEX(OP_TotalRates_SME_2[[Ausnet]:[United Energy]],MATCH("TOU - Shoulder",OP_TotalRates_SME_2[[Rate name]:[Rate name]],0),MATCH(OP_CMAB!M$31,OP_TotalRates_SME_2[[#Headers],[Ausnet]:[United Energy]],0))*
INDEX(Input_Usage[[F-CurrentVDO_Input]:[F-NextVDO_Input]],MATCH($L32&amp;" - Shoulder",Input_Usage[[Ref]:[Ref]],0),MATCH($D$24,Inputs!$I$131:$M$131,0))),0)+
(INDEX(OP_TotalRates_SME_2[[Ausnet]:[United Energy]],MATCH("Off peak",OP_TotalRates_SME_2[[Rate name]:[Rate name]],0),MATCH(OP_CMAB!M$31,OP_TotalRates_SME_2[[#Headers],[Ausnet]:[United Energy]],0))*
INDEX(Input_Usage[[F-CurrentVDO_Input]:[F-NextVDO_Input]],MATCH($L32&amp;" - Off peak",Input_Usage[[Ref]:[Ref]],0),MATCH($D$24,Inputs!$I$131:$M$131,0))),0)),"-")</calculatedColumnFormula>
    </tableColumn>
    <tableColumn id="4" xr3:uid="{F0FD9595-8EE1-48EF-9F82-FA7DBD8C7508}" name="Citipower">
      <calculatedColumnFormula>IFERROR(
IF($D$24="VDO 2021 - Final",
ROUNDUP(
(INDEX(OP_Rates_SME_2[[Ausnet]:[United Energy]],MATCH("Anytime - supply",OP_Rates_SME_2[[Rate name]:[Rate name]],0),MATCH(OP_CMAB!N$31,OP_Rates_SME_2[[#Headers],[Ausnet]:[United Energy]],0))*DiY)+
(INDEX(OP_RatesTU_SME_2[[Ausnet]:[United Energy]],MATCH("Anytime",OP_RatesTU_SME_2[[Rate name]:[Rate name]],0),MATCH(OP_CMAB!N$31,OP_RatesTU_SME_2[[#Headers],[Ausnet]:[United Energy]],0))*$H$27)+
(IFERROR((INDEX(OP_TotalRates_SME_2[[Ausnet]:[United Energy]],MATCH("Block 1",OP_TotalRates_SME_2[[Rate name]:[Rate name]],0),MATCH(OP_CMAB!N$31,OP_TotalRates_SME_2[[#Headers],[Ausnet]:[United Energy]],0))*
INDEX(Input_Usage[[F-CurrentVDO_Input]:[F-NextVDO_Input]],MATCH(OP_CMAB!$L32&amp;" - Block 1",Input_Usage[[Ref]:[Ref]],0),MATCH(OP_CMAB!$D$24,Inputs!$I$131:$M$131,0))),0)+
IFERROR((INDEX(OP_TotalRates_SME_2[[Ausnet]:[United Energy]],MATCH("Balance",OP_TotalRates_SME_2[[Rate name]:[Rate name]],0),MATCH(OP_CMAB!N$31,OP_TotalRates_SME_2[[#Headers],[Ausnet]:[United Energy]],0))*
INDEX(Input_Usage[[F-CurrentVDO_Input]:[F-NextVDO_Input]],MATCH(OP_CMAB!$L32&amp;" - Balance",Input_Usage[[Ref]:[Ref]],0),MATCH(OP_CMAB!$D$24,Inputs!$I$131:$M$131,0))),0)+
IFERROR((INDEX(OP_TotalRates_SME_2[[Ausnet]:[United Energy]],MATCH("Single rate",OP_TotalRates_SME_2[[Rate name]:[Rate name]],0),MATCH(OP_CMAB!N$31,OP_TotalRates_SME_2[[#Headers],[Ausnet]:[United Energy]],0))*
INDEX(Input_Usage[[F-CurrentVDO_Input]:[F-NextVDO_Input]],MATCH(OP_CMAB!$L32&amp;" - Annual",Input_Usage[[Ref]:[Ref]],0),MATCH(OP_CMAB!$D$24,Inputs!$I$131:$M$131,0))),0)),0),
ROUNDUP(
(INDEX(OP_Rates_SME_2[[Ausnet]:[United Energy]],MATCH("TOU - supply",OP_Rates_SME_2[[Rate name]:[Rate name]],0),MATCH(OP_CMAB!N$31,OP_Rates_SME_2[[#Headers],[Ausnet]:[United Energy]],0))*DiY)+
(INDEX(OP_RatesTU_SME_2[[Ausnet]:[United Energy]],MATCH("TOU",OP_RatesTU_SME_2[[Rate name]:[Rate name]],0),MATCH(OP_CMAB!N$31,OP_RatesTU_SME_2[[#Headers],[Ausnet]:[United Energy]],0))*$H$27)+
(INDEX(OP_TotalRates_SME_2[[Ausnet]:[United Energy]],MATCH("Peak",OP_TotalRates_SME_2[[Rate name]:[Rate name]],0),MATCH(OP_CMAB!N$31,OP_TotalRates_SME_2[[#Headers],[Ausnet]:[United Energy]],0))*
INDEX(Input_Usage[[F-CurrentVDO_Input]:[F-NextVDO_Input]],MATCH($L32&amp;" - Peak",Input_Usage[[Ref]:[Ref]],0),MATCH($D$24,Inputs!$I$131:$M$131,0)))+
IFERROR((INDEX(OP_TotalRates_SME_2[[Ausnet]:[United Energy]],MATCH("TOU - Shoulder",OP_TotalRates_SME_2[[Rate name]:[Rate name]],0),MATCH(OP_CMAB!N$31,OP_TotalRates_SME_2[[#Headers],[Ausnet]:[United Energy]],0))*
INDEX(Input_Usage[[F-CurrentVDO_Input]:[F-NextVDO_Input]],MATCH($L32&amp;" - Shoulder",Input_Usage[[Ref]:[Ref]],0),MATCH($D$24,Inputs!$I$131:$M$131,0))),0)+
(INDEX(OP_TotalRates_SME_2[[Ausnet]:[United Energy]],MATCH("Off peak",OP_TotalRates_SME_2[[Rate name]:[Rate name]],0),MATCH(OP_CMAB!N$31,OP_TotalRates_SME_2[[#Headers],[Ausnet]:[United Energy]],0))*
INDEX(Input_Usage[[F-CurrentVDO_Input]:[F-NextVDO_Input]],MATCH($L32&amp;" - Off peak",Input_Usage[[Ref]:[Ref]],0),MATCH($D$24,Inputs!$I$131:$M$131,0))),0)),"-")</calculatedColumnFormula>
    </tableColumn>
    <tableColumn id="5" xr3:uid="{A1C73988-CF22-4DE8-B89F-4E0985EF1E42}" name="Jemena">
      <calculatedColumnFormula>IFERROR(
IF($D$24="VDO 2021 - Final",
ROUNDUP(
(INDEX(OP_Rates_SME_2[[Ausnet]:[United Energy]],MATCH("Anytime - supply",OP_Rates_SME_2[[Rate name]:[Rate name]],0),MATCH(OP_CMAB!O$31,OP_Rates_SME_2[[#Headers],[Ausnet]:[United Energy]],0))*DiY)+
(INDEX(OP_RatesTU_SME_2[[Ausnet]:[United Energy]],MATCH("Anytime",OP_RatesTU_SME_2[[Rate name]:[Rate name]],0),MATCH(OP_CMAB!O$31,OP_RatesTU_SME_2[[#Headers],[Ausnet]:[United Energy]],0))*$H$27)+
(IFERROR((INDEX(OP_TotalRates_SME_2[[Ausnet]:[United Energy]],MATCH("Block 1",OP_TotalRates_SME_2[[Rate name]:[Rate name]],0),MATCH(OP_CMAB!O$31,OP_TotalRates_SME_2[[#Headers],[Ausnet]:[United Energy]],0))*
INDEX(Input_Usage[[F-CurrentVDO_Input]:[F-NextVDO_Input]],MATCH(OP_CMAB!$L32&amp;" - Block 1",Input_Usage[[Ref]:[Ref]],0),MATCH(OP_CMAB!$D$24,Inputs!$I$131:$M$131,0))),0)+
IFERROR((INDEX(OP_TotalRates_SME_2[[Ausnet]:[United Energy]],MATCH("Balance",OP_TotalRates_SME_2[[Rate name]:[Rate name]],0),MATCH(OP_CMAB!O$31,OP_TotalRates_SME_2[[#Headers],[Ausnet]:[United Energy]],0))*
INDEX(Input_Usage[[F-CurrentVDO_Input]:[F-NextVDO_Input]],MATCH(OP_CMAB!$L32&amp;" - Balance",Input_Usage[[Ref]:[Ref]],0),MATCH(OP_CMAB!$D$24,Inputs!$I$131:$M$131,0))),0)+
IFERROR((INDEX(OP_TotalRates_SME_2[[Ausnet]:[United Energy]],MATCH("Single rate",OP_TotalRates_SME_2[[Rate name]:[Rate name]],0),MATCH(OP_CMAB!O$31,OP_TotalRates_SME_2[[#Headers],[Ausnet]:[United Energy]],0))*
INDEX(Input_Usage[[F-CurrentVDO_Input]:[F-NextVDO_Input]],MATCH(OP_CMAB!$L32&amp;" - Annual",Input_Usage[[Ref]:[Ref]],0),MATCH(OP_CMAB!$D$24,Inputs!$I$131:$M$131,0))),0)),0),
ROUNDUP(
(INDEX(OP_Rates_SME_2[[Ausnet]:[United Energy]],MATCH("TOU - supply",OP_Rates_SME_2[[Rate name]:[Rate name]],0),MATCH(OP_CMAB!O$31,OP_Rates_SME_2[[#Headers],[Ausnet]:[United Energy]],0))*DiY)+
(INDEX(OP_RatesTU_SME_2[[Ausnet]:[United Energy]],MATCH("TOU",OP_RatesTU_SME_2[[Rate name]:[Rate name]],0),MATCH(OP_CMAB!O$31,OP_RatesTU_SME_2[[#Headers],[Ausnet]:[United Energy]],0))*$H$27)+
(INDEX(OP_TotalRates_SME_2[[Ausnet]:[United Energy]],MATCH("Peak",OP_TotalRates_SME_2[[Rate name]:[Rate name]],0),MATCH(OP_CMAB!O$31,OP_TotalRates_SME_2[[#Headers],[Ausnet]:[United Energy]],0))*
INDEX(Input_Usage[[F-CurrentVDO_Input]:[F-NextVDO_Input]],MATCH($L32&amp;" - Peak",Input_Usage[[Ref]:[Ref]],0),MATCH($D$24,Inputs!$I$131:$M$131,0)))+
IFERROR((INDEX(OP_TotalRates_SME_2[[Ausnet]:[United Energy]],MATCH("TOU - Shoulder",OP_TotalRates_SME_2[[Rate name]:[Rate name]],0),MATCH(OP_CMAB!O$31,OP_TotalRates_SME_2[[#Headers],[Ausnet]:[United Energy]],0))*
INDEX(Input_Usage[[F-CurrentVDO_Input]:[F-NextVDO_Input]],MATCH($L32&amp;" - Shoulder",Input_Usage[[Ref]:[Ref]],0),MATCH($D$24,Inputs!$I$131:$M$131,0))),0)+
(INDEX(OP_TotalRates_SME_2[[Ausnet]:[United Energy]],MATCH("Off peak",OP_TotalRates_SME_2[[Rate name]:[Rate name]],0),MATCH(OP_CMAB!O$31,OP_TotalRates_SME_2[[#Headers],[Ausnet]:[United Energy]],0))*
INDEX(Input_Usage[[F-CurrentVDO_Input]:[F-NextVDO_Input]],MATCH($L32&amp;" - Off peak",Input_Usage[[Ref]:[Ref]],0),MATCH($D$24,Inputs!$I$131:$M$131,0))),0)),"-")</calculatedColumnFormula>
    </tableColumn>
    <tableColumn id="6" xr3:uid="{E32519FF-66CE-4885-AE63-4D241C844B94}" name="Powercor">
      <calculatedColumnFormula>IFERROR(
IF($D$24="VDO 2021 - Final",
ROUNDUP(
(INDEX(OP_Rates_SME_2[[Ausnet]:[United Energy]],MATCH("Anytime - supply",OP_Rates_SME_2[[Rate name]:[Rate name]],0),MATCH(OP_CMAB!P$31,OP_Rates_SME_2[[#Headers],[Ausnet]:[United Energy]],0))*DiY)+
(INDEX(OP_RatesTU_SME_2[[Ausnet]:[United Energy]],MATCH("Anytime",OP_RatesTU_SME_2[[Rate name]:[Rate name]],0),MATCH(OP_CMAB!P$31,OP_RatesTU_SME_2[[#Headers],[Ausnet]:[United Energy]],0))*$H$27)+
(IFERROR((INDEX(OP_TotalRates_SME_2[[Ausnet]:[United Energy]],MATCH("Block 1",OP_TotalRates_SME_2[[Rate name]:[Rate name]],0),MATCH(OP_CMAB!P$31,OP_TotalRates_SME_2[[#Headers],[Ausnet]:[United Energy]],0))*
INDEX(Input_Usage[[F-CurrentVDO_Input]:[F-NextVDO_Input]],MATCH(OP_CMAB!$L32&amp;" - Block 1",Input_Usage[[Ref]:[Ref]],0),MATCH(OP_CMAB!$D$24,Inputs!$I$131:$M$131,0))),0)+
IFERROR((INDEX(OP_TotalRates_SME_2[[Ausnet]:[United Energy]],MATCH("Balance",OP_TotalRates_SME_2[[Rate name]:[Rate name]],0),MATCH(OP_CMAB!P$31,OP_TotalRates_SME_2[[#Headers],[Ausnet]:[United Energy]],0))*
INDEX(Input_Usage[[F-CurrentVDO_Input]:[F-NextVDO_Input]],MATCH(OP_CMAB!$L32&amp;" - Balance",Input_Usage[[Ref]:[Ref]],0),MATCH(OP_CMAB!$D$24,Inputs!$I$131:$M$131,0))),0)+
IFERROR((INDEX(OP_TotalRates_SME_2[[Ausnet]:[United Energy]],MATCH("Single rate",OP_TotalRates_SME_2[[Rate name]:[Rate name]],0),MATCH(OP_CMAB!P$31,OP_TotalRates_SME_2[[#Headers],[Ausnet]:[United Energy]],0))*
INDEX(Input_Usage[[F-CurrentVDO_Input]:[F-NextVDO_Input]],MATCH(OP_CMAB!$L32&amp;" - Annual",Input_Usage[[Ref]:[Ref]],0),MATCH(OP_CMAB!$D$24,Inputs!$I$131:$M$131,0))),0)),0),
ROUNDUP(
(INDEX(OP_Rates_SME_2[[Ausnet]:[United Energy]],MATCH("TOU - supply",OP_Rates_SME_2[[Rate name]:[Rate name]],0),MATCH(OP_CMAB!P$31,OP_Rates_SME_2[[#Headers],[Ausnet]:[United Energy]],0))*DiY)+
(INDEX(OP_RatesTU_SME_2[[Ausnet]:[United Energy]],MATCH("TOU",OP_RatesTU_SME_2[[Rate name]:[Rate name]],0),MATCH(OP_CMAB!P$31,OP_RatesTU_SME_2[[#Headers],[Ausnet]:[United Energy]],0))*$H$27)+
(INDEX(OP_TotalRates_SME_2[[Ausnet]:[United Energy]],MATCH("Peak",OP_TotalRates_SME_2[[Rate name]:[Rate name]],0),MATCH(OP_CMAB!P$31,OP_TotalRates_SME_2[[#Headers],[Ausnet]:[United Energy]],0))*
INDEX(Input_Usage[[F-CurrentVDO_Input]:[F-NextVDO_Input]],MATCH($L32&amp;" - Peak",Input_Usage[[Ref]:[Ref]],0),MATCH($D$24,Inputs!$I$131:$M$131,0)))+
IFERROR((INDEX(OP_TotalRates_SME_2[[Ausnet]:[United Energy]],MATCH("TOU - Shoulder",OP_TotalRates_SME_2[[Rate name]:[Rate name]],0),MATCH(OP_CMAB!P$31,OP_TotalRates_SME_2[[#Headers],[Ausnet]:[United Energy]],0))*
INDEX(Input_Usage[[F-CurrentVDO_Input]:[F-NextVDO_Input]],MATCH($L32&amp;" - Shoulder",Input_Usage[[Ref]:[Ref]],0),MATCH($D$24,Inputs!$I$131:$M$131,0))),0)+
(INDEX(OP_TotalRates_SME_2[[Ausnet]:[United Energy]],MATCH("Off peak",OP_TotalRates_SME_2[[Rate name]:[Rate name]],0),MATCH(OP_CMAB!P$31,OP_TotalRates_SME_2[[#Headers],[Ausnet]:[United Energy]],0))*
INDEX(Input_Usage[[F-CurrentVDO_Input]:[F-NextVDO_Input]],MATCH($L32&amp;" - Off peak",Input_Usage[[Ref]:[Ref]],0),MATCH($D$24,Inputs!$I$131:$M$131,0))),0)),"-")</calculatedColumnFormula>
    </tableColumn>
    <tableColumn id="7" xr3:uid="{D4FA680B-83F1-49AE-83A4-2615571ED201}" name="United Energy">
      <calculatedColumnFormula>IFERROR(
IF($D$24="VDO 2021 - Final",
ROUNDUP(
(INDEX(OP_Rates_SME_2[[Ausnet]:[United Energy]],MATCH("Anytime - supply",OP_Rates_SME_2[[Rate name]:[Rate name]],0),MATCH(OP_CMAB!Q$31,OP_Rates_SME_2[[#Headers],[Ausnet]:[United Energy]],0))*DiY)+
(INDEX(OP_RatesTU_SME_2[[Ausnet]:[United Energy]],MATCH("Anytime",OP_RatesTU_SME_2[[Rate name]:[Rate name]],0),MATCH(OP_CMAB!Q$31,OP_RatesTU_SME_2[[#Headers],[Ausnet]:[United Energy]],0))*$H$27)+
(IFERROR((INDEX(OP_TotalRates_SME_2[[Ausnet]:[United Energy]],MATCH("Block 1",OP_TotalRates_SME_2[[Rate name]:[Rate name]],0),MATCH(OP_CMAB!Q$31,OP_TotalRates_SME_2[[#Headers],[Ausnet]:[United Energy]],0))*
INDEX(Input_Usage[[F-CurrentVDO_Input]:[F-NextVDO_Input]],MATCH(OP_CMAB!$L32&amp;" - Block 1",Input_Usage[[Ref]:[Ref]],0),MATCH(OP_CMAB!$D$24,Inputs!$I$131:$M$131,0))),0)+
IFERROR((INDEX(OP_TotalRates_SME_2[[Ausnet]:[United Energy]],MATCH("Balance",OP_TotalRates_SME_2[[Rate name]:[Rate name]],0),MATCH(OP_CMAB!Q$31,OP_TotalRates_SME_2[[#Headers],[Ausnet]:[United Energy]],0))*
INDEX(Input_Usage[[F-CurrentVDO_Input]:[F-NextVDO_Input]],MATCH(OP_CMAB!$L32&amp;" - Balance",Input_Usage[[Ref]:[Ref]],0),MATCH(OP_CMAB!$D$24,Inputs!$I$131:$M$131,0))),0)+
IFERROR((INDEX(OP_TotalRates_SME_2[[Ausnet]:[United Energy]],MATCH("Single rate",OP_TotalRates_SME_2[[Rate name]:[Rate name]],0),MATCH(OP_CMAB!Q$31,OP_TotalRates_SME_2[[#Headers],[Ausnet]:[United Energy]],0))*
INDEX(Input_Usage[[F-CurrentVDO_Input]:[F-NextVDO_Input]],MATCH(OP_CMAB!$L32&amp;" - Annual",Input_Usage[[Ref]:[Ref]],0),MATCH(OP_CMAB!$D$24,Inputs!$I$131:$M$131,0))),0)),0),
ROUNDUP(
(INDEX(OP_Rates_SME_2[[Ausnet]:[United Energy]],MATCH("TOU - supply",OP_Rates_SME_2[[Rate name]:[Rate name]],0),MATCH(OP_CMAB!Q$31,OP_Rates_SME_2[[#Headers],[Ausnet]:[United Energy]],0))*DiY)+
(INDEX(OP_RatesTU_SME_2[[Ausnet]:[United Energy]],MATCH("TOU",OP_RatesTU_SME_2[[Rate name]:[Rate name]],0),MATCH(OP_CMAB!Q$31,OP_RatesTU_SME_2[[#Headers],[Ausnet]:[United Energy]],0))*$H$27)+
(INDEX(OP_TotalRates_SME_2[[Ausnet]:[United Energy]],MATCH("Peak",OP_TotalRates_SME_2[[Rate name]:[Rate name]],0),MATCH(OP_CMAB!Q$31,OP_TotalRates_SME_2[[#Headers],[Ausnet]:[United Energy]],0))*
INDEX(Input_Usage[[F-CurrentVDO_Input]:[F-NextVDO_Input]],MATCH($L32&amp;" - Peak",Input_Usage[[Ref]:[Ref]],0),MATCH($D$24,Inputs!$I$131:$M$131,0)))+
IFERROR((INDEX(OP_TotalRates_SME_2[[Ausnet]:[United Energy]],MATCH("TOU - Shoulder",OP_TotalRates_SME_2[[Rate name]:[Rate name]],0),MATCH(OP_CMAB!Q$31,OP_TotalRates_SME_2[[#Headers],[Ausnet]:[United Energy]],0))*
INDEX(Input_Usage[[F-CurrentVDO_Input]:[F-NextVDO_Input]],MATCH($L32&amp;" - Shoulder",Input_Usage[[Ref]:[Ref]],0),MATCH($D$24,Inputs!$I$131:$M$131,0))),0)+
(INDEX(OP_TotalRates_SME_2[[Ausnet]:[United Energy]],MATCH("Off peak",OP_TotalRates_SME_2[[Rate name]:[Rate name]],0),MATCH(OP_CMAB!Q$31,OP_TotalRates_SME_2[[#Headers],[Ausnet]:[United Energy]],0))*
INDEX(Input_Usage[[F-CurrentVDO_Input]:[F-NextVDO_Input]],MATCH($L32&amp;" - Off peak",Input_Usage[[Ref]:[Ref]],0),MATCH($D$24,Inputs!$I$131:$M$131,0))),0)),"-")</calculatedColumnFormula>
    </tableColumn>
  </tableColumns>
  <tableStyleInfo name="Default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7.xml"/><Relationship Id="rId13" Type="http://schemas.openxmlformats.org/officeDocument/2006/relationships/table" Target="../tables/table22.xml"/><Relationship Id="rId18" Type="http://schemas.openxmlformats.org/officeDocument/2006/relationships/table" Target="../tables/table27.xml"/><Relationship Id="rId26" Type="http://schemas.openxmlformats.org/officeDocument/2006/relationships/table" Target="../tables/table35.xml"/><Relationship Id="rId3" Type="http://schemas.openxmlformats.org/officeDocument/2006/relationships/table" Target="../tables/table12.xml"/><Relationship Id="rId21" Type="http://schemas.openxmlformats.org/officeDocument/2006/relationships/table" Target="../tables/table30.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5" Type="http://schemas.openxmlformats.org/officeDocument/2006/relationships/table" Target="../tables/table34.xml"/><Relationship Id="rId2" Type="http://schemas.openxmlformats.org/officeDocument/2006/relationships/table" Target="../tables/table11.xml"/><Relationship Id="rId16" Type="http://schemas.openxmlformats.org/officeDocument/2006/relationships/table" Target="../tables/table25.xml"/><Relationship Id="rId20" Type="http://schemas.openxmlformats.org/officeDocument/2006/relationships/table" Target="../tables/table29.xml"/><Relationship Id="rId29" Type="http://schemas.openxmlformats.org/officeDocument/2006/relationships/table" Target="../tables/table38.xml"/><Relationship Id="rId1" Type="http://schemas.openxmlformats.org/officeDocument/2006/relationships/printerSettings" Target="../printerSettings/printerSettings5.bin"/><Relationship Id="rId6" Type="http://schemas.openxmlformats.org/officeDocument/2006/relationships/table" Target="../tables/table15.xml"/><Relationship Id="rId11" Type="http://schemas.openxmlformats.org/officeDocument/2006/relationships/table" Target="../tables/table20.xml"/><Relationship Id="rId24" Type="http://schemas.openxmlformats.org/officeDocument/2006/relationships/table" Target="../tables/table33.xml"/><Relationship Id="rId5" Type="http://schemas.openxmlformats.org/officeDocument/2006/relationships/table" Target="../tables/table14.xml"/><Relationship Id="rId15" Type="http://schemas.openxmlformats.org/officeDocument/2006/relationships/table" Target="../tables/table24.xml"/><Relationship Id="rId23" Type="http://schemas.openxmlformats.org/officeDocument/2006/relationships/table" Target="../tables/table32.xml"/><Relationship Id="rId28" Type="http://schemas.openxmlformats.org/officeDocument/2006/relationships/table" Target="../tables/table37.xml"/><Relationship Id="rId10" Type="http://schemas.openxmlformats.org/officeDocument/2006/relationships/table" Target="../tables/table19.xml"/><Relationship Id="rId19" Type="http://schemas.openxmlformats.org/officeDocument/2006/relationships/table" Target="../tables/table28.xml"/><Relationship Id="rId31" Type="http://schemas.openxmlformats.org/officeDocument/2006/relationships/table" Target="../tables/table40.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 Id="rId22" Type="http://schemas.openxmlformats.org/officeDocument/2006/relationships/table" Target="../tables/table31.xml"/><Relationship Id="rId27" Type="http://schemas.openxmlformats.org/officeDocument/2006/relationships/table" Target="../tables/table36.xml"/><Relationship Id="rId30" Type="http://schemas.openxmlformats.org/officeDocument/2006/relationships/table" Target="../tables/table39.xml"/></Relationships>
</file>

<file path=xl/worksheets/_rels/sheet8.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table" Target="../tables/table41.xml"/><Relationship Id="rId1" Type="http://schemas.openxmlformats.org/officeDocument/2006/relationships/printerSettings" Target="../printerSettings/printerSettings6.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 Id="rId9" Type="http://schemas.openxmlformats.org/officeDocument/2006/relationships/table" Target="../tables/table48.xml"/></Relationships>
</file>

<file path=xl/worksheets/_rels/sheet9.xml.rels><?xml version="1.0" encoding="UTF-8" standalone="yes"?>
<Relationships xmlns="http://schemas.openxmlformats.org/package/2006/relationships"><Relationship Id="rId8" Type="http://schemas.openxmlformats.org/officeDocument/2006/relationships/table" Target="../tables/table55.xml"/><Relationship Id="rId3" Type="http://schemas.openxmlformats.org/officeDocument/2006/relationships/table" Target="../tables/table50.xml"/><Relationship Id="rId7" Type="http://schemas.openxmlformats.org/officeDocument/2006/relationships/table" Target="../tables/table54.xml"/><Relationship Id="rId2" Type="http://schemas.openxmlformats.org/officeDocument/2006/relationships/table" Target="../tables/table49.xml"/><Relationship Id="rId1" Type="http://schemas.openxmlformats.org/officeDocument/2006/relationships/printerSettings" Target="../printerSettings/printerSettings7.bin"/><Relationship Id="rId6" Type="http://schemas.openxmlformats.org/officeDocument/2006/relationships/table" Target="../tables/table53.xml"/><Relationship Id="rId5" Type="http://schemas.openxmlformats.org/officeDocument/2006/relationships/table" Target="../tables/table52.xml"/><Relationship Id="rId4" Type="http://schemas.openxmlformats.org/officeDocument/2006/relationships/table" Target="../tables/table51.xml"/><Relationship Id="rId9" Type="http://schemas.openxmlformats.org/officeDocument/2006/relationships/table" Target="../tables/table56.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64.xml"/><Relationship Id="rId3" Type="http://schemas.openxmlformats.org/officeDocument/2006/relationships/table" Target="../tables/table59.xml"/><Relationship Id="rId7" Type="http://schemas.openxmlformats.org/officeDocument/2006/relationships/table" Target="../tables/table63.xml"/><Relationship Id="rId12" Type="http://schemas.openxmlformats.org/officeDocument/2006/relationships/table" Target="../tables/table68.xml"/><Relationship Id="rId2" Type="http://schemas.openxmlformats.org/officeDocument/2006/relationships/table" Target="../tables/table58.xml"/><Relationship Id="rId1" Type="http://schemas.openxmlformats.org/officeDocument/2006/relationships/table" Target="../tables/table57.xml"/><Relationship Id="rId6" Type="http://schemas.openxmlformats.org/officeDocument/2006/relationships/table" Target="../tables/table62.xml"/><Relationship Id="rId11" Type="http://schemas.openxmlformats.org/officeDocument/2006/relationships/table" Target="../tables/table67.xml"/><Relationship Id="rId5" Type="http://schemas.openxmlformats.org/officeDocument/2006/relationships/table" Target="../tables/table61.xml"/><Relationship Id="rId10" Type="http://schemas.openxmlformats.org/officeDocument/2006/relationships/table" Target="../tables/table66.xml"/><Relationship Id="rId4" Type="http://schemas.openxmlformats.org/officeDocument/2006/relationships/table" Target="../tables/table60.xml"/><Relationship Id="rId9" Type="http://schemas.openxmlformats.org/officeDocument/2006/relationships/table" Target="../tables/table6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table" Target="../tables/table70.xml"/><Relationship Id="rId1" Type="http://schemas.openxmlformats.org/officeDocument/2006/relationships/table" Target="../tables/table69.xml"/><Relationship Id="rId4" Type="http://schemas.openxmlformats.org/officeDocument/2006/relationships/table" Target="../tables/table7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C9E0-BE5F-4892-896D-1BCD09BCAA16}">
  <sheetPr>
    <tabColor rgb="FF7F7F7F"/>
  </sheetPr>
  <dimension ref="B1:B29"/>
  <sheetViews>
    <sheetView showGridLines="0" tabSelected="1" workbookViewId="0">
      <selection activeCell="B37" sqref="B37"/>
    </sheetView>
  </sheetViews>
  <sheetFormatPr defaultRowHeight="15" x14ac:dyDescent="0.25"/>
  <cols>
    <col min="2" max="2" width="200.7109375" customWidth="1"/>
  </cols>
  <sheetData>
    <row r="1" spans="2:2" ht="28.5" x14ac:dyDescent="0.25">
      <c r="B1" s="28" t="s">
        <v>0</v>
      </c>
    </row>
    <row r="3" spans="2:2" ht="28.5" x14ac:dyDescent="0.25">
      <c r="B3" s="28" t="s">
        <v>1</v>
      </c>
    </row>
    <row r="5" spans="2:2" x14ac:dyDescent="0.25">
      <c r="B5" s="182" t="s">
        <v>373</v>
      </c>
    </row>
    <row r="6" spans="2:2" x14ac:dyDescent="0.25">
      <c r="B6" s="182"/>
    </row>
    <row r="7" spans="2:2" x14ac:dyDescent="0.25">
      <c r="B7" s="182"/>
    </row>
    <row r="8" spans="2:2" x14ac:dyDescent="0.25">
      <c r="B8" s="182"/>
    </row>
    <row r="9" spans="2:2" x14ac:dyDescent="0.25">
      <c r="B9" s="182"/>
    </row>
    <row r="10" spans="2:2" x14ac:dyDescent="0.25">
      <c r="B10" s="182"/>
    </row>
    <row r="11" spans="2:2" x14ac:dyDescent="0.25">
      <c r="B11" s="182"/>
    </row>
    <row r="12" spans="2:2" x14ac:dyDescent="0.25">
      <c r="B12" s="182"/>
    </row>
    <row r="13" spans="2:2" x14ac:dyDescent="0.25">
      <c r="B13" s="182"/>
    </row>
    <row r="14" spans="2:2" x14ac:dyDescent="0.25">
      <c r="B14" s="182"/>
    </row>
    <row r="15" spans="2:2" x14ac:dyDescent="0.25">
      <c r="B15" s="182"/>
    </row>
    <row r="16" spans="2:2" x14ac:dyDescent="0.25">
      <c r="B16" s="182"/>
    </row>
    <row r="17" spans="2:2" x14ac:dyDescent="0.25">
      <c r="B17" s="182"/>
    </row>
    <row r="18" spans="2:2" x14ac:dyDescent="0.25">
      <c r="B18" s="182"/>
    </row>
    <row r="19" spans="2:2" x14ac:dyDescent="0.25">
      <c r="B19" s="182"/>
    </row>
    <row r="20" spans="2:2" x14ac:dyDescent="0.25">
      <c r="B20" s="182"/>
    </row>
    <row r="21" spans="2:2" x14ac:dyDescent="0.25">
      <c r="B21" s="182"/>
    </row>
    <row r="22" spans="2:2" x14ac:dyDescent="0.25">
      <c r="B22" s="182"/>
    </row>
    <row r="23" spans="2:2" x14ac:dyDescent="0.25">
      <c r="B23" s="182"/>
    </row>
    <row r="24" spans="2:2" x14ac:dyDescent="0.25">
      <c r="B24" s="182"/>
    </row>
    <row r="25" spans="2:2" x14ac:dyDescent="0.25">
      <c r="B25" s="182"/>
    </row>
    <row r="26" spans="2:2" x14ac:dyDescent="0.25">
      <c r="B26" s="182"/>
    </row>
    <row r="27" spans="2:2" x14ac:dyDescent="0.25">
      <c r="B27" s="182"/>
    </row>
    <row r="28" spans="2:2" x14ac:dyDescent="0.25">
      <c r="B28" s="182"/>
    </row>
    <row r="29" spans="2:2" x14ac:dyDescent="0.25">
      <c r="B29" s="182"/>
    </row>
  </sheetData>
  <sheetProtection algorithmName="SHA-512" hashValue="Zy8KCJj23+cU3YJRX9uA6pqNlnkIpuykTnG8QFTqhDFWbjmMl314DNH0JL45ZzK5K+vrfSA3vs9LJub7LdJoCg==" saltValue="OAAqBoFabVRYdrW+Nv3Reg==" spinCount="100000" sheet="1" objects="1" scenarios="1"/>
  <mergeCells count="1">
    <mergeCell ref="B5: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0480C-27A2-4B3E-9741-0B6D9B41C818}">
  <sheetPr codeName="Sheet4">
    <tabColor rgb="FF7F7F7F"/>
  </sheetPr>
  <dimension ref="A1:FV23"/>
  <sheetViews>
    <sheetView showGridLines="0" zoomScaleNormal="100" workbookViewId="0">
      <pane xSplit="5" topLeftCell="F1" activePane="topRight" state="frozen"/>
      <selection pane="topRight" activeCell="E5" sqref="E5"/>
    </sheetView>
  </sheetViews>
  <sheetFormatPr defaultColWidth="9.140625" defaultRowHeight="15" zeroHeight="1" x14ac:dyDescent="0.25"/>
  <cols>
    <col min="1" max="1" width="5.7109375" style="15" customWidth="1"/>
    <col min="2" max="2" width="25.7109375" style="4" customWidth="1"/>
    <col min="3" max="3" width="50.7109375" style="4" customWidth="1"/>
    <col min="4" max="4" width="25.7109375" style="4" customWidth="1"/>
    <col min="5" max="5" width="75.7109375" style="4" customWidth="1"/>
    <col min="6" max="178" width="5.7109375" style="4" customWidth="1"/>
  </cols>
  <sheetData>
    <row r="1" spans="1:178" ht="24.95" customHeight="1" x14ac:dyDescent="0.25">
      <c r="A1" s="24"/>
      <c r="B1" s="19" t="str">
        <f>Disclaimer!$B$1</f>
        <v>VDO calculation model</v>
      </c>
      <c r="C1" s="19"/>
      <c r="D1" s="19"/>
      <c r="E1" s="19"/>
    </row>
    <row r="2" spans="1:178" ht="24.95" customHeight="1" x14ac:dyDescent="0.25">
      <c r="A2" s="21">
        <f ca="1">_xlfn.SHEET()</f>
        <v>2</v>
      </c>
      <c r="B2" s="20" t="s">
        <v>2</v>
      </c>
      <c r="C2" s="20"/>
      <c r="D2" s="20"/>
      <c r="E2" s="20"/>
    </row>
    <row r="3" spans="1:178" ht="24.95" customHeight="1" x14ac:dyDescent="0.25">
      <c r="A3" s="25"/>
      <c r="B3" s="3" t="s">
        <v>3</v>
      </c>
      <c r="C3" s="3" t="s">
        <v>4</v>
      </c>
      <c r="D3" s="3" t="s">
        <v>5</v>
      </c>
      <c r="E3" s="3" t="s">
        <v>6</v>
      </c>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row>
    <row r="4" spans="1:178" ht="30" customHeight="1" x14ac:dyDescent="0.25">
      <c r="A4" s="26"/>
      <c r="B4" s="9">
        <v>1</v>
      </c>
      <c r="C4" s="9" t="s">
        <v>7</v>
      </c>
      <c r="D4" s="181" t="s">
        <v>7</v>
      </c>
      <c r="E4" s="9" t="s">
        <v>8</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row>
    <row r="5" spans="1:178" ht="30" customHeight="1" x14ac:dyDescent="0.25">
      <c r="A5" s="26"/>
      <c r="B5" s="9">
        <f>B4+1</f>
        <v>2</v>
      </c>
      <c r="C5" s="9" t="s">
        <v>2</v>
      </c>
      <c r="D5" s="102" t="s">
        <v>2</v>
      </c>
      <c r="E5" s="9"/>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row>
    <row r="6" spans="1:178" ht="30" customHeight="1" x14ac:dyDescent="0.25">
      <c r="A6" s="26"/>
      <c r="B6" s="9">
        <f t="shared" ref="B6:B14" si="0">B5+1</f>
        <v>3</v>
      </c>
      <c r="C6" s="9" t="s">
        <v>10</v>
      </c>
      <c r="D6" s="181" t="s">
        <v>18</v>
      </c>
      <c r="E6" s="9" t="s">
        <v>11</v>
      </c>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row>
    <row r="7" spans="1:178" ht="30" customHeight="1" x14ac:dyDescent="0.25">
      <c r="A7" s="26"/>
      <c r="B7" s="9">
        <f t="shared" si="0"/>
        <v>4</v>
      </c>
      <c r="C7" s="9" t="s">
        <v>22</v>
      </c>
      <c r="D7" s="102" t="s">
        <v>22</v>
      </c>
      <c r="E7" s="9" t="s">
        <v>437</v>
      </c>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row>
    <row r="8" spans="1:178" ht="30" customHeight="1" x14ac:dyDescent="0.25">
      <c r="A8" s="26"/>
      <c r="B8" s="9">
        <f t="shared" si="0"/>
        <v>5</v>
      </c>
      <c r="C8" s="9" t="s">
        <v>13</v>
      </c>
      <c r="D8" s="181" t="s">
        <v>167</v>
      </c>
      <c r="E8" s="9" t="s">
        <v>14</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row>
    <row r="9" spans="1:178" ht="30" customHeight="1" x14ac:dyDescent="0.25">
      <c r="A9" s="26"/>
      <c r="B9" s="9">
        <f t="shared" si="0"/>
        <v>6</v>
      </c>
      <c r="C9" s="9" t="s">
        <v>185</v>
      </c>
      <c r="D9" s="102" t="s">
        <v>185</v>
      </c>
      <c r="E9" s="9" t="s">
        <v>443</v>
      </c>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row>
    <row r="10" spans="1:178" ht="30" customHeight="1" x14ac:dyDescent="0.25">
      <c r="A10" s="26"/>
      <c r="B10" s="9">
        <f t="shared" si="0"/>
        <v>7</v>
      </c>
      <c r="C10" s="9" t="s">
        <v>294</v>
      </c>
      <c r="D10" s="102" t="s">
        <v>294</v>
      </c>
      <c r="E10" s="9" t="s">
        <v>438</v>
      </c>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row>
    <row r="11" spans="1:178" ht="30" customHeight="1" x14ac:dyDescent="0.25">
      <c r="A11" s="26"/>
      <c r="B11" s="9">
        <f t="shared" si="0"/>
        <v>8</v>
      </c>
      <c r="C11" s="9" t="s">
        <v>435</v>
      </c>
      <c r="D11" s="102" t="s">
        <v>435</v>
      </c>
      <c r="E11" s="9" t="s">
        <v>440</v>
      </c>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row>
    <row r="12" spans="1:178" ht="30" customHeight="1" x14ac:dyDescent="0.25">
      <c r="A12" s="26"/>
      <c r="B12" s="9">
        <f t="shared" si="0"/>
        <v>9</v>
      </c>
      <c r="C12" s="9" t="s">
        <v>433</v>
      </c>
      <c r="D12" s="102" t="s">
        <v>433</v>
      </c>
      <c r="E12" s="9" t="s">
        <v>441</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row>
    <row r="13" spans="1:178" ht="30" customHeight="1" x14ac:dyDescent="0.25">
      <c r="A13" s="26"/>
      <c r="B13" s="9">
        <f t="shared" si="0"/>
        <v>10</v>
      </c>
      <c r="C13" s="9" t="s">
        <v>295</v>
      </c>
      <c r="D13" s="102" t="s">
        <v>295</v>
      </c>
      <c r="E13" s="9" t="s">
        <v>442</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row>
    <row r="14" spans="1:178" ht="30" customHeight="1" x14ac:dyDescent="0.25">
      <c r="A14" s="26"/>
      <c r="B14" s="9">
        <f t="shared" si="0"/>
        <v>11</v>
      </c>
      <c r="C14" s="9" t="s">
        <v>436</v>
      </c>
      <c r="D14" s="102" t="s">
        <v>436</v>
      </c>
      <c r="E14" s="9" t="s">
        <v>439</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row>
    <row r="15" spans="1:178" ht="30" customHeight="1" x14ac:dyDescent="0.25">
      <c r="A15" s="26"/>
      <c r="B15" s="9"/>
      <c r="C15" s="9"/>
      <c r="D15" s="11"/>
      <c r="E15" s="9"/>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row>
    <row r="16" spans="1:178" x14ac:dyDescent="0.25"/>
    <row r="17" x14ac:dyDescent="0.25"/>
    <row r="18" x14ac:dyDescent="0.25"/>
    <row r="19" x14ac:dyDescent="0.25"/>
    <row r="20" x14ac:dyDescent="0.25"/>
    <row r="21" x14ac:dyDescent="0.25"/>
    <row r="22" x14ac:dyDescent="0.25"/>
    <row r="23" x14ac:dyDescent="0.25"/>
  </sheetData>
  <sheetProtection algorithmName="SHA-512" hashValue="9/dqRHZXvXiwdjd38bHza0qVVH/j1grMTK6Wg53y4vqa12vn2C5WJA+cLqPPcLl7Fn+sE7G+1eSySGHxywE1GA==" saltValue="BoihOeT27m2wu++t40Ky0A==" spinCount="100000" sheet="1" objects="1" scenarios="1"/>
  <hyperlinks>
    <hyperlink ref="D4" location="Disclaimer!A1" display="Disclaimer" xr:uid="{F641B507-A06C-493B-9524-41BFB890C298}"/>
    <hyperlink ref="D5" location="Contents!A1" display="Contents" xr:uid="{D587FAE9-71E7-43A1-929F-D423F1AD9C66}"/>
    <hyperlink ref="D6" location="'User Guide'!A1" display="User Guide" xr:uid="{A3743301-522A-4F88-BCBC-A992E60847CF}"/>
    <hyperlink ref="D7" location="Inputs!A1" display="Inputs" xr:uid="{94E7DC09-6398-4668-8AEB-7ADFD0BA180A}"/>
    <hyperlink ref="D8" location="'General Assumptions'!A1" display="General Assumptions" xr:uid="{736E745F-A638-4588-97CE-B50F41FA4CAD}"/>
    <hyperlink ref="D9" location="'CPI'!A1" display="CPI" xr:uid="{B8D2B661-76F7-4514-B0F7-D608122EBA37}"/>
    <hyperlink ref="D10" location="Calc_Rates!A1" display="Calc_Rates" xr:uid="{44D89111-20D2-411B-A255-6F5AEDD99299}"/>
    <hyperlink ref="D11" location="Calc_TU_values!A1" display="Calc_TU_values" xr:uid="{E7937A86-0E96-4E3D-AB4E-CC72626A4537}"/>
    <hyperlink ref="D12" location="Calc_TU_rates!A1" display="Calc_TU_rates" xr:uid="{164E1D2B-3E53-449E-8514-B2220A13F862}"/>
    <hyperlink ref="D13" location="OP_Rates!A1" display="OP_Rates" xr:uid="{E59EF897-8D48-453A-92C9-D78DAEB8F478}"/>
    <hyperlink ref="D14" location="OP_CMAB!A1" display="OP_CMAB" xr:uid="{082EAA86-87C4-4AE9-85DC-B523D9B1911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FB62B-B199-4438-A2A9-1F344DBE1017}">
  <sheetPr>
    <tabColor rgb="FF7F7F7F"/>
  </sheetPr>
  <dimension ref="A1:Z79"/>
  <sheetViews>
    <sheetView showGridLines="0" topLeftCell="B1" zoomScale="85" zoomScaleNormal="85" workbookViewId="0">
      <pane ySplit="3" topLeftCell="A4" activePane="bottomLeft" state="frozen"/>
      <selection pane="bottomLeft" activeCell="C2" sqref="C2"/>
    </sheetView>
  </sheetViews>
  <sheetFormatPr defaultColWidth="9.140625" defaultRowHeight="15" outlineLevelCol="1" x14ac:dyDescent="0.25"/>
  <cols>
    <col min="1" max="1" width="100.7109375" hidden="1" customWidth="1" outlineLevel="1"/>
    <col min="2" max="2" width="10.7109375" style="6" customWidth="1" collapsed="1"/>
    <col min="3" max="3" width="50.7109375" customWidth="1"/>
    <col min="4" max="26" width="25.7109375" customWidth="1"/>
  </cols>
  <sheetData>
    <row r="1" spans="1:26" ht="15" customHeight="1" x14ac:dyDescent="0.25">
      <c r="A1" s="1" t="s">
        <v>16</v>
      </c>
      <c r="B1" s="16"/>
      <c r="C1" s="17"/>
      <c r="D1" s="17"/>
      <c r="E1" s="17"/>
      <c r="F1" s="17"/>
      <c r="G1" s="17"/>
      <c r="H1" s="17"/>
      <c r="I1" s="17"/>
      <c r="J1" s="17"/>
      <c r="K1" s="17"/>
      <c r="L1" s="17"/>
      <c r="M1" s="17"/>
      <c r="N1" s="17"/>
      <c r="O1" s="17"/>
      <c r="P1" s="17"/>
      <c r="Q1" s="17"/>
      <c r="R1" s="17"/>
      <c r="S1" s="17"/>
      <c r="T1" s="17"/>
      <c r="U1" s="17"/>
      <c r="V1" s="17"/>
      <c r="W1" s="17"/>
      <c r="X1" s="17"/>
      <c r="Y1" s="17"/>
      <c r="Z1" s="17"/>
    </row>
    <row r="2" spans="1:26" s="4" customFormat="1" ht="50.1" customHeight="1" x14ac:dyDescent="0.25">
      <c r="A2" s="183" t="s">
        <v>17</v>
      </c>
      <c r="B2" s="19"/>
      <c r="C2" s="19" t="str">
        <f>Disclaimer!$B$1</f>
        <v>VDO calculation model</v>
      </c>
      <c r="D2" s="19"/>
      <c r="E2" s="19"/>
      <c r="F2" s="19"/>
      <c r="G2" s="19"/>
      <c r="H2" s="19"/>
      <c r="I2" s="19"/>
      <c r="J2" s="19"/>
      <c r="K2" s="19"/>
      <c r="L2" s="19"/>
      <c r="M2" s="19"/>
      <c r="N2" s="19"/>
      <c r="O2" s="19"/>
      <c r="P2" s="19"/>
      <c r="Q2" s="19"/>
      <c r="R2" s="19"/>
      <c r="S2" s="19"/>
      <c r="T2" s="19"/>
      <c r="U2" s="19"/>
      <c r="V2" s="19"/>
      <c r="W2" s="19"/>
      <c r="X2" s="19"/>
      <c r="Y2" s="19"/>
      <c r="Z2" s="19"/>
    </row>
    <row r="3" spans="1:26" s="4" customFormat="1" ht="30" customHeight="1" x14ac:dyDescent="0.25">
      <c r="A3" s="183"/>
      <c r="B3" s="21">
        <f ca="1">_xlfn.SHEET()</f>
        <v>3</v>
      </c>
      <c r="C3" s="20" t="s">
        <v>18</v>
      </c>
      <c r="D3" s="20"/>
      <c r="E3" s="20"/>
      <c r="F3" s="20"/>
      <c r="G3" s="20"/>
      <c r="H3" s="20"/>
      <c r="I3" s="20"/>
      <c r="J3" s="20"/>
      <c r="K3" s="20"/>
      <c r="L3" s="20"/>
      <c r="M3" s="20"/>
      <c r="N3" s="20"/>
      <c r="O3" s="20"/>
      <c r="P3" s="20"/>
      <c r="Q3" s="20"/>
      <c r="R3" s="20"/>
      <c r="S3" s="20"/>
      <c r="T3" s="20"/>
      <c r="U3" s="20"/>
      <c r="V3" s="20"/>
      <c r="W3" s="20"/>
      <c r="X3" s="20"/>
      <c r="Y3" s="20"/>
      <c r="Z3" s="20"/>
    </row>
    <row r="4" spans="1:26" x14ac:dyDescent="0.25">
      <c r="B4"/>
    </row>
    <row r="5" spans="1:26" ht="16.5" thickBot="1" x14ac:dyDescent="0.3">
      <c r="A5" s="1" t="s">
        <v>19</v>
      </c>
      <c r="B5" s="7">
        <f ca="1">MAX(B$3:B4)+0.1</f>
        <v>3.1</v>
      </c>
      <c r="C5" s="22" t="s">
        <v>20</v>
      </c>
      <c r="D5" s="22"/>
      <c r="E5" s="22"/>
      <c r="F5" s="22"/>
      <c r="G5" s="22"/>
      <c r="H5" s="22"/>
      <c r="I5" s="22"/>
      <c r="J5" s="22"/>
      <c r="K5" s="22"/>
      <c r="L5" s="22"/>
      <c r="M5" s="22"/>
      <c r="N5" s="22"/>
      <c r="O5" s="22"/>
      <c r="P5" s="22"/>
      <c r="Q5" s="22"/>
      <c r="R5" s="22"/>
      <c r="S5" s="22"/>
      <c r="T5" s="22"/>
      <c r="U5" s="22"/>
      <c r="V5" s="22"/>
      <c r="W5" s="22"/>
      <c r="X5" s="22"/>
      <c r="Y5" s="22"/>
      <c r="Z5" s="22"/>
    </row>
    <row r="6" spans="1:26" x14ac:dyDescent="0.25">
      <c r="B6"/>
    </row>
    <row r="7" spans="1:26" x14ac:dyDescent="0.25">
      <c r="B7"/>
    </row>
    <row r="8" spans="1:26" x14ac:dyDescent="0.25">
      <c r="B8"/>
    </row>
    <row r="9" spans="1:26" x14ac:dyDescent="0.25">
      <c r="B9"/>
    </row>
    <row r="10" spans="1:26" x14ac:dyDescent="0.25">
      <c r="B10"/>
    </row>
    <row r="11" spans="1:26" x14ac:dyDescent="0.25">
      <c r="B11"/>
    </row>
    <row r="12" spans="1:26" x14ac:dyDescent="0.25">
      <c r="B12"/>
    </row>
    <row r="13" spans="1:26" x14ac:dyDescent="0.25">
      <c r="B13"/>
    </row>
    <row r="14" spans="1:26" x14ac:dyDescent="0.25">
      <c r="B14"/>
    </row>
    <row r="15" spans="1:26" x14ac:dyDescent="0.25">
      <c r="B15"/>
    </row>
    <row r="16" spans="1:26" x14ac:dyDescent="0.25">
      <c r="B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spans="1:26" x14ac:dyDescent="0.25">
      <c r="B33"/>
    </row>
    <row r="34" spans="1:26" x14ac:dyDescent="0.25">
      <c r="B34"/>
    </row>
    <row r="35" spans="1:26" x14ac:dyDescent="0.25">
      <c r="B35"/>
    </row>
    <row r="36" spans="1:26" x14ac:dyDescent="0.25">
      <c r="B36"/>
    </row>
    <row r="37" spans="1:26" x14ac:dyDescent="0.25">
      <c r="B37"/>
    </row>
    <row r="38" spans="1:26" x14ac:dyDescent="0.25">
      <c r="B38"/>
    </row>
    <row r="39" spans="1:26" ht="16.5" thickBot="1" x14ac:dyDescent="0.3">
      <c r="A39" s="1" t="s">
        <v>19</v>
      </c>
      <c r="B39" s="7">
        <f ca="1">MAX(B$3:B38)+0.1</f>
        <v>3.2</v>
      </c>
      <c r="C39" s="22" t="s">
        <v>434</v>
      </c>
      <c r="D39" s="22"/>
      <c r="E39" s="22"/>
      <c r="F39" s="22"/>
      <c r="G39" s="22"/>
      <c r="H39" s="22"/>
      <c r="I39" s="22"/>
      <c r="J39" s="22"/>
      <c r="K39" s="22"/>
      <c r="L39" s="22"/>
      <c r="M39" s="22"/>
      <c r="N39" s="22"/>
      <c r="O39" s="22"/>
      <c r="P39" s="22"/>
      <c r="Q39" s="22"/>
      <c r="R39" s="22"/>
      <c r="S39" s="22"/>
      <c r="T39" s="22"/>
      <c r="U39" s="22"/>
      <c r="V39" s="22"/>
      <c r="W39" s="22"/>
      <c r="X39" s="22"/>
      <c r="Y39" s="22"/>
      <c r="Z39" s="22"/>
    </row>
    <row r="40" spans="1:26" x14ac:dyDescent="0.25">
      <c r="B40"/>
    </row>
    <row r="41" spans="1:26" x14ac:dyDescent="0.25">
      <c r="B41"/>
    </row>
    <row r="42" spans="1:26" x14ac:dyDescent="0.25">
      <c r="B42"/>
    </row>
    <row r="43" spans="1:26" x14ac:dyDescent="0.25">
      <c r="B43"/>
    </row>
    <row r="44" spans="1:26" x14ac:dyDescent="0.25">
      <c r="B44"/>
    </row>
    <row r="45" spans="1:26" x14ac:dyDescent="0.25">
      <c r="B45"/>
    </row>
    <row r="46" spans="1:26" x14ac:dyDescent="0.25">
      <c r="B46"/>
    </row>
    <row r="47" spans="1:26" x14ac:dyDescent="0.25">
      <c r="B47"/>
    </row>
    <row r="48" spans="1:26" x14ac:dyDescent="0.25">
      <c r="B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26" x14ac:dyDescent="0.25">
      <c r="B65"/>
    </row>
    <row r="66" spans="1:26" x14ac:dyDescent="0.25">
      <c r="B66"/>
    </row>
    <row r="67" spans="1:26" x14ac:dyDescent="0.25">
      <c r="B67"/>
    </row>
    <row r="68" spans="1:26" x14ac:dyDescent="0.25">
      <c r="B68"/>
    </row>
    <row r="69" spans="1:26" ht="16.5" thickBot="1" x14ac:dyDescent="0.3">
      <c r="A69" s="1" t="s">
        <v>19</v>
      </c>
      <c r="B69" s="7">
        <f ca="1">MAX(B$3:B68)+0.1</f>
        <v>3.3000000000000003</v>
      </c>
      <c r="C69" s="22" t="s">
        <v>21</v>
      </c>
      <c r="D69" s="22"/>
      <c r="E69" s="22"/>
      <c r="F69" s="22"/>
      <c r="G69" s="22"/>
      <c r="H69" s="22"/>
      <c r="I69" s="22"/>
      <c r="J69" s="22"/>
      <c r="K69" s="22"/>
      <c r="L69" s="22"/>
      <c r="M69" s="22"/>
      <c r="N69" s="22"/>
      <c r="O69" s="22"/>
      <c r="P69" s="22"/>
      <c r="Q69" s="22"/>
      <c r="R69" s="22"/>
      <c r="S69" s="22"/>
      <c r="T69" s="22"/>
      <c r="U69" s="22"/>
      <c r="V69" s="22"/>
      <c r="W69" s="22"/>
      <c r="X69" s="22"/>
      <c r="Y69" s="22"/>
      <c r="Z69" s="22"/>
    </row>
    <row r="71" spans="1:26" x14ac:dyDescent="0.25">
      <c r="C71" s="76" t="s">
        <v>12</v>
      </c>
    </row>
    <row r="72" spans="1:26" x14ac:dyDescent="0.25">
      <c r="C72" s="75" t="s">
        <v>22</v>
      </c>
    </row>
    <row r="73" spans="1:26" x14ac:dyDescent="0.25">
      <c r="C73" s="75" t="s">
        <v>13</v>
      </c>
    </row>
    <row r="74" spans="1:26" x14ac:dyDescent="0.25">
      <c r="C74" s="75" t="s">
        <v>185</v>
      </c>
    </row>
    <row r="75" spans="1:26" x14ac:dyDescent="0.25">
      <c r="C75" s="77" t="s">
        <v>294</v>
      </c>
    </row>
    <row r="76" spans="1:26" x14ac:dyDescent="0.25">
      <c r="C76" s="77" t="s">
        <v>435</v>
      </c>
    </row>
    <row r="77" spans="1:26" x14ac:dyDescent="0.25">
      <c r="C77" s="77" t="s">
        <v>433</v>
      </c>
    </row>
    <row r="78" spans="1:26" x14ac:dyDescent="0.25">
      <c r="C78" s="78" t="s">
        <v>295</v>
      </c>
    </row>
    <row r="79" spans="1:26" x14ac:dyDescent="0.25">
      <c r="C79" s="78" t="s">
        <v>436</v>
      </c>
    </row>
  </sheetData>
  <sheetProtection algorithmName="SHA-512" hashValue="jkQl/XPI/H8CyMY08fRNQhRkvOzkBPq8i3Ut3RcEwbKMiqWjblstnUr+BOr5QhxVEDYhHut0o8IJTX71nHGmTA==" saltValue="PRk2a/bQGFN5HZfrx68PZQ==" spinCount="100000" sheet="1" objects="1" scenarios="1"/>
  <mergeCells count="1">
    <mergeCell ref="A2:A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AA2C-AE0E-470D-92B2-A7ADC3EE59F8}">
  <sheetPr codeName="Sheet11">
    <tabColor rgb="FFD3DFE9"/>
  </sheetPr>
  <dimension ref="A1:R258"/>
  <sheetViews>
    <sheetView showGridLines="0" topLeftCell="B1" zoomScale="70" zoomScaleNormal="70" workbookViewId="0">
      <selection activeCell="N133" sqref="N133"/>
    </sheetView>
  </sheetViews>
  <sheetFormatPr defaultColWidth="9.140625" defaultRowHeight="15" outlineLevelRow="1" outlineLevelCol="1" x14ac:dyDescent="0.25"/>
  <cols>
    <col min="1" max="1" width="100.7109375" hidden="1" customWidth="1" outlineLevel="1"/>
    <col min="2" max="2" width="10.7109375" style="6" customWidth="1" collapsed="1"/>
    <col min="3" max="3" width="45.5703125" customWidth="1"/>
    <col min="4" max="4" width="63.140625" bestFit="1" customWidth="1"/>
    <col min="5" max="5" width="34.28515625" customWidth="1"/>
    <col min="6" max="18" width="25.5703125" customWidth="1"/>
  </cols>
  <sheetData>
    <row r="1" spans="1:18" ht="15" customHeight="1" x14ac:dyDescent="0.25">
      <c r="A1" s="1" t="s">
        <v>16</v>
      </c>
      <c r="B1" s="16"/>
      <c r="C1" s="17"/>
      <c r="D1" s="17"/>
      <c r="E1" s="17"/>
      <c r="F1" s="17"/>
      <c r="G1" s="17"/>
      <c r="H1" s="17"/>
      <c r="I1" s="17"/>
      <c r="J1" s="17"/>
      <c r="K1" s="17"/>
      <c r="L1" s="17"/>
      <c r="M1" s="17"/>
      <c r="N1" s="17"/>
      <c r="O1" s="17"/>
      <c r="P1" s="17"/>
      <c r="Q1" s="17"/>
      <c r="R1" s="17"/>
    </row>
    <row r="2" spans="1:18" s="4" customFormat="1" ht="50.1" customHeight="1" x14ac:dyDescent="0.25">
      <c r="A2" s="183" t="s">
        <v>33</v>
      </c>
      <c r="B2" s="19"/>
      <c r="C2" s="19" t="str">
        <f>Disclaimer!$B$1</f>
        <v>VDO calculation model</v>
      </c>
      <c r="D2" s="19"/>
      <c r="E2" s="19"/>
      <c r="F2" s="19"/>
      <c r="G2" s="19"/>
      <c r="H2" s="19"/>
      <c r="I2" s="19"/>
      <c r="J2" s="19"/>
      <c r="K2" s="19"/>
      <c r="L2" s="19"/>
      <c r="M2" s="19"/>
      <c r="N2" s="19"/>
      <c r="O2" s="19"/>
      <c r="P2" s="19"/>
      <c r="Q2" s="19"/>
      <c r="R2" s="19"/>
    </row>
    <row r="3" spans="1:18" s="4" customFormat="1" ht="30" customHeight="1" x14ac:dyDescent="0.25">
      <c r="A3" s="184"/>
      <c r="B3" s="21">
        <f ca="1">_xlfn.SHEET()</f>
        <v>4</v>
      </c>
      <c r="C3" s="20" t="s">
        <v>22</v>
      </c>
      <c r="D3" s="20"/>
      <c r="E3" s="20"/>
      <c r="F3" s="20"/>
      <c r="G3" s="20"/>
      <c r="H3" s="20"/>
      <c r="I3" s="20"/>
      <c r="J3" s="20"/>
      <c r="K3" s="20"/>
      <c r="L3" s="20"/>
      <c r="M3" s="20"/>
      <c r="N3" s="20"/>
      <c r="O3" s="20"/>
      <c r="P3" s="20"/>
      <c r="Q3" s="20"/>
      <c r="R3" s="20"/>
    </row>
    <row r="4" spans="1:18" x14ac:dyDescent="0.25">
      <c r="B4"/>
    </row>
    <row r="5" spans="1:18" ht="16.5" thickBot="1" x14ac:dyDescent="0.3">
      <c r="A5" s="1" t="s">
        <v>19</v>
      </c>
      <c r="B5" s="7">
        <f ca="1">MAX(B$3:B4)+0.1</f>
        <v>4.0999999999999996</v>
      </c>
      <c r="C5" s="22" t="s">
        <v>34</v>
      </c>
      <c r="D5" s="22"/>
      <c r="E5" s="22"/>
      <c r="F5" s="22"/>
      <c r="G5" s="22"/>
      <c r="H5" s="22"/>
      <c r="I5" s="22"/>
      <c r="J5" s="22"/>
      <c r="K5" s="22"/>
      <c r="L5" s="22"/>
      <c r="M5" s="22"/>
      <c r="N5" s="22"/>
      <c r="O5" s="22"/>
      <c r="P5" s="22"/>
      <c r="Q5" s="22"/>
      <c r="R5" s="22"/>
    </row>
    <row r="6" spans="1:18" outlineLevel="1" x14ac:dyDescent="0.25"/>
    <row r="7" spans="1:18" ht="15.75" outlineLevel="1" x14ac:dyDescent="0.25">
      <c r="G7" s="31" t="s">
        <v>35</v>
      </c>
      <c r="H7" s="2">
        <v>2021</v>
      </c>
      <c r="I7" s="2">
        <v>2021</v>
      </c>
      <c r="J7" s="2">
        <v>2021</v>
      </c>
      <c r="K7" s="2">
        <v>2021</v>
      </c>
      <c r="L7" s="2">
        <v>2021</v>
      </c>
      <c r="M7" s="2">
        <v>2021</v>
      </c>
      <c r="N7" s="2">
        <v>2022</v>
      </c>
      <c r="O7" s="2">
        <v>2022</v>
      </c>
      <c r="P7" s="2">
        <v>2022</v>
      </c>
      <c r="Q7" s="2">
        <v>2022</v>
      </c>
    </row>
    <row r="8" spans="1:18" ht="15.75" outlineLevel="1" x14ac:dyDescent="0.25">
      <c r="G8" s="31" t="s">
        <v>36</v>
      </c>
      <c r="H8" s="71" t="str">
        <f>"VDO "&amp;H7&amp;" - "&amp;IF(LEFT(H10,1)="F","Final",IF(LEFT(H10,1)="D","Draft",IF(LEFT(H10,2)="VD","Variation draft",IF(LEFT(H10,2)="VF","Variation final"))))&amp;" - Input Date"</f>
        <v>VDO 2021 - Final - Input Date</v>
      </c>
      <c r="I8" s="32" t="str">
        <f>"VDO "&amp;I7&amp;" - "&amp;IF(LEFT(I10,1)="F","Final",IF(LEFT(I10,1)="D","Draft",IF(LEFT(I10,2)="VD","Variation draft",IF(LEFT(I10,2)="VF","Variation final"))))</f>
        <v>VDO 2021 - Final</v>
      </c>
      <c r="J8" s="71" t="str">
        <f>"VDO "&amp;J7&amp;" - "&amp;IF(LEFT(J10,1)="F","Final",IF(LEFT(J10,1)="D","Draft",IF(LEFT(J10,2)="VD","Variation draft",IF(LEFT(J10,2)="VF","Variation final"))))&amp;" - Input Date"</f>
        <v>VDO 2021 - Variation draft - Input Date</v>
      </c>
      <c r="K8" s="32" t="str">
        <f>"VDO "&amp;K7&amp;" - "&amp;IF(LEFT(K10,1)="F","Final",IF(LEFT(K10,1)="D","Draft",IF(LEFT(K10,2)="VD","Variation draft",IF(LEFT(K10,2)="VF","Variation final"))))</f>
        <v>VDO 2021 - Variation draft</v>
      </c>
      <c r="L8" s="71" t="str">
        <f>"VDO "&amp;L7&amp;" - "&amp;IF(LEFT(L10,1)="F","Final",IF(LEFT(L10,1)="D","Draft",IF(LEFT(L10,2)="VD","Variation draft",IF(LEFT(L10,2)="VF","Variation final"))))&amp;" - Input Date"</f>
        <v>VDO 2021 - Variation final - Input Date</v>
      </c>
      <c r="M8" s="32" t="str">
        <f>"VDO "&amp;M7&amp;" - "&amp;IF(LEFT(M10,1)="F","Final",IF(LEFT(M10,1)="D","Draft",IF(LEFT(M10,2)="VD","Variation draft",IF(LEFT(M10,2)="VF","Variation final"))))</f>
        <v>VDO 2021 - Variation final</v>
      </c>
      <c r="N8" s="71" t="str">
        <f>"VDO "&amp;N7&amp;" - "&amp;IF(LEFT(N10,1)="F","Final",IF(LEFT(N10,1)="D","Draft",IF(LEFT(N10,2)="VD","Variation draft",IF(LEFT(N10,2)="VF","Variation final"))))&amp;" - Input Date"</f>
        <v>VDO 2022 - Draft - Input Date</v>
      </c>
      <c r="O8" s="32" t="str">
        <f>"VDO "&amp;O7&amp;" - "&amp;IF(LEFT(O10,1)="F","Final",IF(LEFT(O10,1)="D","Draft",IF(LEFT(O10,2)="VD","Variation draft",IF(LEFT(O10,2)="VF","Variation final"))))</f>
        <v>VDO 2022 - Draft</v>
      </c>
      <c r="P8" s="71" t="str">
        <f>"VDO "&amp;P7&amp;" - "&amp;IF(LEFT(P10,1)="F","Final",IF(LEFT(P10,1)="D","Draft",IF(LEFT(P10,2)="VD","Variation draft",IF(LEFT(P10,2)="VF","Variation final"))))&amp;" - Input Date"</f>
        <v>VDO 2022 - Final - Input Date</v>
      </c>
      <c r="Q8" s="32" t="str">
        <f>"VDO "&amp;Q7&amp;" - "&amp;IF(LEFT(Q10,1)="F","Final",IF(LEFT(Q10,1)="D","Draft",IF(LEFT(Q10,2)="VD","Variation draft",IF(LEFT(Q10,2)="VF","Variation final"))))</f>
        <v>VDO 2022 - Final</v>
      </c>
    </row>
    <row r="9" spans="1:18" ht="15.75" outlineLevel="1" x14ac:dyDescent="0.25">
      <c r="C9" s="23" t="s">
        <v>348</v>
      </c>
    </row>
    <row r="10" spans="1:18" ht="15.75" outlineLevel="1" x14ac:dyDescent="0.25">
      <c r="C10" s="33" t="s">
        <v>23</v>
      </c>
      <c r="D10" s="33" t="s">
        <v>24</v>
      </c>
      <c r="E10" s="33" t="s">
        <v>37</v>
      </c>
      <c r="F10" s="33" t="s">
        <v>38</v>
      </c>
      <c r="G10" s="33" t="s">
        <v>30</v>
      </c>
      <c r="H10" s="33" t="s">
        <v>39</v>
      </c>
      <c r="I10" s="33" t="s">
        <v>25</v>
      </c>
      <c r="J10" s="34" t="s">
        <v>267</v>
      </c>
      <c r="K10" s="34" t="s">
        <v>268</v>
      </c>
      <c r="L10" s="34" t="s">
        <v>269</v>
      </c>
      <c r="M10" s="34" t="s">
        <v>270</v>
      </c>
      <c r="N10" s="33" t="s">
        <v>40</v>
      </c>
      <c r="O10" s="33" t="s">
        <v>26</v>
      </c>
      <c r="P10" s="33" t="s">
        <v>41</v>
      </c>
      <c r="Q10" s="33" t="s">
        <v>27</v>
      </c>
    </row>
    <row r="11" spans="1:18" outlineLevel="1" x14ac:dyDescent="0.25">
      <c r="C11" s="18" t="s">
        <v>42</v>
      </c>
      <c r="D11" s="18" t="s">
        <v>43</v>
      </c>
      <c r="E11" s="18" t="s">
        <v>44</v>
      </c>
      <c r="F11" s="18" t="s">
        <v>45</v>
      </c>
      <c r="G11" s="18" t="s">
        <v>46</v>
      </c>
      <c r="H11" s="84">
        <v>42916</v>
      </c>
      <c r="I11" s="30">
        <v>121.07</v>
      </c>
      <c r="J11" s="84">
        <v>42916</v>
      </c>
      <c r="K11" s="96">
        <v>121.07</v>
      </c>
      <c r="L11" s="84">
        <v>42916</v>
      </c>
      <c r="M11" s="30">
        <v>121.07</v>
      </c>
      <c r="N11" s="85">
        <v>42916</v>
      </c>
      <c r="O11" s="44">
        <v>121.07</v>
      </c>
      <c r="P11" s="85"/>
      <c r="Q11" s="29"/>
    </row>
    <row r="12" spans="1:18" outlineLevel="1" x14ac:dyDescent="0.25">
      <c r="C12" s="18" t="s">
        <v>42</v>
      </c>
      <c r="D12" s="18" t="s">
        <v>47</v>
      </c>
      <c r="E12" s="18" t="s">
        <v>44</v>
      </c>
      <c r="F12" s="18" t="s">
        <v>45</v>
      </c>
      <c r="G12" s="18" t="s">
        <v>46</v>
      </c>
      <c r="H12" s="84">
        <v>43646</v>
      </c>
      <c r="I12" s="30">
        <v>10</v>
      </c>
      <c r="J12" s="84">
        <v>43646</v>
      </c>
      <c r="K12" s="96">
        <v>10</v>
      </c>
      <c r="L12" s="84">
        <v>43646</v>
      </c>
      <c r="M12" s="30">
        <v>10</v>
      </c>
      <c r="N12" s="85">
        <v>44561</v>
      </c>
      <c r="O12" s="44">
        <v>10</v>
      </c>
      <c r="P12" s="85"/>
      <c r="Q12" s="29"/>
    </row>
    <row r="13" spans="1:18" outlineLevel="1" x14ac:dyDescent="0.25">
      <c r="C13" s="18" t="s">
        <v>42</v>
      </c>
      <c r="D13" s="18" t="s">
        <v>48</v>
      </c>
      <c r="E13" s="18" t="s">
        <v>44</v>
      </c>
      <c r="F13" s="18" t="s">
        <v>45</v>
      </c>
      <c r="G13" s="18" t="s">
        <v>46</v>
      </c>
      <c r="H13" s="84">
        <v>44196</v>
      </c>
      <c r="I13" s="30">
        <v>0.210145</v>
      </c>
      <c r="J13" s="84">
        <v>44196</v>
      </c>
      <c r="K13" s="96">
        <v>0.210145</v>
      </c>
      <c r="L13" s="84">
        <v>44196</v>
      </c>
      <c r="M13" s="30">
        <v>0.210145</v>
      </c>
      <c r="N13" s="85">
        <v>44561</v>
      </c>
      <c r="O13" s="44">
        <v>0.84057999999999999</v>
      </c>
      <c r="P13" s="85"/>
      <c r="Q13" s="29"/>
    </row>
    <row r="14" spans="1:18" outlineLevel="1" x14ac:dyDescent="0.25">
      <c r="C14" s="18" t="s">
        <v>42</v>
      </c>
      <c r="D14" s="18" t="s">
        <v>49</v>
      </c>
      <c r="E14" s="18" t="s">
        <v>44</v>
      </c>
      <c r="F14" s="18" t="s">
        <v>45</v>
      </c>
      <c r="G14" s="18" t="s">
        <v>46</v>
      </c>
      <c r="H14" s="84">
        <v>44196</v>
      </c>
      <c r="I14" s="30">
        <v>6</v>
      </c>
      <c r="J14" s="84">
        <v>44196</v>
      </c>
      <c r="K14" s="96">
        <v>6</v>
      </c>
      <c r="L14" s="84">
        <v>44196</v>
      </c>
      <c r="M14" s="30">
        <v>6</v>
      </c>
      <c r="N14" s="85">
        <v>44561</v>
      </c>
      <c r="O14" s="44">
        <v>6</v>
      </c>
      <c r="P14" s="85"/>
      <c r="Q14" s="29"/>
    </row>
    <row r="15" spans="1:18" outlineLevel="1" x14ac:dyDescent="0.25">
      <c r="C15" s="18" t="s">
        <v>42</v>
      </c>
      <c r="D15" s="103" t="s">
        <v>50</v>
      </c>
      <c r="E15" s="18" t="s">
        <v>44</v>
      </c>
      <c r="F15" s="18" t="s">
        <v>45</v>
      </c>
      <c r="G15" s="18" t="s">
        <v>46</v>
      </c>
      <c r="H15" s="84">
        <v>43646</v>
      </c>
      <c r="I15" s="30">
        <v>38</v>
      </c>
      <c r="J15" s="84">
        <v>43646</v>
      </c>
      <c r="K15" s="96">
        <v>38</v>
      </c>
      <c r="L15" s="84">
        <v>43646</v>
      </c>
      <c r="M15" s="30">
        <v>38</v>
      </c>
      <c r="N15" s="85">
        <v>43646</v>
      </c>
      <c r="O15" s="44">
        <v>38</v>
      </c>
      <c r="P15" s="85"/>
      <c r="Q15" s="29"/>
    </row>
    <row r="16" spans="1:18" outlineLevel="1" x14ac:dyDescent="0.25">
      <c r="C16" s="18" t="s">
        <v>51</v>
      </c>
      <c r="D16" s="48" t="s">
        <v>52</v>
      </c>
      <c r="E16" s="18" t="s">
        <v>44</v>
      </c>
      <c r="F16" s="18" t="s">
        <v>45</v>
      </c>
      <c r="G16" s="18" t="s">
        <v>46</v>
      </c>
      <c r="H16" s="84">
        <v>44012</v>
      </c>
      <c r="I16" s="30">
        <v>10.681187545882992</v>
      </c>
      <c r="J16" s="84">
        <v>44012</v>
      </c>
      <c r="K16" s="96">
        <v>10.681187545882992</v>
      </c>
      <c r="L16" s="84">
        <v>44012</v>
      </c>
      <c r="M16" s="30">
        <v>10.681187545882992</v>
      </c>
      <c r="N16" s="85">
        <v>44377</v>
      </c>
      <c r="O16" s="44">
        <v>13.337762647243332</v>
      </c>
      <c r="P16" s="85"/>
      <c r="Q16" s="29"/>
    </row>
    <row r="17" spans="3:17" outlineLevel="1" x14ac:dyDescent="0.25">
      <c r="C17" s="18" t="s">
        <v>209</v>
      </c>
      <c r="D17" s="18" t="s">
        <v>53</v>
      </c>
      <c r="E17" s="18" t="s">
        <v>44</v>
      </c>
      <c r="F17" s="18" t="s">
        <v>45</v>
      </c>
      <c r="G17" s="18" t="s">
        <v>46</v>
      </c>
      <c r="H17" s="84">
        <v>43646</v>
      </c>
      <c r="I17" s="30">
        <v>1.6735247135296942</v>
      </c>
      <c r="J17" s="84">
        <v>43646</v>
      </c>
      <c r="K17" s="96">
        <v>1.6735247135296942</v>
      </c>
      <c r="L17" s="84">
        <v>43646</v>
      </c>
      <c r="M17" s="30">
        <v>1.6735247135296942</v>
      </c>
      <c r="N17" s="85">
        <v>43646</v>
      </c>
      <c r="O17" s="44">
        <v>1.6735247135296942</v>
      </c>
      <c r="P17" s="85"/>
      <c r="Q17" s="29"/>
    </row>
    <row r="18" spans="3:17" outlineLevel="1" x14ac:dyDescent="0.25">
      <c r="C18" s="18" t="s">
        <v>209</v>
      </c>
      <c r="D18" s="48" t="s">
        <v>54</v>
      </c>
      <c r="E18" s="18" t="s">
        <v>44</v>
      </c>
      <c r="F18" s="18" t="s">
        <v>45</v>
      </c>
      <c r="G18" s="18" t="s">
        <v>46</v>
      </c>
      <c r="H18" s="84">
        <v>44196</v>
      </c>
      <c r="I18" s="30">
        <v>2.46</v>
      </c>
      <c r="J18" s="84">
        <v>44196</v>
      </c>
      <c r="K18" s="96">
        <v>2.46</v>
      </c>
      <c r="L18" s="84">
        <v>44196</v>
      </c>
      <c r="M18" s="30">
        <v>2.46</v>
      </c>
      <c r="N18" s="85">
        <v>44196</v>
      </c>
      <c r="O18" s="44">
        <v>0</v>
      </c>
      <c r="P18" s="85"/>
      <c r="Q18" s="29"/>
    </row>
    <row r="19" spans="3:17" outlineLevel="1" x14ac:dyDescent="0.25">
      <c r="C19" s="18" t="s">
        <v>209</v>
      </c>
      <c r="D19" s="48" t="s">
        <v>432</v>
      </c>
      <c r="E19" s="18" t="s">
        <v>44</v>
      </c>
      <c r="F19" s="18" t="s">
        <v>55</v>
      </c>
      <c r="G19" s="18" t="s">
        <v>46</v>
      </c>
      <c r="H19" s="84">
        <v>44012</v>
      </c>
      <c r="I19" s="30">
        <v>1.1849999999999999E-2</v>
      </c>
      <c r="J19" s="84">
        <v>44012</v>
      </c>
      <c r="K19" s="96">
        <v>1.1849999999999999E-2</v>
      </c>
      <c r="L19" s="84">
        <v>44012</v>
      </c>
      <c r="M19" s="30">
        <v>1.1849999999999999E-2</v>
      </c>
      <c r="N19" s="85">
        <v>44377</v>
      </c>
      <c r="O19" s="44">
        <v>1.1849999999999999E-2</v>
      </c>
      <c r="P19" s="85"/>
      <c r="Q19" s="29"/>
    </row>
    <row r="20" spans="3:17" outlineLevel="1" x14ac:dyDescent="0.25">
      <c r="C20" s="18" t="s">
        <v>209</v>
      </c>
      <c r="D20" s="48" t="s">
        <v>56</v>
      </c>
      <c r="E20" s="18" t="s">
        <v>44</v>
      </c>
      <c r="F20" s="18" t="s">
        <v>55</v>
      </c>
      <c r="G20" s="18" t="s">
        <v>46</v>
      </c>
      <c r="H20" s="84">
        <v>44012</v>
      </c>
      <c r="I20" s="30">
        <v>2.5499999999999998E-2</v>
      </c>
      <c r="J20" s="84">
        <v>44012</v>
      </c>
      <c r="K20" s="96">
        <v>2.5499999999999998E-2</v>
      </c>
      <c r="L20" s="84">
        <v>44012</v>
      </c>
      <c r="M20" s="30">
        <v>2.5499999999999998E-2</v>
      </c>
      <c r="N20" s="85">
        <v>44377</v>
      </c>
      <c r="O20" s="44">
        <v>2.5919999999999999E-2</v>
      </c>
      <c r="P20" s="85"/>
      <c r="Q20" s="29"/>
    </row>
    <row r="21" spans="3:17" outlineLevel="1" x14ac:dyDescent="0.25">
      <c r="C21" s="18" t="s">
        <v>57</v>
      </c>
      <c r="D21" s="18" t="s">
        <v>58</v>
      </c>
      <c r="E21" s="18" t="s">
        <v>44</v>
      </c>
      <c r="F21" s="18" t="s">
        <v>59</v>
      </c>
      <c r="G21" s="18" t="s">
        <v>46</v>
      </c>
      <c r="H21" s="84">
        <v>44196</v>
      </c>
      <c r="I21" s="30">
        <v>59.6</v>
      </c>
      <c r="J21" s="85">
        <v>44377</v>
      </c>
      <c r="K21" s="44">
        <v>63.7</v>
      </c>
      <c r="L21" s="85">
        <v>44377</v>
      </c>
      <c r="M21" s="44">
        <v>63.7</v>
      </c>
      <c r="N21" s="85">
        <v>44377</v>
      </c>
      <c r="O21" s="44">
        <v>63.7</v>
      </c>
      <c r="P21" s="85"/>
      <c r="Q21" s="29"/>
    </row>
    <row r="22" spans="3:17" outlineLevel="1" x14ac:dyDescent="0.25">
      <c r="C22" s="18" t="s">
        <v>57</v>
      </c>
      <c r="D22" s="18" t="s">
        <v>60</v>
      </c>
      <c r="E22" s="18" t="s">
        <v>44</v>
      </c>
      <c r="F22" s="18" t="s">
        <v>59</v>
      </c>
      <c r="G22" s="18" t="s">
        <v>46</v>
      </c>
      <c r="H22" s="84">
        <v>44196</v>
      </c>
      <c r="I22" s="30">
        <v>65.8</v>
      </c>
      <c r="J22" s="85">
        <v>44377</v>
      </c>
      <c r="K22" s="44">
        <v>59.4</v>
      </c>
      <c r="L22" s="85">
        <v>44377</v>
      </c>
      <c r="M22" s="44">
        <v>59.4</v>
      </c>
      <c r="N22" s="85">
        <v>44377</v>
      </c>
      <c r="O22" s="44">
        <v>59.4</v>
      </c>
      <c r="P22" s="85"/>
      <c r="Q22" s="29"/>
    </row>
    <row r="23" spans="3:17" outlineLevel="1" x14ac:dyDescent="0.25">
      <c r="C23" s="18" t="s">
        <v>57</v>
      </c>
      <c r="D23" s="18" t="s">
        <v>61</v>
      </c>
      <c r="E23" s="18" t="s">
        <v>44</v>
      </c>
      <c r="F23" s="18" t="s">
        <v>59</v>
      </c>
      <c r="G23" s="18" t="s">
        <v>46</v>
      </c>
      <c r="H23" s="84">
        <v>44196</v>
      </c>
      <c r="I23" s="30">
        <v>66.28</v>
      </c>
      <c r="J23" s="85">
        <v>44377</v>
      </c>
      <c r="K23" s="44">
        <v>54.19</v>
      </c>
      <c r="L23" s="85">
        <v>44377</v>
      </c>
      <c r="M23" s="44">
        <v>54.19</v>
      </c>
      <c r="N23" s="85">
        <v>44377</v>
      </c>
      <c r="O23" s="44">
        <v>54.19</v>
      </c>
      <c r="P23" s="85"/>
      <c r="Q23" s="29"/>
    </row>
    <row r="24" spans="3:17" outlineLevel="1" x14ac:dyDescent="0.25">
      <c r="C24" s="18" t="s">
        <v>57</v>
      </c>
      <c r="D24" s="18" t="s">
        <v>62</v>
      </c>
      <c r="E24" s="18" t="s">
        <v>44</v>
      </c>
      <c r="F24" s="18" t="s">
        <v>59</v>
      </c>
      <c r="G24" s="18" t="s">
        <v>46</v>
      </c>
      <c r="H24" s="84">
        <v>44196</v>
      </c>
      <c r="I24" s="30">
        <v>65.5</v>
      </c>
      <c r="J24" s="85">
        <v>44377</v>
      </c>
      <c r="K24" s="44">
        <v>58</v>
      </c>
      <c r="L24" s="85">
        <v>44377</v>
      </c>
      <c r="M24" s="44">
        <v>58</v>
      </c>
      <c r="N24" s="85">
        <v>44377</v>
      </c>
      <c r="O24" s="44">
        <v>58</v>
      </c>
      <c r="P24" s="85"/>
      <c r="Q24" s="29"/>
    </row>
    <row r="25" spans="3:17" outlineLevel="1" x14ac:dyDescent="0.25">
      <c r="C25" s="18" t="s">
        <v>57</v>
      </c>
      <c r="D25" s="18" t="s">
        <v>63</v>
      </c>
      <c r="E25" s="18" t="s">
        <v>44</v>
      </c>
      <c r="F25" s="18" t="s">
        <v>59</v>
      </c>
      <c r="G25" s="18" t="s">
        <v>46</v>
      </c>
      <c r="H25" s="84">
        <v>44196</v>
      </c>
      <c r="I25" s="30">
        <v>48.82</v>
      </c>
      <c r="J25" s="85">
        <v>44377</v>
      </c>
      <c r="K25" s="44">
        <v>42.92</v>
      </c>
      <c r="L25" s="85">
        <v>44377</v>
      </c>
      <c r="M25" s="44">
        <v>42.92</v>
      </c>
      <c r="N25" s="85">
        <v>44377</v>
      </c>
      <c r="O25" s="44">
        <v>42.92</v>
      </c>
      <c r="P25" s="85"/>
      <c r="Q25" s="29"/>
    </row>
    <row r="26" spans="3:17" outlineLevel="1" x14ac:dyDescent="0.25">
      <c r="C26" s="18" t="s">
        <v>57</v>
      </c>
      <c r="D26" s="18" t="s">
        <v>272</v>
      </c>
      <c r="E26" s="18" t="s">
        <v>44</v>
      </c>
      <c r="F26" s="18" t="s">
        <v>59</v>
      </c>
      <c r="G26" s="18" t="s">
        <v>31</v>
      </c>
      <c r="H26" s="84">
        <v>44196</v>
      </c>
      <c r="I26" s="30">
        <v>106</v>
      </c>
      <c r="J26" s="85">
        <v>44377</v>
      </c>
      <c r="K26" s="44">
        <v>111.11</v>
      </c>
      <c r="L26" s="85">
        <v>44377</v>
      </c>
      <c r="M26" s="44">
        <v>111.11</v>
      </c>
      <c r="N26" s="85">
        <v>44377</v>
      </c>
      <c r="O26" s="44">
        <v>111.11</v>
      </c>
      <c r="P26" s="85"/>
      <c r="Q26" s="29"/>
    </row>
    <row r="27" spans="3:17" outlineLevel="1" x14ac:dyDescent="0.25">
      <c r="C27" s="18" t="s">
        <v>57</v>
      </c>
      <c r="D27" s="18" t="s">
        <v>273</v>
      </c>
      <c r="E27" s="18" t="s">
        <v>44</v>
      </c>
      <c r="F27" s="18" t="s">
        <v>59</v>
      </c>
      <c r="G27" s="18" t="s">
        <v>31</v>
      </c>
      <c r="H27" s="84">
        <v>44196</v>
      </c>
      <c r="I27" s="30">
        <v>90</v>
      </c>
      <c r="J27" s="85">
        <v>44377</v>
      </c>
      <c r="K27" s="44">
        <v>90.009</v>
      </c>
      <c r="L27" s="85">
        <v>44377</v>
      </c>
      <c r="M27" s="44">
        <v>90.009</v>
      </c>
      <c r="N27" s="85">
        <v>44377</v>
      </c>
      <c r="O27" s="44">
        <v>90.009</v>
      </c>
      <c r="P27" s="85"/>
      <c r="Q27" s="29"/>
    </row>
    <row r="28" spans="3:17" outlineLevel="1" x14ac:dyDescent="0.25">
      <c r="C28" s="18" t="s">
        <v>57</v>
      </c>
      <c r="D28" s="18" t="s">
        <v>274</v>
      </c>
      <c r="E28" s="18" t="s">
        <v>44</v>
      </c>
      <c r="F28" s="18" t="s">
        <v>59</v>
      </c>
      <c r="G28" s="18" t="s">
        <v>31</v>
      </c>
      <c r="H28" s="84">
        <v>44196</v>
      </c>
      <c r="I28" s="30">
        <v>69.03</v>
      </c>
      <c r="J28" s="85">
        <v>44377</v>
      </c>
      <c r="K28" s="44">
        <v>82.195999999999998</v>
      </c>
      <c r="L28" s="85">
        <v>44377</v>
      </c>
      <c r="M28" s="44">
        <v>82.195999999999998</v>
      </c>
      <c r="N28" s="85">
        <v>44377</v>
      </c>
      <c r="O28" s="44">
        <v>82.195999999999998</v>
      </c>
      <c r="P28" s="85"/>
      <c r="Q28" s="29"/>
    </row>
    <row r="29" spans="3:17" outlineLevel="1" x14ac:dyDescent="0.25">
      <c r="C29" s="18" t="s">
        <v>57</v>
      </c>
      <c r="D29" s="18" t="s">
        <v>275</v>
      </c>
      <c r="E29" s="18" t="s">
        <v>44</v>
      </c>
      <c r="F29" s="18" t="s">
        <v>59</v>
      </c>
      <c r="G29" s="18" t="s">
        <v>31</v>
      </c>
      <c r="H29" s="84">
        <v>44196</v>
      </c>
      <c r="I29" s="30">
        <v>140</v>
      </c>
      <c r="J29" s="85">
        <v>44377</v>
      </c>
      <c r="K29" s="44">
        <v>139.97749999999999</v>
      </c>
      <c r="L29" s="85">
        <v>44377</v>
      </c>
      <c r="M29" s="44">
        <v>139.97749999999999</v>
      </c>
      <c r="N29" s="85">
        <v>44377</v>
      </c>
      <c r="O29" s="44">
        <v>139.97749999999999</v>
      </c>
      <c r="P29" s="85"/>
      <c r="Q29" s="29"/>
    </row>
    <row r="30" spans="3:17" outlineLevel="1" x14ac:dyDescent="0.25">
      <c r="C30" s="18" t="s">
        <v>57</v>
      </c>
      <c r="D30" s="18" t="s">
        <v>276</v>
      </c>
      <c r="E30" s="18" t="s">
        <v>44</v>
      </c>
      <c r="F30" s="18" t="s">
        <v>59</v>
      </c>
      <c r="G30" s="18" t="s">
        <v>31</v>
      </c>
      <c r="H30" s="84">
        <v>44196</v>
      </c>
      <c r="I30" s="30">
        <v>59.859999999999992</v>
      </c>
      <c r="J30" s="85">
        <v>44377</v>
      </c>
      <c r="K30" s="44">
        <v>80.007999999999996</v>
      </c>
      <c r="L30" s="85">
        <v>44377</v>
      </c>
      <c r="M30" s="44">
        <v>80.007999999999996</v>
      </c>
      <c r="N30" s="85">
        <v>44377</v>
      </c>
      <c r="O30" s="44">
        <v>80.007999999999996</v>
      </c>
      <c r="P30" s="85"/>
      <c r="Q30" s="29"/>
    </row>
    <row r="31" spans="3:17" outlineLevel="1" x14ac:dyDescent="0.25">
      <c r="C31" s="18" t="s">
        <v>57</v>
      </c>
      <c r="D31" s="48" t="s">
        <v>277</v>
      </c>
      <c r="E31" s="18" t="s">
        <v>44</v>
      </c>
      <c r="F31" s="18" t="s">
        <v>59</v>
      </c>
      <c r="G31" s="18" t="s">
        <v>32</v>
      </c>
      <c r="H31" s="84">
        <v>44196</v>
      </c>
      <c r="I31" s="30">
        <v>106</v>
      </c>
      <c r="J31" s="85">
        <v>44377</v>
      </c>
      <c r="K31" s="44">
        <v>111.11</v>
      </c>
      <c r="L31" s="85">
        <v>44377</v>
      </c>
      <c r="M31" s="44">
        <v>111.11</v>
      </c>
      <c r="N31" s="85">
        <v>44377</v>
      </c>
      <c r="O31" s="44">
        <v>111.11</v>
      </c>
      <c r="P31" s="85"/>
      <c r="Q31" s="29"/>
    </row>
    <row r="32" spans="3:17" outlineLevel="1" x14ac:dyDescent="0.25">
      <c r="C32" s="18" t="s">
        <v>57</v>
      </c>
      <c r="D32" s="18" t="s">
        <v>278</v>
      </c>
      <c r="E32" s="18" t="s">
        <v>44</v>
      </c>
      <c r="F32" s="18" t="s">
        <v>59</v>
      </c>
      <c r="G32" s="18" t="s">
        <v>32</v>
      </c>
      <c r="H32" s="84">
        <v>44196</v>
      </c>
      <c r="I32" s="30">
        <v>160</v>
      </c>
      <c r="J32" s="85">
        <v>44377</v>
      </c>
      <c r="K32" s="44">
        <v>160.01599999999999</v>
      </c>
      <c r="L32" s="85">
        <v>44377</v>
      </c>
      <c r="M32" s="44">
        <v>160.01599999999999</v>
      </c>
      <c r="N32" s="85">
        <v>44377</v>
      </c>
      <c r="O32" s="44">
        <v>160.01599999999999</v>
      </c>
      <c r="P32" s="85"/>
      <c r="Q32" s="29"/>
    </row>
    <row r="33" spans="3:17" outlineLevel="1" x14ac:dyDescent="0.25">
      <c r="C33" s="18" t="s">
        <v>57</v>
      </c>
      <c r="D33" s="18" t="s">
        <v>279</v>
      </c>
      <c r="E33" s="18" t="s">
        <v>44</v>
      </c>
      <c r="F33" s="18" t="s">
        <v>59</v>
      </c>
      <c r="G33" s="18" t="s">
        <v>32</v>
      </c>
      <c r="H33" s="84">
        <v>44196</v>
      </c>
      <c r="I33" s="30">
        <v>118.741</v>
      </c>
      <c r="J33" s="85">
        <v>44377</v>
      </c>
      <c r="K33" s="44">
        <v>134.46600000000001</v>
      </c>
      <c r="L33" s="85">
        <v>44377</v>
      </c>
      <c r="M33" s="44">
        <v>134.46600000000001</v>
      </c>
      <c r="N33" s="85">
        <v>44377</v>
      </c>
      <c r="O33" s="44">
        <v>134.46600000000001</v>
      </c>
      <c r="P33" s="85"/>
      <c r="Q33" s="29"/>
    </row>
    <row r="34" spans="3:17" outlineLevel="1" x14ac:dyDescent="0.25">
      <c r="C34" s="18" t="s">
        <v>57</v>
      </c>
      <c r="D34" s="18" t="s">
        <v>280</v>
      </c>
      <c r="E34" s="18" t="s">
        <v>44</v>
      </c>
      <c r="F34" s="18" t="s">
        <v>59</v>
      </c>
      <c r="G34" s="18" t="s">
        <v>32</v>
      </c>
      <c r="H34" s="84">
        <v>44196</v>
      </c>
      <c r="I34" s="30">
        <v>180</v>
      </c>
      <c r="J34" s="85">
        <v>44377</v>
      </c>
      <c r="K34" s="44">
        <v>179.98150000000001</v>
      </c>
      <c r="L34" s="85">
        <v>44377</v>
      </c>
      <c r="M34" s="44">
        <v>179.98150000000001</v>
      </c>
      <c r="N34" s="85">
        <v>44377</v>
      </c>
      <c r="O34" s="44">
        <v>179.98150000000001</v>
      </c>
      <c r="P34" s="85"/>
      <c r="Q34" s="29"/>
    </row>
    <row r="35" spans="3:17" outlineLevel="1" x14ac:dyDescent="0.25">
      <c r="C35" s="18" t="s">
        <v>57</v>
      </c>
      <c r="D35" s="18" t="s">
        <v>281</v>
      </c>
      <c r="E35" s="18" t="s">
        <v>44</v>
      </c>
      <c r="F35" s="18" t="s">
        <v>59</v>
      </c>
      <c r="G35" s="18" t="s">
        <v>32</v>
      </c>
      <c r="H35" s="84">
        <v>44196</v>
      </c>
      <c r="I35" s="30">
        <v>79.861999999999995</v>
      </c>
      <c r="J35" s="85">
        <v>44377</v>
      </c>
      <c r="K35" s="44">
        <v>120.01199999999999</v>
      </c>
      <c r="L35" s="85">
        <v>44377</v>
      </c>
      <c r="M35" s="44">
        <v>120.01199999999999</v>
      </c>
      <c r="N35" s="85">
        <v>44377</v>
      </c>
      <c r="O35" s="44">
        <v>120.01199999999999</v>
      </c>
      <c r="P35" s="85"/>
      <c r="Q35" s="29"/>
    </row>
    <row r="36" spans="3:17" outlineLevel="1" x14ac:dyDescent="0.25">
      <c r="C36" s="18" t="s">
        <v>57</v>
      </c>
      <c r="D36" s="18" t="s">
        <v>282</v>
      </c>
      <c r="E36" s="18" t="s">
        <v>44</v>
      </c>
      <c r="F36" s="18" t="s">
        <v>59</v>
      </c>
      <c r="G36" s="18" t="s">
        <v>31</v>
      </c>
      <c r="H36" s="84" t="s">
        <v>28</v>
      </c>
      <c r="I36" s="84" t="s">
        <v>28</v>
      </c>
      <c r="J36" s="85">
        <v>44377</v>
      </c>
      <c r="K36" s="44">
        <v>111.11</v>
      </c>
      <c r="L36" s="85">
        <v>44377</v>
      </c>
      <c r="M36" s="44">
        <v>111.11</v>
      </c>
      <c r="N36" s="85">
        <v>44377</v>
      </c>
      <c r="O36" s="44">
        <v>111.11</v>
      </c>
      <c r="P36" s="85"/>
      <c r="Q36" s="29"/>
    </row>
    <row r="37" spans="3:17" outlineLevel="1" x14ac:dyDescent="0.25">
      <c r="C37" s="18" t="s">
        <v>57</v>
      </c>
      <c r="D37" s="18" t="s">
        <v>283</v>
      </c>
      <c r="E37" s="18" t="s">
        <v>44</v>
      </c>
      <c r="F37" s="18" t="s">
        <v>59</v>
      </c>
      <c r="G37" s="18" t="s">
        <v>31</v>
      </c>
      <c r="H37" s="84" t="s">
        <v>28</v>
      </c>
      <c r="I37" s="84" t="s">
        <v>28</v>
      </c>
      <c r="J37" s="85">
        <v>44377</v>
      </c>
      <c r="K37" s="44">
        <v>90.009</v>
      </c>
      <c r="L37" s="85">
        <v>44377</v>
      </c>
      <c r="M37" s="44">
        <v>90.009</v>
      </c>
      <c r="N37" s="85">
        <v>44377</v>
      </c>
      <c r="O37" s="44">
        <v>90.009</v>
      </c>
      <c r="P37" s="85"/>
      <c r="Q37" s="29"/>
    </row>
    <row r="38" spans="3:17" outlineLevel="1" x14ac:dyDescent="0.25">
      <c r="C38" s="18" t="s">
        <v>57</v>
      </c>
      <c r="D38" s="18" t="s">
        <v>284</v>
      </c>
      <c r="E38" s="18" t="s">
        <v>44</v>
      </c>
      <c r="F38" s="18" t="s">
        <v>59</v>
      </c>
      <c r="G38" s="18" t="s">
        <v>31</v>
      </c>
      <c r="H38" s="84" t="s">
        <v>28</v>
      </c>
      <c r="I38" s="84" t="s">
        <v>28</v>
      </c>
      <c r="J38" s="85">
        <v>44377</v>
      </c>
      <c r="K38" s="44">
        <v>82.195999999999998</v>
      </c>
      <c r="L38" s="85">
        <v>44377</v>
      </c>
      <c r="M38" s="44">
        <v>82.195999999999998</v>
      </c>
      <c r="N38" s="85">
        <v>44377</v>
      </c>
      <c r="O38" s="44">
        <v>82.195999999999998</v>
      </c>
      <c r="P38" s="85"/>
      <c r="Q38" s="29"/>
    </row>
    <row r="39" spans="3:17" outlineLevel="1" x14ac:dyDescent="0.25">
      <c r="C39" s="18" t="s">
        <v>57</v>
      </c>
      <c r="D39" s="18" t="s">
        <v>285</v>
      </c>
      <c r="E39" s="18" t="s">
        <v>44</v>
      </c>
      <c r="F39" s="18" t="s">
        <v>59</v>
      </c>
      <c r="G39" s="18" t="s">
        <v>31</v>
      </c>
      <c r="H39" s="84" t="s">
        <v>28</v>
      </c>
      <c r="I39" s="84" t="s">
        <v>28</v>
      </c>
      <c r="J39" s="85">
        <v>44377</v>
      </c>
      <c r="K39" s="44">
        <v>139.97749999999999</v>
      </c>
      <c r="L39" s="85">
        <v>44377</v>
      </c>
      <c r="M39" s="44">
        <v>139.97749999999999</v>
      </c>
      <c r="N39" s="85">
        <v>44377</v>
      </c>
      <c r="O39" s="44">
        <v>139.97749999999999</v>
      </c>
      <c r="P39" s="85"/>
      <c r="Q39" s="29"/>
    </row>
    <row r="40" spans="3:17" outlineLevel="1" x14ac:dyDescent="0.25">
      <c r="C40" s="18" t="s">
        <v>57</v>
      </c>
      <c r="D40" s="18" t="s">
        <v>286</v>
      </c>
      <c r="E40" s="18" t="s">
        <v>44</v>
      </c>
      <c r="F40" s="18" t="s">
        <v>59</v>
      </c>
      <c r="G40" s="18" t="s">
        <v>31</v>
      </c>
      <c r="H40" s="84" t="s">
        <v>28</v>
      </c>
      <c r="I40" s="84" t="s">
        <v>28</v>
      </c>
      <c r="J40" s="85">
        <v>44377</v>
      </c>
      <c r="K40" s="44">
        <v>80.007999999999996</v>
      </c>
      <c r="L40" s="85">
        <v>44377</v>
      </c>
      <c r="M40" s="44">
        <v>80.007999999999996</v>
      </c>
      <c r="N40" s="85">
        <v>44377</v>
      </c>
      <c r="O40" s="44">
        <v>80.007999999999996</v>
      </c>
      <c r="P40" s="85"/>
      <c r="Q40" s="29"/>
    </row>
    <row r="41" spans="3:17" outlineLevel="1" x14ac:dyDescent="0.25">
      <c r="C41" s="18" t="s">
        <v>57</v>
      </c>
      <c r="D41" s="48" t="s">
        <v>287</v>
      </c>
      <c r="E41" s="18" t="s">
        <v>44</v>
      </c>
      <c r="F41" s="18" t="s">
        <v>59</v>
      </c>
      <c r="G41" s="18" t="s">
        <v>32</v>
      </c>
      <c r="H41" s="84" t="s">
        <v>28</v>
      </c>
      <c r="I41" s="84" t="s">
        <v>28</v>
      </c>
      <c r="J41" s="85">
        <v>44377</v>
      </c>
      <c r="K41" s="44">
        <v>111.11</v>
      </c>
      <c r="L41" s="85">
        <v>44377</v>
      </c>
      <c r="M41" s="44">
        <v>111.11</v>
      </c>
      <c r="N41" s="85">
        <v>44377</v>
      </c>
      <c r="O41" s="44">
        <v>111.11</v>
      </c>
      <c r="P41" s="85"/>
      <c r="Q41" s="29"/>
    </row>
    <row r="42" spans="3:17" outlineLevel="1" x14ac:dyDescent="0.25">
      <c r="C42" s="18" t="s">
        <v>57</v>
      </c>
      <c r="D42" s="18" t="s">
        <v>288</v>
      </c>
      <c r="E42" s="18" t="s">
        <v>44</v>
      </c>
      <c r="F42" s="18" t="s">
        <v>59</v>
      </c>
      <c r="G42" s="18" t="s">
        <v>32</v>
      </c>
      <c r="H42" s="84" t="s">
        <v>28</v>
      </c>
      <c r="I42" s="84" t="s">
        <v>28</v>
      </c>
      <c r="J42" s="85">
        <v>44377</v>
      </c>
      <c r="K42" s="44">
        <v>160.01599999999999</v>
      </c>
      <c r="L42" s="85">
        <v>44377</v>
      </c>
      <c r="M42" s="44">
        <v>160.01599999999999</v>
      </c>
      <c r="N42" s="85">
        <v>44377</v>
      </c>
      <c r="O42" s="44">
        <v>160.01599999999999</v>
      </c>
      <c r="P42" s="85"/>
      <c r="Q42" s="29"/>
    </row>
    <row r="43" spans="3:17" outlineLevel="1" x14ac:dyDescent="0.25">
      <c r="C43" s="18" t="s">
        <v>57</v>
      </c>
      <c r="D43" s="18" t="s">
        <v>289</v>
      </c>
      <c r="E43" s="18" t="s">
        <v>44</v>
      </c>
      <c r="F43" s="18" t="s">
        <v>59</v>
      </c>
      <c r="G43" s="18" t="s">
        <v>32</v>
      </c>
      <c r="H43" s="84" t="s">
        <v>28</v>
      </c>
      <c r="I43" s="84" t="s">
        <v>28</v>
      </c>
      <c r="J43" s="85">
        <v>44377</v>
      </c>
      <c r="K43" s="44">
        <v>242.124</v>
      </c>
      <c r="L43" s="85">
        <v>44377</v>
      </c>
      <c r="M43" s="44">
        <v>242.124</v>
      </c>
      <c r="N43" s="85">
        <v>44377</v>
      </c>
      <c r="O43" s="44">
        <v>242.124</v>
      </c>
      <c r="P43" s="85"/>
      <c r="Q43" s="29"/>
    </row>
    <row r="44" spans="3:17" outlineLevel="1" x14ac:dyDescent="0.25">
      <c r="C44" s="18" t="s">
        <v>57</v>
      </c>
      <c r="D44" s="18" t="s">
        <v>290</v>
      </c>
      <c r="E44" s="18" t="s">
        <v>44</v>
      </c>
      <c r="F44" s="18" t="s">
        <v>59</v>
      </c>
      <c r="G44" s="18" t="s">
        <v>32</v>
      </c>
      <c r="H44" s="84" t="s">
        <v>28</v>
      </c>
      <c r="I44" s="84" t="s">
        <v>28</v>
      </c>
      <c r="J44" s="85">
        <v>44377</v>
      </c>
      <c r="K44" s="44">
        <v>179.98150000000001</v>
      </c>
      <c r="L44" s="85">
        <v>44377</v>
      </c>
      <c r="M44" s="44">
        <v>179.98150000000001</v>
      </c>
      <c r="N44" s="85">
        <v>44377</v>
      </c>
      <c r="O44" s="44">
        <v>179.98150000000001</v>
      </c>
      <c r="P44" s="85"/>
      <c r="Q44" s="29"/>
    </row>
    <row r="45" spans="3:17" outlineLevel="1" x14ac:dyDescent="0.25">
      <c r="C45" s="18" t="s">
        <v>57</v>
      </c>
      <c r="D45" s="18" t="s">
        <v>291</v>
      </c>
      <c r="E45" s="18" t="s">
        <v>44</v>
      </c>
      <c r="F45" s="18" t="s">
        <v>59</v>
      </c>
      <c r="G45" s="18" t="s">
        <v>32</v>
      </c>
      <c r="H45" s="84" t="s">
        <v>28</v>
      </c>
      <c r="I45" s="84" t="s">
        <v>28</v>
      </c>
      <c r="J45" s="85">
        <v>44377</v>
      </c>
      <c r="K45" s="44">
        <v>120.01199999999999</v>
      </c>
      <c r="L45" s="85">
        <v>44377</v>
      </c>
      <c r="M45" s="44">
        <v>120.01199999999999</v>
      </c>
      <c r="N45" s="85">
        <v>44377</v>
      </c>
      <c r="O45" s="44">
        <v>120.01199999999999</v>
      </c>
      <c r="P45" s="85"/>
      <c r="Q45" s="29"/>
    </row>
    <row r="46" spans="3:17" outlineLevel="1" x14ac:dyDescent="0.25">
      <c r="C46" s="18" t="s">
        <v>64</v>
      </c>
      <c r="D46" s="103" t="s">
        <v>65</v>
      </c>
      <c r="E46" s="18" t="s">
        <v>66</v>
      </c>
      <c r="F46" s="18" t="s">
        <v>67</v>
      </c>
      <c r="G46" s="18" t="s">
        <v>31</v>
      </c>
      <c r="H46" s="84">
        <v>44196</v>
      </c>
      <c r="I46" s="30">
        <v>94.02</v>
      </c>
      <c r="J46" s="84">
        <v>44196</v>
      </c>
      <c r="K46" s="96">
        <v>94.02</v>
      </c>
      <c r="L46" s="84">
        <v>44196</v>
      </c>
      <c r="M46" s="30">
        <v>94.02</v>
      </c>
      <c r="N46" s="85">
        <v>44561</v>
      </c>
      <c r="O46" s="44">
        <v>70.94</v>
      </c>
      <c r="P46" s="85"/>
      <c r="Q46" s="29"/>
    </row>
    <row r="47" spans="3:17" outlineLevel="1" x14ac:dyDescent="0.25">
      <c r="C47" s="18" t="s">
        <v>64</v>
      </c>
      <c r="D47" s="103" t="s">
        <v>68</v>
      </c>
      <c r="E47" s="18" t="s">
        <v>66</v>
      </c>
      <c r="F47" s="18" t="s">
        <v>67</v>
      </c>
      <c r="G47" s="18" t="s">
        <v>31</v>
      </c>
      <c r="H47" s="84">
        <v>44196</v>
      </c>
      <c r="I47" s="30">
        <v>88.84</v>
      </c>
      <c r="J47" s="84">
        <v>44196</v>
      </c>
      <c r="K47" s="96">
        <v>88.84</v>
      </c>
      <c r="L47" s="84">
        <v>44196</v>
      </c>
      <c r="M47" s="30">
        <v>88.84</v>
      </c>
      <c r="N47" s="85">
        <v>44561</v>
      </c>
      <c r="O47" s="44">
        <v>67.239999999999995</v>
      </c>
      <c r="P47" s="85"/>
      <c r="Q47" s="29"/>
    </row>
    <row r="48" spans="3:17" outlineLevel="1" x14ac:dyDescent="0.25">
      <c r="C48" s="18" t="s">
        <v>64</v>
      </c>
      <c r="D48" s="103" t="s">
        <v>69</v>
      </c>
      <c r="E48" s="18" t="s">
        <v>66</v>
      </c>
      <c r="F48" s="18" t="s">
        <v>67</v>
      </c>
      <c r="G48" s="18" t="s">
        <v>31</v>
      </c>
      <c r="H48" s="84">
        <v>44196</v>
      </c>
      <c r="I48" s="30">
        <v>97.8</v>
      </c>
      <c r="J48" s="84">
        <v>44196</v>
      </c>
      <c r="K48" s="96">
        <v>97.8</v>
      </c>
      <c r="L48" s="84">
        <v>44196</v>
      </c>
      <c r="M48" s="30">
        <v>97.8</v>
      </c>
      <c r="N48" s="85">
        <v>44561</v>
      </c>
      <c r="O48" s="44">
        <v>73.25</v>
      </c>
      <c r="P48" s="85"/>
      <c r="Q48" s="29"/>
    </row>
    <row r="49" spans="3:17" outlineLevel="1" x14ac:dyDescent="0.25">
      <c r="C49" s="18" t="s">
        <v>64</v>
      </c>
      <c r="D49" s="103" t="s">
        <v>70</v>
      </c>
      <c r="E49" s="18" t="s">
        <v>66</v>
      </c>
      <c r="F49" s="18" t="s">
        <v>67</v>
      </c>
      <c r="G49" s="18" t="s">
        <v>31</v>
      </c>
      <c r="H49" s="84">
        <v>44196</v>
      </c>
      <c r="I49" s="30">
        <v>92.03</v>
      </c>
      <c r="J49" s="84">
        <v>44196</v>
      </c>
      <c r="K49" s="96">
        <v>92.03</v>
      </c>
      <c r="L49" s="84">
        <v>44196</v>
      </c>
      <c r="M49" s="30">
        <v>92.03</v>
      </c>
      <c r="N49" s="85">
        <v>44561</v>
      </c>
      <c r="O49" s="44">
        <v>69.23</v>
      </c>
      <c r="P49" s="85"/>
      <c r="Q49" s="29"/>
    </row>
    <row r="50" spans="3:17" outlineLevel="1" x14ac:dyDescent="0.25">
      <c r="C50" s="18" t="s">
        <v>64</v>
      </c>
      <c r="D50" s="103" t="s">
        <v>71</v>
      </c>
      <c r="E50" s="18" t="s">
        <v>66</v>
      </c>
      <c r="F50" s="18" t="s">
        <v>67</v>
      </c>
      <c r="G50" s="18" t="s">
        <v>31</v>
      </c>
      <c r="H50" s="84">
        <v>44196</v>
      </c>
      <c r="I50" s="30">
        <v>98.18</v>
      </c>
      <c r="J50" s="84">
        <v>44196</v>
      </c>
      <c r="K50" s="96">
        <v>98.18</v>
      </c>
      <c r="L50" s="84">
        <v>44196</v>
      </c>
      <c r="M50" s="30">
        <v>98.18</v>
      </c>
      <c r="N50" s="85">
        <v>44561</v>
      </c>
      <c r="O50" s="44">
        <v>73.75</v>
      </c>
      <c r="P50" s="85"/>
      <c r="Q50" s="29"/>
    </row>
    <row r="51" spans="3:17" outlineLevel="1" x14ac:dyDescent="0.25">
      <c r="C51" s="18" t="s">
        <v>64</v>
      </c>
      <c r="D51" s="103" t="s">
        <v>72</v>
      </c>
      <c r="E51" s="18" t="s">
        <v>66</v>
      </c>
      <c r="F51" s="18" t="s">
        <v>67</v>
      </c>
      <c r="G51" s="18" t="s">
        <v>31</v>
      </c>
      <c r="H51" s="84">
        <v>44196</v>
      </c>
      <c r="I51" s="30">
        <v>0.48</v>
      </c>
      <c r="J51" s="84">
        <v>44196</v>
      </c>
      <c r="K51" s="96">
        <v>0.48</v>
      </c>
      <c r="L51" s="84">
        <v>44196</v>
      </c>
      <c r="M51" s="30">
        <v>0.48</v>
      </c>
      <c r="N51" s="85">
        <v>44561</v>
      </c>
      <c r="O51" s="44">
        <v>0.3</v>
      </c>
      <c r="P51" s="85"/>
      <c r="Q51" s="29"/>
    </row>
    <row r="52" spans="3:17" outlineLevel="1" x14ac:dyDescent="0.25">
      <c r="C52" s="18" t="s">
        <v>64</v>
      </c>
      <c r="D52" s="103" t="s">
        <v>73</v>
      </c>
      <c r="E52" s="18" t="s">
        <v>66</v>
      </c>
      <c r="F52" s="18" t="s">
        <v>67</v>
      </c>
      <c r="G52" s="18" t="s">
        <v>31</v>
      </c>
      <c r="H52" s="84">
        <v>44196</v>
      </c>
      <c r="I52" s="30">
        <v>0.47</v>
      </c>
      <c r="J52" s="84">
        <v>44196</v>
      </c>
      <c r="K52" s="96">
        <v>0.47</v>
      </c>
      <c r="L52" s="84">
        <v>44196</v>
      </c>
      <c r="M52" s="30">
        <v>0.47</v>
      </c>
      <c r="N52" s="85">
        <v>44561</v>
      </c>
      <c r="O52" s="44">
        <v>0.3</v>
      </c>
      <c r="P52" s="85"/>
      <c r="Q52" s="29"/>
    </row>
    <row r="53" spans="3:17" outlineLevel="1" x14ac:dyDescent="0.25">
      <c r="C53" s="18" t="s">
        <v>64</v>
      </c>
      <c r="D53" s="103" t="s">
        <v>74</v>
      </c>
      <c r="E53" s="18" t="s">
        <v>66</v>
      </c>
      <c r="F53" s="18" t="s">
        <v>67</v>
      </c>
      <c r="G53" s="18" t="s">
        <v>31</v>
      </c>
      <c r="H53" s="84">
        <v>44196</v>
      </c>
      <c r="I53" s="30">
        <v>0.45</v>
      </c>
      <c r="J53" s="84">
        <v>44196</v>
      </c>
      <c r="K53" s="96">
        <v>0.45</v>
      </c>
      <c r="L53" s="84">
        <v>44196</v>
      </c>
      <c r="M53" s="30">
        <v>0.45</v>
      </c>
      <c r="N53" s="85">
        <v>44561</v>
      </c>
      <c r="O53" s="44">
        <v>0.3</v>
      </c>
      <c r="P53" s="85"/>
      <c r="Q53" s="29"/>
    </row>
    <row r="54" spans="3:17" outlineLevel="1" x14ac:dyDescent="0.25">
      <c r="C54" s="18" t="s">
        <v>64</v>
      </c>
      <c r="D54" s="103" t="s">
        <v>75</v>
      </c>
      <c r="E54" s="18" t="s">
        <v>66</v>
      </c>
      <c r="F54" s="18" t="s">
        <v>67</v>
      </c>
      <c r="G54" s="18" t="s">
        <v>31</v>
      </c>
      <c r="H54" s="84">
        <v>44196</v>
      </c>
      <c r="I54" s="30">
        <v>0.42</v>
      </c>
      <c r="J54" s="84">
        <v>44196</v>
      </c>
      <c r="K54" s="96">
        <v>0.42</v>
      </c>
      <c r="L54" s="84">
        <v>44196</v>
      </c>
      <c r="M54" s="30">
        <v>0.42</v>
      </c>
      <c r="N54" s="85">
        <v>44561</v>
      </c>
      <c r="O54" s="44">
        <v>0.3</v>
      </c>
      <c r="P54" s="85"/>
      <c r="Q54" s="29"/>
    </row>
    <row r="55" spans="3:17" outlineLevel="1" x14ac:dyDescent="0.25">
      <c r="C55" s="18" t="s">
        <v>64</v>
      </c>
      <c r="D55" s="103" t="s">
        <v>76</v>
      </c>
      <c r="E55" s="18" t="s">
        <v>66</v>
      </c>
      <c r="F55" s="18" t="s">
        <v>67</v>
      </c>
      <c r="G55" s="18" t="s">
        <v>31</v>
      </c>
      <c r="H55" s="84">
        <v>44196</v>
      </c>
      <c r="I55" s="30">
        <v>0.49</v>
      </c>
      <c r="J55" s="84">
        <v>44196</v>
      </c>
      <c r="K55" s="96">
        <v>0.49</v>
      </c>
      <c r="L55" s="84">
        <v>44196</v>
      </c>
      <c r="M55" s="30">
        <v>0.49</v>
      </c>
      <c r="N55" s="85">
        <v>44561</v>
      </c>
      <c r="O55" s="44">
        <v>0.33</v>
      </c>
      <c r="P55" s="85"/>
      <c r="Q55" s="29"/>
    </row>
    <row r="56" spans="3:17" outlineLevel="1" x14ac:dyDescent="0.25">
      <c r="C56" s="18" t="s">
        <v>64</v>
      </c>
      <c r="D56" s="103" t="s">
        <v>77</v>
      </c>
      <c r="E56" s="18" t="s">
        <v>66</v>
      </c>
      <c r="F56" s="18" t="s">
        <v>67</v>
      </c>
      <c r="G56" s="18" t="s">
        <v>32</v>
      </c>
      <c r="H56" s="84">
        <v>44196</v>
      </c>
      <c r="I56" s="30">
        <v>82.28</v>
      </c>
      <c r="J56" s="84">
        <v>44196</v>
      </c>
      <c r="K56" s="96">
        <v>82.28</v>
      </c>
      <c r="L56" s="84">
        <v>44196</v>
      </c>
      <c r="M56" s="30">
        <v>82.28</v>
      </c>
      <c r="N56" s="85">
        <v>44561</v>
      </c>
      <c r="O56" s="44">
        <v>62.64</v>
      </c>
      <c r="P56" s="85"/>
      <c r="Q56" s="29"/>
    </row>
    <row r="57" spans="3:17" outlineLevel="1" x14ac:dyDescent="0.25">
      <c r="C57" s="18" t="s">
        <v>64</v>
      </c>
      <c r="D57" s="103" t="s">
        <v>78</v>
      </c>
      <c r="E57" s="18" t="s">
        <v>66</v>
      </c>
      <c r="F57" s="18" t="s">
        <v>67</v>
      </c>
      <c r="G57" s="18" t="s">
        <v>32</v>
      </c>
      <c r="H57" s="84">
        <v>44196</v>
      </c>
      <c r="I57" s="30">
        <v>85.08</v>
      </c>
      <c r="J57" s="84">
        <v>44196</v>
      </c>
      <c r="K57" s="96">
        <v>85.08</v>
      </c>
      <c r="L57" s="84">
        <v>44196</v>
      </c>
      <c r="M57" s="30">
        <v>85.08</v>
      </c>
      <c r="N57" s="85">
        <v>44561</v>
      </c>
      <c r="O57" s="44">
        <v>63.9</v>
      </c>
      <c r="P57" s="85"/>
      <c r="Q57" s="29"/>
    </row>
    <row r="58" spans="3:17" outlineLevel="1" x14ac:dyDescent="0.25">
      <c r="C58" s="18" t="s">
        <v>64</v>
      </c>
      <c r="D58" s="103" t="s">
        <v>79</v>
      </c>
      <c r="E58" s="18" t="s">
        <v>66</v>
      </c>
      <c r="F58" s="18" t="s">
        <v>67</v>
      </c>
      <c r="G58" s="18" t="s">
        <v>32</v>
      </c>
      <c r="H58" s="84">
        <v>44196</v>
      </c>
      <c r="I58" s="30">
        <v>84.51</v>
      </c>
      <c r="J58" s="84">
        <v>44196</v>
      </c>
      <c r="K58" s="96">
        <v>84.51</v>
      </c>
      <c r="L58" s="84">
        <v>44196</v>
      </c>
      <c r="M58" s="30">
        <v>84.51</v>
      </c>
      <c r="N58" s="85">
        <v>44561</v>
      </c>
      <c r="O58" s="44">
        <v>63.96</v>
      </c>
      <c r="P58" s="85"/>
      <c r="Q58" s="29"/>
    </row>
    <row r="59" spans="3:17" outlineLevel="1" x14ac:dyDescent="0.25">
      <c r="C59" s="18" t="s">
        <v>64</v>
      </c>
      <c r="D59" s="103" t="s">
        <v>80</v>
      </c>
      <c r="E59" s="18" t="s">
        <v>66</v>
      </c>
      <c r="F59" s="18" t="s">
        <v>67</v>
      </c>
      <c r="G59" s="18" t="s">
        <v>32</v>
      </c>
      <c r="H59" s="84">
        <v>44196</v>
      </c>
      <c r="I59" s="30">
        <v>80.11</v>
      </c>
      <c r="J59" s="84">
        <v>44196</v>
      </c>
      <c r="K59" s="96">
        <v>80.11</v>
      </c>
      <c r="L59" s="84">
        <v>44196</v>
      </c>
      <c r="M59" s="30">
        <v>80.11</v>
      </c>
      <c r="N59" s="85">
        <v>44561</v>
      </c>
      <c r="O59" s="44">
        <v>60.92</v>
      </c>
      <c r="P59" s="85"/>
      <c r="Q59" s="29"/>
    </row>
    <row r="60" spans="3:17" outlineLevel="1" x14ac:dyDescent="0.25">
      <c r="C60" s="18" t="s">
        <v>64</v>
      </c>
      <c r="D60" s="103" t="s">
        <v>81</v>
      </c>
      <c r="E60" s="18" t="s">
        <v>66</v>
      </c>
      <c r="F60" s="18" t="s">
        <v>67</v>
      </c>
      <c r="G60" s="18" t="s">
        <v>32</v>
      </c>
      <c r="H60" s="84">
        <v>44196</v>
      </c>
      <c r="I60" s="30">
        <v>86.63</v>
      </c>
      <c r="J60" s="84">
        <v>44196</v>
      </c>
      <c r="K60" s="96">
        <v>86.63</v>
      </c>
      <c r="L60" s="84">
        <v>44196</v>
      </c>
      <c r="M60" s="30">
        <v>86.63</v>
      </c>
      <c r="N60" s="85">
        <v>44561</v>
      </c>
      <c r="O60" s="44">
        <v>65.260000000000005</v>
      </c>
      <c r="P60" s="85"/>
      <c r="Q60" s="29"/>
    </row>
    <row r="61" spans="3:17" outlineLevel="1" x14ac:dyDescent="0.25">
      <c r="C61" s="18" t="s">
        <v>64</v>
      </c>
      <c r="D61" s="103" t="s">
        <v>82</v>
      </c>
      <c r="E61" s="18" t="s">
        <v>66</v>
      </c>
      <c r="F61" s="18" t="s">
        <v>67</v>
      </c>
      <c r="G61" s="18" t="s">
        <v>32</v>
      </c>
      <c r="H61" s="84">
        <v>44196</v>
      </c>
      <c r="I61" s="30">
        <v>0.34</v>
      </c>
      <c r="J61" s="84">
        <v>44196</v>
      </c>
      <c r="K61" s="96">
        <v>0.34</v>
      </c>
      <c r="L61" s="84">
        <v>44196</v>
      </c>
      <c r="M61" s="30">
        <v>0.34</v>
      </c>
      <c r="N61" s="85">
        <v>44561</v>
      </c>
      <c r="O61" s="44">
        <v>0.24</v>
      </c>
      <c r="P61" s="85"/>
      <c r="Q61" s="29"/>
    </row>
    <row r="62" spans="3:17" outlineLevel="1" x14ac:dyDescent="0.25">
      <c r="C62" s="18" t="s">
        <v>64</v>
      </c>
      <c r="D62" s="103" t="s">
        <v>83</v>
      </c>
      <c r="E62" s="18" t="s">
        <v>66</v>
      </c>
      <c r="F62" s="18" t="s">
        <v>67</v>
      </c>
      <c r="G62" s="18" t="s">
        <v>32</v>
      </c>
      <c r="H62" s="84">
        <v>44196</v>
      </c>
      <c r="I62" s="30">
        <v>0.4</v>
      </c>
      <c r="J62" s="84">
        <v>44196</v>
      </c>
      <c r="K62" s="96">
        <v>0.4</v>
      </c>
      <c r="L62" s="84">
        <v>44196</v>
      </c>
      <c r="M62" s="30">
        <v>0.4</v>
      </c>
      <c r="N62" s="85">
        <v>44561</v>
      </c>
      <c r="O62" s="44">
        <v>0.23</v>
      </c>
      <c r="P62" s="85"/>
      <c r="Q62" s="29"/>
    </row>
    <row r="63" spans="3:17" outlineLevel="1" x14ac:dyDescent="0.25">
      <c r="C63" s="18" t="s">
        <v>64</v>
      </c>
      <c r="D63" s="103" t="s">
        <v>84</v>
      </c>
      <c r="E63" s="18" t="s">
        <v>66</v>
      </c>
      <c r="F63" s="18" t="s">
        <v>67</v>
      </c>
      <c r="G63" s="18" t="s">
        <v>32</v>
      </c>
      <c r="H63" s="84">
        <v>44196</v>
      </c>
      <c r="I63" s="30">
        <v>0.36</v>
      </c>
      <c r="J63" s="84">
        <v>44196</v>
      </c>
      <c r="K63" s="96">
        <v>0.36</v>
      </c>
      <c r="L63" s="84">
        <v>44196</v>
      </c>
      <c r="M63" s="30">
        <v>0.36</v>
      </c>
      <c r="N63" s="85">
        <v>44561</v>
      </c>
      <c r="O63" s="44">
        <v>0.23</v>
      </c>
      <c r="P63" s="85"/>
      <c r="Q63" s="29"/>
    </row>
    <row r="64" spans="3:17" outlineLevel="1" x14ac:dyDescent="0.25">
      <c r="C64" s="18" t="s">
        <v>64</v>
      </c>
      <c r="D64" s="103" t="s">
        <v>85</v>
      </c>
      <c r="E64" s="18" t="s">
        <v>66</v>
      </c>
      <c r="F64" s="18" t="s">
        <v>67</v>
      </c>
      <c r="G64" s="18" t="s">
        <v>32</v>
      </c>
      <c r="H64" s="84">
        <v>44196</v>
      </c>
      <c r="I64" s="30">
        <v>0.31</v>
      </c>
      <c r="J64" s="84">
        <v>44196</v>
      </c>
      <c r="K64" s="96">
        <v>0.31</v>
      </c>
      <c r="L64" s="84">
        <v>44196</v>
      </c>
      <c r="M64" s="30">
        <v>0.31</v>
      </c>
      <c r="N64" s="85">
        <v>44561</v>
      </c>
      <c r="O64" s="44">
        <v>0.19</v>
      </c>
      <c r="P64" s="85"/>
      <c r="Q64" s="29"/>
    </row>
    <row r="65" spans="3:17" outlineLevel="1" x14ac:dyDescent="0.25">
      <c r="C65" s="18" t="s">
        <v>64</v>
      </c>
      <c r="D65" s="103" t="s">
        <v>86</v>
      </c>
      <c r="E65" s="18" t="s">
        <v>66</v>
      </c>
      <c r="F65" s="18" t="s">
        <v>67</v>
      </c>
      <c r="G65" s="18" t="s">
        <v>32</v>
      </c>
      <c r="H65" s="84">
        <v>44196</v>
      </c>
      <c r="I65" s="30">
        <v>0.41</v>
      </c>
      <c r="J65" s="84">
        <v>44196</v>
      </c>
      <c r="K65" s="96">
        <v>0.41</v>
      </c>
      <c r="L65" s="84">
        <v>44196</v>
      </c>
      <c r="M65" s="30">
        <v>0.41</v>
      </c>
      <c r="N65" s="85">
        <v>44561</v>
      </c>
      <c r="O65" s="44">
        <v>0.24</v>
      </c>
      <c r="P65" s="85"/>
      <c r="Q65" s="29"/>
    </row>
    <row r="66" spans="3:17" outlineLevel="1" x14ac:dyDescent="0.25">
      <c r="C66" s="18" t="s">
        <v>87</v>
      </c>
      <c r="D66" s="103" t="s">
        <v>88</v>
      </c>
      <c r="E66" s="18" t="s">
        <v>66</v>
      </c>
      <c r="F66" s="18" t="s">
        <v>89</v>
      </c>
      <c r="G66" s="18" t="s">
        <v>46</v>
      </c>
      <c r="H66" s="84">
        <v>44104</v>
      </c>
      <c r="I66" s="30">
        <v>32.379354863483861</v>
      </c>
      <c r="J66" s="84">
        <v>44104</v>
      </c>
      <c r="K66" s="96">
        <v>32.379354863483861</v>
      </c>
      <c r="L66" s="84">
        <v>44104</v>
      </c>
      <c r="M66" s="30">
        <v>32.379354863483861</v>
      </c>
      <c r="N66" s="85">
        <v>44377</v>
      </c>
      <c r="O66" s="44">
        <v>49.642986107494764</v>
      </c>
      <c r="P66" s="85"/>
      <c r="Q66" s="29"/>
    </row>
    <row r="67" spans="3:17" outlineLevel="1" x14ac:dyDescent="0.25">
      <c r="C67" s="18" t="s">
        <v>87</v>
      </c>
      <c r="D67" s="103" t="s">
        <v>90</v>
      </c>
      <c r="E67" s="18" t="s">
        <v>66</v>
      </c>
      <c r="F67" s="18" t="s">
        <v>89</v>
      </c>
      <c r="G67" s="18" t="s">
        <v>46</v>
      </c>
      <c r="H67" s="84">
        <v>44196</v>
      </c>
      <c r="I67" s="30">
        <v>35.75</v>
      </c>
      <c r="J67" s="84">
        <v>44196</v>
      </c>
      <c r="K67" s="96">
        <v>35.75</v>
      </c>
      <c r="L67" s="84">
        <v>44196</v>
      </c>
      <c r="M67" s="30">
        <v>35.75</v>
      </c>
      <c r="N67" s="85">
        <v>44561</v>
      </c>
      <c r="O67" s="44">
        <v>34.01</v>
      </c>
      <c r="P67" s="85"/>
      <c r="Q67" s="29"/>
    </row>
    <row r="68" spans="3:17" outlineLevel="1" x14ac:dyDescent="0.25">
      <c r="C68" s="18" t="s">
        <v>87</v>
      </c>
      <c r="D68" s="103" t="s">
        <v>91</v>
      </c>
      <c r="E68" s="18" t="s">
        <v>66</v>
      </c>
      <c r="F68" s="18" t="s">
        <v>89</v>
      </c>
      <c r="G68" s="18" t="s">
        <v>46</v>
      </c>
      <c r="H68" s="84">
        <v>44196</v>
      </c>
      <c r="I68" s="30">
        <v>40</v>
      </c>
      <c r="J68" s="84">
        <v>44196</v>
      </c>
      <c r="K68" s="96">
        <v>40</v>
      </c>
      <c r="L68" s="84">
        <v>44196</v>
      </c>
      <c r="M68" s="30">
        <v>40</v>
      </c>
      <c r="N68" s="85">
        <v>44561</v>
      </c>
      <c r="O68" s="44">
        <v>40</v>
      </c>
      <c r="P68" s="85"/>
      <c r="Q68" s="29"/>
    </row>
    <row r="69" spans="3:17" outlineLevel="1" x14ac:dyDescent="0.25">
      <c r="C69" s="18" t="s">
        <v>87</v>
      </c>
      <c r="D69" s="103" t="s">
        <v>92</v>
      </c>
      <c r="E69" s="18" t="s">
        <v>66</v>
      </c>
      <c r="F69" s="18" t="s">
        <v>93</v>
      </c>
      <c r="G69" s="18" t="s">
        <v>46</v>
      </c>
      <c r="H69" s="84" t="s">
        <v>28</v>
      </c>
      <c r="I69" s="30">
        <v>0.17255000000000001</v>
      </c>
      <c r="J69" s="84" t="s">
        <v>28</v>
      </c>
      <c r="K69" s="172">
        <v>0.17255000000000001</v>
      </c>
      <c r="L69" s="84" t="s">
        <v>28</v>
      </c>
      <c r="M69" s="30">
        <v>0.17255000000000001</v>
      </c>
      <c r="N69" s="85" t="s">
        <v>28</v>
      </c>
      <c r="O69" s="173">
        <v>0.17255000000000001</v>
      </c>
      <c r="P69" s="85"/>
      <c r="Q69" s="29"/>
    </row>
    <row r="70" spans="3:17" outlineLevel="1" x14ac:dyDescent="0.25">
      <c r="C70" s="18" t="s">
        <v>87</v>
      </c>
      <c r="D70" s="103" t="s">
        <v>94</v>
      </c>
      <c r="E70" s="18" t="s">
        <v>66</v>
      </c>
      <c r="F70" s="18" t="s">
        <v>93</v>
      </c>
      <c r="G70" s="18" t="s">
        <v>46</v>
      </c>
      <c r="H70" s="84" t="s">
        <v>28</v>
      </c>
      <c r="I70" s="30">
        <v>0.1883</v>
      </c>
      <c r="J70" s="84" t="s">
        <v>28</v>
      </c>
      <c r="K70" s="30">
        <v>0.1883</v>
      </c>
      <c r="L70" s="84" t="s">
        <v>28</v>
      </c>
      <c r="M70" s="30">
        <v>0.1883</v>
      </c>
      <c r="N70" s="85" t="s">
        <v>28</v>
      </c>
      <c r="O70" s="44">
        <v>0.18540000000000001</v>
      </c>
      <c r="P70" s="85"/>
      <c r="Q70" s="29"/>
    </row>
    <row r="71" spans="3:17" outlineLevel="1" x14ac:dyDescent="0.25">
      <c r="C71" s="18" t="s">
        <v>87</v>
      </c>
      <c r="D71" s="103" t="s">
        <v>431</v>
      </c>
      <c r="E71" s="18" t="s">
        <v>66</v>
      </c>
      <c r="F71" s="18" t="s">
        <v>93</v>
      </c>
      <c r="G71" s="18" t="s">
        <v>46</v>
      </c>
      <c r="H71" s="84" t="s">
        <v>28</v>
      </c>
      <c r="I71" s="30">
        <v>-1.0655881611320278E-2</v>
      </c>
      <c r="J71" s="84" t="s">
        <v>28</v>
      </c>
      <c r="K71" s="30">
        <v>-1.0655881611320278E-2</v>
      </c>
      <c r="L71" s="84" t="s">
        <v>28</v>
      </c>
      <c r="M71" s="30">
        <v>-1.0655881611320278E-2</v>
      </c>
      <c r="N71" s="85" t="s">
        <v>28</v>
      </c>
      <c r="O71" s="44" t="s">
        <v>28</v>
      </c>
      <c r="P71" s="85"/>
      <c r="Q71" s="29"/>
    </row>
    <row r="72" spans="3:17" outlineLevel="1" x14ac:dyDescent="0.25">
      <c r="C72" s="18" t="s">
        <v>87</v>
      </c>
      <c r="D72" s="103" t="s">
        <v>95</v>
      </c>
      <c r="E72" s="18" t="s">
        <v>66</v>
      </c>
      <c r="F72" s="18" t="s">
        <v>93</v>
      </c>
      <c r="G72" s="18" t="s">
        <v>46</v>
      </c>
      <c r="H72" s="84" t="s">
        <v>28</v>
      </c>
      <c r="I72" s="30">
        <v>0.219</v>
      </c>
      <c r="J72" s="84" t="s">
        <v>28</v>
      </c>
      <c r="K72" s="30">
        <v>0.219</v>
      </c>
      <c r="L72" s="84" t="s">
        <v>28</v>
      </c>
      <c r="M72" s="30">
        <v>0.219</v>
      </c>
      <c r="N72" s="85" t="s">
        <v>28</v>
      </c>
      <c r="O72" s="44">
        <v>0.25600000000000001</v>
      </c>
      <c r="P72" s="85"/>
      <c r="Q72" s="29"/>
    </row>
    <row r="73" spans="3:17" outlineLevel="1" x14ac:dyDescent="0.25">
      <c r="C73" s="18" t="s">
        <v>87</v>
      </c>
      <c r="D73" s="103" t="s">
        <v>430</v>
      </c>
      <c r="E73" s="18" t="s">
        <v>66</v>
      </c>
      <c r="F73" s="18" t="s">
        <v>93</v>
      </c>
      <c r="G73" s="18" t="s">
        <v>46</v>
      </c>
      <c r="H73" s="84" t="s">
        <v>28</v>
      </c>
      <c r="I73" s="30">
        <v>6.25E-2</v>
      </c>
      <c r="J73" s="84" t="s">
        <v>28</v>
      </c>
      <c r="K73" s="30">
        <v>6.25E-2</v>
      </c>
      <c r="L73" s="84" t="s">
        <v>28</v>
      </c>
      <c r="M73" s="30">
        <v>6.25E-2</v>
      </c>
      <c r="N73" s="85" t="s">
        <v>28</v>
      </c>
      <c r="O73" s="44" t="s">
        <v>28</v>
      </c>
      <c r="P73" s="85"/>
      <c r="Q73" s="29"/>
    </row>
    <row r="74" spans="3:17" outlineLevel="1" x14ac:dyDescent="0.25">
      <c r="C74" s="18" t="s">
        <v>209</v>
      </c>
      <c r="D74" s="18" t="s">
        <v>96</v>
      </c>
      <c r="E74" s="18" t="s">
        <v>66</v>
      </c>
      <c r="F74" s="18" t="s">
        <v>67</v>
      </c>
      <c r="G74" s="18" t="s">
        <v>46</v>
      </c>
      <c r="H74" s="84">
        <v>44012</v>
      </c>
      <c r="I74" s="30">
        <v>0.36799999999999999</v>
      </c>
      <c r="J74" s="84">
        <v>44012</v>
      </c>
      <c r="K74" s="96">
        <v>0.36799999999999999</v>
      </c>
      <c r="L74" s="84">
        <v>44012</v>
      </c>
      <c r="M74" s="30">
        <v>0.36799999999999999</v>
      </c>
      <c r="N74" s="85">
        <v>44377</v>
      </c>
      <c r="O74" s="44">
        <v>0.40001999999999999</v>
      </c>
      <c r="P74" s="85"/>
      <c r="Q74" s="29"/>
    </row>
    <row r="75" spans="3:17" outlineLevel="1" x14ac:dyDescent="0.25">
      <c r="C75" s="18" t="s">
        <v>209</v>
      </c>
      <c r="D75" s="18" t="s">
        <v>97</v>
      </c>
      <c r="E75" s="18" t="s">
        <v>66</v>
      </c>
      <c r="F75" s="18" t="s">
        <v>67</v>
      </c>
      <c r="G75" s="18" t="s">
        <v>46</v>
      </c>
      <c r="H75" s="84" t="s">
        <v>28</v>
      </c>
      <c r="I75" s="30" t="s">
        <v>28</v>
      </c>
      <c r="J75" s="84" t="s">
        <v>28</v>
      </c>
      <c r="K75" s="96" t="s">
        <v>28</v>
      </c>
      <c r="L75" s="84" t="s">
        <v>28</v>
      </c>
      <c r="M75" s="30" t="s">
        <v>28</v>
      </c>
      <c r="N75" s="85" t="s">
        <v>28</v>
      </c>
      <c r="O75" s="44" t="s">
        <v>28</v>
      </c>
      <c r="P75" s="85"/>
      <c r="Q75" s="29"/>
    </row>
    <row r="76" spans="3:17" outlineLevel="1" x14ac:dyDescent="0.25">
      <c r="C76" s="18" t="s">
        <v>209</v>
      </c>
      <c r="D76" s="18" t="s">
        <v>98</v>
      </c>
      <c r="E76" s="18" t="s">
        <v>66</v>
      </c>
      <c r="F76" s="18" t="s">
        <v>67</v>
      </c>
      <c r="G76" s="18" t="s">
        <v>46</v>
      </c>
      <c r="H76" s="84">
        <v>44012</v>
      </c>
      <c r="I76" s="30">
        <v>0</v>
      </c>
      <c r="J76" s="84">
        <v>44012</v>
      </c>
      <c r="K76" s="96">
        <v>0</v>
      </c>
      <c r="L76" s="84">
        <v>44012</v>
      </c>
      <c r="M76" s="30">
        <v>0</v>
      </c>
      <c r="N76" s="85">
        <v>44377</v>
      </c>
      <c r="O76" s="44">
        <v>0</v>
      </c>
      <c r="P76" s="85"/>
      <c r="Q76" s="29"/>
    </row>
    <row r="77" spans="3:17" outlineLevel="1" x14ac:dyDescent="0.25">
      <c r="C77" s="18" t="s">
        <v>209</v>
      </c>
      <c r="D77" s="18" t="s">
        <v>99</v>
      </c>
      <c r="E77" s="18" t="s">
        <v>66</v>
      </c>
      <c r="F77" s="18" t="s">
        <v>67</v>
      </c>
      <c r="G77" s="18" t="s">
        <v>46</v>
      </c>
      <c r="H77" s="84">
        <v>44196</v>
      </c>
      <c r="I77" s="30">
        <v>0.36029616847724721</v>
      </c>
      <c r="J77" s="84">
        <v>44196</v>
      </c>
      <c r="K77" s="96">
        <v>0.36029616847724721</v>
      </c>
      <c r="L77" s="84">
        <v>44196</v>
      </c>
      <c r="M77" s="30">
        <v>0.36029616847724721</v>
      </c>
      <c r="N77" s="85">
        <v>44561</v>
      </c>
      <c r="O77" s="44">
        <v>0.29909999999999998</v>
      </c>
      <c r="P77" s="85"/>
      <c r="Q77" s="29"/>
    </row>
    <row r="78" spans="3:17" outlineLevel="1" x14ac:dyDescent="0.25">
      <c r="C78" s="18" t="s">
        <v>57</v>
      </c>
      <c r="D78" s="18" t="s">
        <v>100</v>
      </c>
      <c r="E78" s="18" t="s">
        <v>66</v>
      </c>
      <c r="F78" s="18" t="s">
        <v>101</v>
      </c>
      <c r="G78" s="18" t="s">
        <v>31</v>
      </c>
      <c r="H78" s="84">
        <v>44196</v>
      </c>
      <c r="I78" s="30">
        <v>10.535</v>
      </c>
      <c r="J78" s="85">
        <v>44377</v>
      </c>
      <c r="K78" s="44">
        <v>11.4503</v>
      </c>
      <c r="L78" s="85">
        <v>44377</v>
      </c>
      <c r="M78" s="44">
        <v>11.4503</v>
      </c>
      <c r="N78" s="85">
        <v>44377</v>
      </c>
      <c r="O78" s="44">
        <v>11.4503</v>
      </c>
      <c r="P78" s="85"/>
      <c r="Q78" s="29"/>
    </row>
    <row r="79" spans="3:17" outlineLevel="1" x14ac:dyDescent="0.25">
      <c r="C79" s="18" t="s">
        <v>57</v>
      </c>
      <c r="D79" s="18" t="s">
        <v>102</v>
      </c>
      <c r="E79" s="18" t="s">
        <v>66</v>
      </c>
      <c r="F79" s="18" t="s">
        <v>101</v>
      </c>
      <c r="G79" s="18" t="s">
        <v>31</v>
      </c>
      <c r="H79" s="84">
        <v>44196</v>
      </c>
      <c r="I79" s="30">
        <v>12.073700000000001</v>
      </c>
      <c r="J79" s="85">
        <v>44377</v>
      </c>
      <c r="K79" s="44">
        <v>12.838200000000001</v>
      </c>
      <c r="L79" s="85">
        <v>44377</v>
      </c>
      <c r="M79" s="44">
        <v>12.838200000000001</v>
      </c>
      <c r="N79" s="85">
        <v>44377</v>
      </c>
      <c r="O79" s="44">
        <v>12.838200000000001</v>
      </c>
      <c r="P79" s="85"/>
      <c r="Q79" s="29"/>
    </row>
    <row r="80" spans="3:17" outlineLevel="1" x14ac:dyDescent="0.25">
      <c r="C80" s="18" t="s">
        <v>57</v>
      </c>
      <c r="D80" s="18" t="s">
        <v>103</v>
      </c>
      <c r="E80" s="18" t="s">
        <v>66</v>
      </c>
      <c r="F80" s="18" t="s">
        <v>101</v>
      </c>
      <c r="G80" s="18" t="s">
        <v>31</v>
      </c>
      <c r="H80" s="84">
        <v>44196</v>
      </c>
      <c r="I80" s="30">
        <v>6.47</v>
      </c>
      <c r="J80" s="85">
        <v>44377</v>
      </c>
      <c r="K80" s="44">
        <v>8.0500000000000007</v>
      </c>
      <c r="L80" s="85">
        <v>44377</v>
      </c>
      <c r="M80" s="44">
        <v>8.0500000000000007</v>
      </c>
      <c r="N80" s="85">
        <v>44377</v>
      </c>
      <c r="O80" s="44">
        <v>8.0500000000000007</v>
      </c>
      <c r="P80" s="85"/>
      <c r="Q80" s="29"/>
    </row>
    <row r="81" spans="3:17" outlineLevel="1" x14ac:dyDescent="0.25">
      <c r="C81" s="18" t="s">
        <v>57</v>
      </c>
      <c r="D81" s="18" t="s">
        <v>104</v>
      </c>
      <c r="E81" s="18" t="s">
        <v>66</v>
      </c>
      <c r="F81" s="18" t="s">
        <v>101</v>
      </c>
      <c r="G81" s="18" t="s">
        <v>31</v>
      </c>
      <c r="H81" s="84">
        <v>44196</v>
      </c>
      <c r="I81" s="30">
        <v>7.4139999999999997</v>
      </c>
      <c r="J81" s="85">
        <v>44377</v>
      </c>
      <c r="K81" s="44">
        <v>8.67</v>
      </c>
      <c r="L81" s="85">
        <v>44377</v>
      </c>
      <c r="M81" s="44">
        <v>8.67</v>
      </c>
      <c r="N81" s="85">
        <v>44377</v>
      </c>
      <c r="O81" s="44">
        <v>8.67</v>
      </c>
      <c r="P81" s="85"/>
      <c r="Q81" s="29"/>
    </row>
    <row r="82" spans="3:17" outlineLevel="1" x14ac:dyDescent="0.25">
      <c r="C82" s="18" t="s">
        <v>57</v>
      </c>
      <c r="D82" s="18" t="s">
        <v>105</v>
      </c>
      <c r="E82" s="18" t="s">
        <v>66</v>
      </c>
      <c r="F82" s="18" t="s">
        <v>101</v>
      </c>
      <c r="G82" s="18" t="s">
        <v>31</v>
      </c>
      <c r="H82" s="84">
        <v>44196</v>
      </c>
      <c r="I82" s="30">
        <v>6.74</v>
      </c>
      <c r="J82" s="85">
        <v>44377</v>
      </c>
      <c r="K82" s="44">
        <v>8.15</v>
      </c>
      <c r="L82" s="85">
        <v>44377</v>
      </c>
      <c r="M82" s="44">
        <v>8.15</v>
      </c>
      <c r="N82" s="85">
        <v>44377</v>
      </c>
      <c r="O82" s="44">
        <v>8.15</v>
      </c>
      <c r="P82" s="85"/>
      <c r="Q82" s="29"/>
    </row>
    <row r="83" spans="3:17" outlineLevel="1" x14ac:dyDescent="0.25">
      <c r="C83" s="18" t="s">
        <v>57</v>
      </c>
      <c r="D83" s="18" t="s">
        <v>106</v>
      </c>
      <c r="E83" s="18" t="s">
        <v>66</v>
      </c>
      <c r="F83" s="18" t="s">
        <v>101</v>
      </c>
      <c r="G83" s="18" t="s">
        <v>31</v>
      </c>
      <c r="H83" s="84">
        <v>44196</v>
      </c>
      <c r="I83" s="30">
        <v>7.67</v>
      </c>
      <c r="J83" s="85">
        <v>44377</v>
      </c>
      <c r="K83" s="44">
        <v>7.99</v>
      </c>
      <c r="L83" s="85">
        <v>44377</v>
      </c>
      <c r="M83" s="44">
        <v>7.99</v>
      </c>
      <c r="N83" s="85">
        <v>44377</v>
      </c>
      <c r="O83" s="44">
        <v>7.99</v>
      </c>
      <c r="P83" s="85"/>
      <c r="Q83" s="29"/>
    </row>
    <row r="84" spans="3:17" outlineLevel="1" x14ac:dyDescent="0.25">
      <c r="C84" s="18" t="s">
        <v>57</v>
      </c>
      <c r="D84" s="18" t="s">
        <v>107</v>
      </c>
      <c r="E84" s="18" t="s">
        <v>66</v>
      </c>
      <c r="F84" s="18" t="s">
        <v>101</v>
      </c>
      <c r="G84" s="18" t="s">
        <v>32</v>
      </c>
      <c r="H84" s="84">
        <v>44196</v>
      </c>
      <c r="I84" s="30">
        <v>13.9602</v>
      </c>
      <c r="J84" s="85">
        <v>44377</v>
      </c>
      <c r="K84" s="44">
        <v>15.538600000000001</v>
      </c>
      <c r="L84" s="85">
        <v>44377</v>
      </c>
      <c r="M84" s="44">
        <v>15.538600000000001</v>
      </c>
      <c r="N84" s="85">
        <v>44377</v>
      </c>
      <c r="O84" s="44">
        <v>15.538600000000001</v>
      </c>
      <c r="P84" s="85"/>
      <c r="Q84" s="29"/>
    </row>
    <row r="85" spans="3:17" outlineLevel="1" x14ac:dyDescent="0.25">
      <c r="C85" s="18" t="s">
        <v>57</v>
      </c>
      <c r="D85" s="18" t="s">
        <v>108</v>
      </c>
      <c r="E85" s="18" t="s">
        <v>66</v>
      </c>
      <c r="F85" s="18" t="s">
        <v>101</v>
      </c>
      <c r="G85" s="18" t="s">
        <v>32</v>
      </c>
      <c r="H85" s="84">
        <v>44196</v>
      </c>
      <c r="I85" s="30">
        <v>16.934899999999999</v>
      </c>
      <c r="J85" s="85">
        <v>44377</v>
      </c>
      <c r="K85" s="44">
        <v>18.2667</v>
      </c>
      <c r="L85" s="85">
        <v>44377</v>
      </c>
      <c r="M85" s="44">
        <v>18.2667</v>
      </c>
      <c r="N85" s="85">
        <v>44377</v>
      </c>
      <c r="O85" s="44">
        <v>18.2667</v>
      </c>
      <c r="P85" s="85"/>
      <c r="Q85" s="29"/>
    </row>
    <row r="86" spans="3:17" outlineLevel="1" x14ac:dyDescent="0.25">
      <c r="C86" s="18" t="s">
        <v>57</v>
      </c>
      <c r="D86" s="18" t="s">
        <v>109</v>
      </c>
      <c r="E86" s="18" t="s">
        <v>66</v>
      </c>
      <c r="F86" s="18" t="s">
        <v>101</v>
      </c>
      <c r="G86" s="18" t="s">
        <v>32</v>
      </c>
      <c r="H86" s="84">
        <v>44196</v>
      </c>
      <c r="I86" s="30">
        <v>7.54</v>
      </c>
      <c r="J86" s="85">
        <v>44377</v>
      </c>
      <c r="K86" s="44">
        <v>8.2100000000000009</v>
      </c>
      <c r="L86" s="85">
        <v>44377</v>
      </c>
      <c r="M86" s="44">
        <v>8.2100000000000009</v>
      </c>
      <c r="N86" s="85">
        <v>44377</v>
      </c>
      <c r="O86" s="44">
        <v>8.2100000000000009</v>
      </c>
      <c r="P86" s="85"/>
      <c r="Q86" s="29"/>
    </row>
    <row r="87" spans="3:17" outlineLevel="1" x14ac:dyDescent="0.25">
      <c r="C87" s="18" t="s">
        <v>57</v>
      </c>
      <c r="D87" s="18" t="s">
        <v>110</v>
      </c>
      <c r="E87" s="18" t="s">
        <v>66</v>
      </c>
      <c r="F87" s="18" t="s">
        <v>101</v>
      </c>
      <c r="G87" s="18" t="s">
        <v>32</v>
      </c>
      <c r="H87" s="84">
        <v>44196</v>
      </c>
      <c r="I87" s="30">
        <v>9.3260000000000005</v>
      </c>
      <c r="J87" s="85">
        <v>44377</v>
      </c>
      <c r="K87" s="44">
        <v>10.973000000000001</v>
      </c>
      <c r="L87" s="85">
        <v>44377</v>
      </c>
      <c r="M87" s="44">
        <v>10.973000000000001</v>
      </c>
      <c r="N87" s="85">
        <v>44377</v>
      </c>
      <c r="O87" s="44">
        <v>10.973000000000001</v>
      </c>
      <c r="P87" s="85"/>
      <c r="Q87" s="29"/>
    </row>
    <row r="88" spans="3:17" outlineLevel="1" x14ac:dyDescent="0.25">
      <c r="C88" s="18" t="s">
        <v>57</v>
      </c>
      <c r="D88" s="18" t="s">
        <v>111</v>
      </c>
      <c r="E88" s="18" t="s">
        <v>66</v>
      </c>
      <c r="F88" s="18" t="s">
        <v>101</v>
      </c>
      <c r="G88" s="18" t="s">
        <v>32</v>
      </c>
      <c r="H88" s="84">
        <v>44196</v>
      </c>
      <c r="I88" s="30">
        <v>8.44</v>
      </c>
      <c r="J88" s="85">
        <v>44377</v>
      </c>
      <c r="K88" s="44">
        <v>9.2899999999999991</v>
      </c>
      <c r="L88" s="85">
        <v>44377</v>
      </c>
      <c r="M88" s="44">
        <v>9.2899999999999991</v>
      </c>
      <c r="N88" s="85">
        <v>44377</v>
      </c>
      <c r="O88" s="44">
        <v>9.2899999999999991</v>
      </c>
      <c r="P88" s="85"/>
      <c r="Q88" s="29"/>
    </row>
    <row r="89" spans="3:17" outlineLevel="1" x14ac:dyDescent="0.25">
      <c r="C89" s="18" t="s">
        <v>57</v>
      </c>
      <c r="D89" s="18" t="s">
        <v>112</v>
      </c>
      <c r="E89" s="18" t="s">
        <v>66</v>
      </c>
      <c r="F89" s="18" t="s">
        <v>101</v>
      </c>
      <c r="G89" s="18" t="s">
        <v>32</v>
      </c>
      <c r="H89" s="84">
        <v>44196</v>
      </c>
      <c r="I89" s="30">
        <v>9.27</v>
      </c>
      <c r="J89" s="85">
        <v>44377</v>
      </c>
      <c r="K89" s="44">
        <v>8.7899999999999991</v>
      </c>
      <c r="L89" s="85">
        <v>44377</v>
      </c>
      <c r="M89" s="44">
        <v>8.7899999999999991</v>
      </c>
      <c r="N89" s="85">
        <v>44377</v>
      </c>
      <c r="O89" s="44">
        <v>8.7899999999999991</v>
      </c>
      <c r="P89" s="85"/>
      <c r="Q89" s="29"/>
    </row>
    <row r="90" spans="3:17" outlineLevel="1" x14ac:dyDescent="0.25">
      <c r="C90" s="18" t="s">
        <v>57</v>
      </c>
      <c r="D90" s="18" t="s">
        <v>113</v>
      </c>
      <c r="E90" s="18" t="s">
        <v>66</v>
      </c>
      <c r="F90" s="18" t="s">
        <v>101</v>
      </c>
      <c r="G90" s="18" t="s">
        <v>31</v>
      </c>
      <c r="H90" s="84" t="s">
        <v>28</v>
      </c>
      <c r="I90" s="30" t="s">
        <v>28</v>
      </c>
      <c r="J90" s="85">
        <v>44377</v>
      </c>
      <c r="K90" s="44">
        <v>20.853200000000001</v>
      </c>
      <c r="L90" s="85">
        <v>44377</v>
      </c>
      <c r="M90" s="44">
        <v>20.853200000000001</v>
      </c>
      <c r="N90" s="85">
        <v>44377</v>
      </c>
      <c r="O90" s="44">
        <v>20.853200000000001</v>
      </c>
      <c r="P90" s="85"/>
      <c r="Q90" s="29"/>
    </row>
    <row r="91" spans="3:17" outlineLevel="1" x14ac:dyDescent="0.25">
      <c r="C91" s="18" t="s">
        <v>57</v>
      </c>
      <c r="D91" s="18" t="s">
        <v>114</v>
      </c>
      <c r="E91" s="18" t="s">
        <v>66</v>
      </c>
      <c r="F91" s="18" t="s">
        <v>101</v>
      </c>
      <c r="G91" s="18" t="s">
        <v>31</v>
      </c>
      <c r="H91" s="84" t="s">
        <v>28</v>
      </c>
      <c r="I91" s="30" t="s">
        <v>28</v>
      </c>
      <c r="J91" s="85">
        <v>44377</v>
      </c>
      <c r="K91" s="44">
        <v>15.94</v>
      </c>
      <c r="L91" s="85">
        <v>44377</v>
      </c>
      <c r="M91" s="44">
        <v>15.94</v>
      </c>
      <c r="N91" s="85">
        <v>44377</v>
      </c>
      <c r="O91" s="44">
        <v>15.94</v>
      </c>
      <c r="P91" s="85"/>
      <c r="Q91" s="29"/>
    </row>
    <row r="92" spans="3:17" outlineLevel="1" x14ac:dyDescent="0.25">
      <c r="C92" s="18" t="s">
        <v>57</v>
      </c>
      <c r="D92" s="18" t="s">
        <v>115</v>
      </c>
      <c r="E92" s="18" t="s">
        <v>66</v>
      </c>
      <c r="F92" s="18" t="s">
        <v>101</v>
      </c>
      <c r="G92" s="18" t="s">
        <v>31</v>
      </c>
      <c r="H92" s="84" t="s">
        <v>28</v>
      </c>
      <c r="I92" s="30" t="s">
        <v>28</v>
      </c>
      <c r="J92" s="85">
        <v>44377</v>
      </c>
      <c r="K92" s="44">
        <v>13.492000000000001</v>
      </c>
      <c r="L92" s="85">
        <v>44377</v>
      </c>
      <c r="M92" s="44">
        <v>13.492000000000001</v>
      </c>
      <c r="N92" s="85">
        <v>44377</v>
      </c>
      <c r="O92" s="44">
        <v>13.492000000000001</v>
      </c>
      <c r="P92" s="85"/>
      <c r="Q92" s="29"/>
    </row>
    <row r="93" spans="3:17" outlineLevel="1" x14ac:dyDescent="0.25">
      <c r="C93" s="18" t="s">
        <v>57</v>
      </c>
      <c r="D93" s="18" t="s">
        <v>116</v>
      </c>
      <c r="E93" s="18" t="s">
        <v>66</v>
      </c>
      <c r="F93" s="18" t="s">
        <v>101</v>
      </c>
      <c r="G93" s="18" t="s">
        <v>31</v>
      </c>
      <c r="H93" s="84" t="s">
        <v>28</v>
      </c>
      <c r="I93" s="30" t="s">
        <v>28</v>
      </c>
      <c r="J93" s="85">
        <v>44377</v>
      </c>
      <c r="K93" s="44">
        <v>15.87</v>
      </c>
      <c r="L93" s="85">
        <v>44377</v>
      </c>
      <c r="M93" s="44">
        <v>15.87</v>
      </c>
      <c r="N93" s="85">
        <v>44377</v>
      </c>
      <c r="O93" s="44">
        <v>15.87</v>
      </c>
      <c r="P93" s="85"/>
      <c r="Q93" s="29"/>
    </row>
    <row r="94" spans="3:17" outlineLevel="1" x14ac:dyDescent="0.25">
      <c r="C94" s="18" t="s">
        <v>57</v>
      </c>
      <c r="D94" s="18" t="s">
        <v>117</v>
      </c>
      <c r="E94" s="18" t="s">
        <v>66</v>
      </c>
      <c r="F94" s="18" t="s">
        <v>101</v>
      </c>
      <c r="G94" s="18" t="s">
        <v>31</v>
      </c>
      <c r="H94" s="84" t="s">
        <v>28</v>
      </c>
      <c r="I94" s="30" t="s">
        <v>28</v>
      </c>
      <c r="J94" s="85">
        <v>44377</v>
      </c>
      <c r="K94" s="44">
        <v>15.79</v>
      </c>
      <c r="L94" s="85">
        <v>44377</v>
      </c>
      <c r="M94" s="44">
        <v>15.79</v>
      </c>
      <c r="N94" s="85">
        <v>44377</v>
      </c>
      <c r="O94" s="44">
        <v>15.79</v>
      </c>
      <c r="P94" s="85"/>
      <c r="Q94" s="29"/>
    </row>
    <row r="95" spans="3:17" outlineLevel="1" x14ac:dyDescent="0.25">
      <c r="C95" s="18" t="s">
        <v>57</v>
      </c>
      <c r="D95" s="18" t="s">
        <v>118</v>
      </c>
      <c r="E95" s="18" t="s">
        <v>66</v>
      </c>
      <c r="F95" s="18" t="s">
        <v>101</v>
      </c>
      <c r="G95" s="18" t="s">
        <v>31</v>
      </c>
      <c r="H95" s="84" t="s">
        <v>28</v>
      </c>
      <c r="I95" s="30" t="s">
        <v>28</v>
      </c>
      <c r="J95" s="85">
        <v>44377</v>
      </c>
      <c r="K95" s="44">
        <v>4.3418999999999999</v>
      </c>
      <c r="L95" s="85">
        <v>44377</v>
      </c>
      <c r="M95" s="44">
        <v>4.3418999999999999</v>
      </c>
      <c r="N95" s="85">
        <v>44377</v>
      </c>
      <c r="O95" s="44">
        <v>4.3418999999999999</v>
      </c>
      <c r="P95" s="85"/>
      <c r="Q95" s="29"/>
    </row>
    <row r="96" spans="3:17" outlineLevel="1" x14ac:dyDescent="0.25">
      <c r="C96" s="18" t="s">
        <v>57</v>
      </c>
      <c r="D96" s="18" t="s">
        <v>119</v>
      </c>
      <c r="E96" s="18" t="s">
        <v>66</v>
      </c>
      <c r="F96" s="18" t="s">
        <v>101</v>
      </c>
      <c r="G96" s="18" t="s">
        <v>31</v>
      </c>
      <c r="H96" s="84" t="s">
        <v>28</v>
      </c>
      <c r="I96" s="30" t="s">
        <v>28</v>
      </c>
      <c r="J96" s="85">
        <v>44377</v>
      </c>
      <c r="K96" s="44">
        <v>3.98</v>
      </c>
      <c r="L96" s="85">
        <v>44377</v>
      </c>
      <c r="M96" s="44">
        <v>3.98</v>
      </c>
      <c r="N96" s="85">
        <v>44377</v>
      </c>
      <c r="O96" s="44">
        <v>3.98</v>
      </c>
      <c r="P96" s="85"/>
      <c r="Q96" s="29"/>
    </row>
    <row r="97" spans="3:17" outlineLevel="1" x14ac:dyDescent="0.25">
      <c r="C97" s="18" t="s">
        <v>57</v>
      </c>
      <c r="D97" s="18" t="s">
        <v>120</v>
      </c>
      <c r="E97" s="18" t="s">
        <v>66</v>
      </c>
      <c r="F97" s="18" t="s">
        <v>101</v>
      </c>
      <c r="G97" s="18" t="s">
        <v>31</v>
      </c>
      <c r="H97" s="84" t="s">
        <v>28</v>
      </c>
      <c r="I97" s="30" t="s">
        <v>28</v>
      </c>
      <c r="J97" s="85">
        <v>44377</v>
      </c>
      <c r="K97" s="44">
        <v>3.89</v>
      </c>
      <c r="L97" s="85">
        <v>44377</v>
      </c>
      <c r="M97" s="44">
        <v>3.89</v>
      </c>
      <c r="N97" s="85">
        <v>44377</v>
      </c>
      <c r="O97" s="44">
        <v>3.89</v>
      </c>
      <c r="P97" s="85"/>
      <c r="Q97" s="29"/>
    </row>
    <row r="98" spans="3:17" outlineLevel="1" x14ac:dyDescent="0.25">
      <c r="C98" s="18" t="s">
        <v>57</v>
      </c>
      <c r="D98" s="18" t="s">
        <v>121</v>
      </c>
      <c r="E98" s="18" t="s">
        <v>66</v>
      </c>
      <c r="F98" s="18" t="s">
        <v>101</v>
      </c>
      <c r="G98" s="18" t="s">
        <v>31</v>
      </c>
      <c r="H98" s="84" t="s">
        <v>28</v>
      </c>
      <c r="I98" s="30" t="s">
        <v>28</v>
      </c>
      <c r="J98" s="85">
        <v>44377</v>
      </c>
      <c r="K98" s="44">
        <v>3.96</v>
      </c>
      <c r="L98" s="85">
        <v>44377</v>
      </c>
      <c r="M98" s="44">
        <v>3.96</v>
      </c>
      <c r="N98" s="85">
        <v>44377</v>
      </c>
      <c r="O98" s="44">
        <v>3.96</v>
      </c>
      <c r="P98" s="85"/>
      <c r="Q98" s="29"/>
    </row>
    <row r="99" spans="3:17" outlineLevel="1" x14ac:dyDescent="0.25">
      <c r="C99" s="18" t="s">
        <v>57</v>
      </c>
      <c r="D99" s="18" t="s">
        <v>122</v>
      </c>
      <c r="E99" s="18" t="s">
        <v>66</v>
      </c>
      <c r="F99" s="18" t="s">
        <v>101</v>
      </c>
      <c r="G99" s="18" t="s">
        <v>31</v>
      </c>
      <c r="H99" s="84" t="s">
        <v>28</v>
      </c>
      <c r="I99" s="30" t="s">
        <v>28</v>
      </c>
      <c r="J99" s="85">
        <v>44377</v>
      </c>
      <c r="K99" s="44">
        <v>3.95</v>
      </c>
      <c r="L99" s="85">
        <v>44377</v>
      </c>
      <c r="M99" s="44">
        <v>3.95</v>
      </c>
      <c r="N99" s="85">
        <v>44377</v>
      </c>
      <c r="O99" s="44">
        <v>3.95</v>
      </c>
      <c r="P99" s="85"/>
      <c r="Q99" s="29"/>
    </row>
    <row r="100" spans="3:17" outlineLevel="1" x14ac:dyDescent="0.25">
      <c r="C100" s="18" t="s">
        <v>57</v>
      </c>
      <c r="D100" s="18" t="s">
        <v>123</v>
      </c>
      <c r="E100" s="18" t="s">
        <v>66</v>
      </c>
      <c r="F100" s="18" t="s">
        <v>101</v>
      </c>
      <c r="G100" s="18" t="s">
        <v>32</v>
      </c>
      <c r="H100" s="84" t="s">
        <v>28</v>
      </c>
      <c r="I100" s="30" t="s">
        <v>28</v>
      </c>
      <c r="J100" s="85">
        <v>44377</v>
      </c>
      <c r="K100" s="44">
        <v>17.508700000000001</v>
      </c>
      <c r="L100" s="85">
        <v>44377</v>
      </c>
      <c r="M100" s="44">
        <v>17.508700000000001</v>
      </c>
      <c r="N100" s="85">
        <v>44377</v>
      </c>
      <c r="O100" s="44">
        <v>17.508700000000001</v>
      </c>
      <c r="P100" s="85"/>
      <c r="Q100" s="29"/>
    </row>
    <row r="101" spans="3:17" outlineLevel="1" x14ac:dyDescent="0.25">
      <c r="C101" s="18" t="s">
        <v>57</v>
      </c>
      <c r="D101" s="18" t="s">
        <v>124</v>
      </c>
      <c r="E101" s="18" t="s">
        <v>66</v>
      </c>
      <c r="F101" s="18" t="s">
        <v>101</v>
      </c>
      <c r="G101" s="18" t="s">
        <v>32</v>
      </c>
      <c r="H101" s="84" t="s">
        <v>28</v>
      </c>
      <c r="I101" s="30" t="s">
        <v>28</v>
      </c>
      <c r="J101" s="85">
        <v>44377</v>
      </c>
      <c r="K101" s="44">
        <v>13.02</v>
      </c>
      <c r="L101" s="85">
        <v>44377</v>
      </c>
      <c r="M101" s="44">
        <v>13.02</v>
      </c>
      <c r="N101" s="85">
        <v>44377</v>
      </c>
      <c r="O101" s="44">
        <v>13.02</v>
      </c>
      <c r="P101" s="85"/>
      <c r="Q101" s="29"/>
    </row>
    <row r="102" spans="3:17" outlineLevel="1" x14ac:dyDescent="0.25">
      <c r="C102" s="18" t="s">
        <v>57</v>
      </c>
      <c r="D102" s="18" t="s">
        <v>125</v>
      </c>
      <c r="E102" s="18" t="s">
        <v>66</v>
      </c>
      <c r="F102" s="18" t="s">
        <v>101</v>
      </c>
      <c r="G102" s="18" t="s">
        <v>32</v>
      </c>
      <c r="H102" s="84" t="s">
        <v>28</v>
      </c>
      <c r="I102" s="30" t="s">
        <v>28</v>
      </c>
      <c r="J102" s="85">
        <v>44377</v>
      </c>
      <c r="K102" s="44">
        <v>14.331</v>
      </c>
      <c r="L102" s="85">
        <v>44377</v>
      </c>
      <c r="M102" s="44">
        <v>14.331</v>
      </c>
      <c r="N102" s="85">
        <v>44377</v>
      </c>
      <c r="O102" s="44">
        <v>14.331</v>
      </c>
      <c r="P102" s="85"/>
      <c r="Q102" s="29"/>
    </row>
    <row r="103" spans="3:17" outlineLevel="1" x14ac:dyDescent="0.25">
      <c r="C103" s="18" t="s">
        <v>57</v>
      </c>
      <c r="D103" s="18" t="s">
        <v>126</v>
      </c>
      <c r="E103" s="18" t="s">
        <v>66</v>
      </c>
      <c r="F103" s="18" t="s">
        <v>101</v>
      </c>
      <c r="G103" s="18" t="s">
        <v>32</v>
      </c>
      <c r="H103" s="84" t="s">
        <v>28</v>
      </c>
      <c r="I103" s="30" t="s">
        <v>28</v>
      </c>
      <c r="J103" s="85">
        <v>44377</v>
      </c>
      <c r="K103" s="44">
        <v>14.75</v>
      </c>
      <c r="L103" s="85">
        <v>44377</v>
      </c>
      <c r="M103" s="44">
        <v>14.75</v>
      </c>
      <c r="N103" s="85">
        <v>44377</v>
      </c>
      <c r="O103" s="44">
        <v>14.75</v>
      </c>
      <c r="P103" s="85"/>
      <c r="Q103" s="29"/>
    </row>
    <row r="104" spans="3:17" outlineLevel="1" x14ac:dyDescent="0.25">
      <c r="C104" s="18" t="s">
        <v>57</v>
      </c>
      <c r="D104" s="18" t="s">
        <v>127</v>
      </c>
      <c r="E104" s="18" t="s">
        <v>66</v>
      </c>
      <c r="F104" s="18" t="s">
        <v>101</v>
      </c>
      <c r="G104" s="18" t="s">
        <v>32</v>
      </c>
      <c r="H104" s="84" t="s">
        <v>28</v>
      </c>
      <c r="I104" s="30" t="s">
        <v>28</v>
      </c>
      <c r="J104" s="85">
        <v>44377</v>
      </c>
      <c r="K104" s="44">
        <v>13.99</v>
      </c>
      <c r="L104" s="85">
        <v>44377</v>
      </c>
      <c r="M104" s="44">
        <v>13.99</v>
      </c>
      <c r="N104" s="85">
        <v>44377</v>
      </c>
      <c r="O104" s="44">
        <v>13.99</v>
      </c>
      <c r="P104" s="85"/>
      <c r="Q104" s="29"/>
    </row>
    <row r="105" spans="3:17" outlineLevel="1" x14ac:dyDescent="0.25">
      <c r="C105" s="18" t="s">
        <v>57</v>
      </c>
      <c r="D105" s="18" t="s">
        <v>128</v>
      </c>
      <c r="E105" s="18" t="s">
        <v>66</v>
      </c>
      <c r="F105" s="18" t="s">
        <v>101</v>
      </c>
      <c r="G105" s="18" t="s">
        <v>32</v>
      </c>
      <c r="H105" s="84" t="s">
        <v>28</v>
      </c>
      <c r="I105" s="30" t="s">
        <v>28</v>
      </c>
      <c r="J105" s="85">
        <v>44377</v>
      </c>
      <c r="K105" s="44">
        <v>4.2656000000000001</v>
      </c>
      <c r="L105" s="85">
        <v>44377</v>
      </c>
      <c r="M105" s="44">
        <v>4.2656000000000001</v>
      </c>
      <c r="N105" s="85">
        <v>44377</v>
      </c>
      <c r="O105" s="44">
        <v>4.2656000000000001</v>
      </c>
      <c r="P105" s="85"/>
      <c r="Q105" s="29"/>
    </row>
    <row r="106" spans="3:17" outlineLevel="1" x14ac:dyDescent="0.25">
      <c r="C106" s="18" t="s">
        <v>57</v>
      </c>
      <c r="D106" s="18" t="s">
        <v>129</v>
      </c>
      <c r="E106" s="18" t="s">
        <v>66</v>
      </c>
      <c r="F106" s="18" t="s">
        <v>101</v>
      </c>
      <c r="G106" s="18" t="s">
        <v>32</v>
      </c>
      <c r="H106" s="84" t="s">
        <v>28</v>
      </c>
      <c r="I106" s="30" t="s">
        <v>28</v>
      </c>
      <c r="J106" s="85">
        <v>44377</v>
      </c>
      <c r="K106" s="44">
        <v>2.89</v>
      </c>
      <c r="L106" s="85">
        <v>44377</v>
      </c>
      <c r="M106" s="44">
        <v>2.89</v>
      </c>
      <c r="N106" s="85">
        <v>44377</v>
      </c>
      <c r="O106" s="44">
        <v>2.89</v>
      </c>
      <c r="P106" s="85"/>
      <c r="Q106" s="29"/>
    </row>
    <row r="107" spans="3:17" outlineLevel="1" x14ac:dyDescent="0.25">
      <c r="C107" s="18" t="s">
        <v>57</v>
      </c>
      <c r="D107" s="18" t="s">
        <v>130</v>
      </c>
      <c r="E107" s="18" t="s">
        <v>66</v>
      </c>
      <c r="F107" s="18" t="s">
        <v>101</v>
      </c>
      <c r="G107" s="18" t="s">
        <v>32</v>
      </c>
      <c r="H107" s="84" t="s">
        <v>28</v>
      </c>
      <c r="I107" s="30" t="s">
        <v>28</v>
      </c>
      <c r="J107" s="85">
        <v>44377</v>
      </c>
      <c r="K107" s="44">
        <v>3.052</v>
      </c>
      <c r="L107" s="85">
        <v>44377</v>
      </c>
      <c r="M107" s="44">
        <v>3.052</v>
      </c>
      <c r="N107" s="85">
        <v>44377</v>
      </c>
      <c r="O107" s="44">
        <v>3.052</v>
      </c>
      <c r="P107" s="85"/>
      <c r="Q107" s="29"/>
    </row>
    <row r="108" spans="3:17" outlineLevel="1" x14ac:dyDescent="0.25">
      <c r="C108" s="18" t="s">
        <v>57</v>
      </c>
      <c r="D108" s="18" t="s">
        <v>131</v>
      </c>
      <c r="E108" s="18" t="s">
        <v>66</v>
      </c>
      <c r="F108" s="18" t="s">
        <v>101</v>
      </c>
      <c r="G108" s="18" t="s">
        <v>32</v>
      </c>
      <c r="H108" s="84" t="s">
        <v>28</v>
      </c>
      <c r="I108" s="30" t="s">
        <v>28</v>
      </c>
      <c r="J108" s="85">
        <v>44377</v>
      </c>
      <c r="K108" s="44">
        <v>3.28</v>
      </c>
      <c r="L108" s="85">
        <v>44377</v>
      </c>
      <c r="M108" s="44">
        <v>3.28</v>
      </c>
      <c r="N108" s="85">
        <v>44377</v>
      </c>
      <c r="O108" s="44">
        <v>3.28</v>
      </c>
      <c r="P108" s="85"/>
      <c r="Q108" s="29"/>
    </row>
    <row r="109" spans="3:17" outlineLevel="1" x14ac:dyDescent="0.25">
      <c r="C109" s="18" t="s">
        <v>57</v>
      </c>
      <c r="D109" s="18" t="s">
        <v>132</v>
      </c>
      <c r="E109" s="18" t="s">
        <v>66</v>
      </c>
      <c r="F109" s="18" t="s">
        <v>101</v>
      </c>
      <c r="G109" s="18" t="s">
        <v>32</v>
      </c>
      <c r="H109" s="84" t="s">
        <v>28</v>
      </c>
      <c r="I109" s="30" t="s">
        <v>28</v>
      </c>
      <c r="J109" s="85">
        <v>44377</v>
      </c>
      <c r="K109" s="44">
        <v>3.11</v>
      </c>
      <c r="L109" s="85">
        <v>44377</v>
      </c>
      <c r="M109" s="44">
        <v>3.11</v>
      </c>
      <c r="N109" s="85">
        <v>44377</v>
      </c>
      <c r="O109" s="44">
        <v>3.11</v>
      </c>
      <c r="P109" s="85"/>
      <c r="Q109" s="29"/>
    </row>
    <row r="110" spans="3:17" outlineLevel="1" x14ac:dyDescent="0.25">
      <c r="C110" s="18" t="s">
        <v>57</v>
      </c>
      <c r="D110" s="18" t="s">
        <v>133</v>
      </c>
      <c r="E110" s="18" t="s">
        <v>66</v>
      </c>
      <c r="F110" s="18" t="s">
        <v>101</v>
      </c>
      <c r="G110" s="18" t="s">
        <v>31</v>
      </c>
      <c r="H110" s="84">
        <v>44196</v>
      </c>
      <c r="I110" s="30">
        <v>3.8612000000000002</v>
      </c>
      <c r="J110" s="85">
        <v>44377</v>
      </c>
      <c r="K110" s="44">
        <v>4.2622999999999998</v>
      </c>
      <c r="L110" s="85">
        <v>44377</v>
      </c>
      <c r="M110" s="44">
        <v>4.2622999999999998</v>
      </c>
      <c r="N110" s="85">
        <v>44377</v>
      </c>
      <c r="O110" s="44">
        <v>4.2622999999999998</v>
      </c>
      <c r="P110" s="85"/>
      <c r="Q110" s="29"/>
    </row>
    <row r="111" spans="3:17" outlineLevel="1" x14ac:dyDescent="0.25">
      <c r="C111" s="18" t="s">
        <v>57</v>
      </c>
      <c r="D111" s="18" t="s">
        <v>134</v>
      </c>
      <c r="E111" s="18" t="s">
        <v>66</v>
      </c>
      <c r="F111" s="18" t="s">
        <v>101</v>
      </c>
      <c r="G111" s="18" t="s">
        <v>31</v>
      </c>
      <c r="H111" s="84">
        <v>44196</v>
      </c>
      <c r="I111" s="30">
        <v>2.09</v>
      </c>
      <c r="J111" s="85">
        <v>44377</v>
      </c>
      <c r="K111" s="44">
        <v>2.4700000000000002</v>
      </c>
      <c r="L111" s="85">
        <v>44377</v>
      </c>
      <c r="M111" s="44">
        <v>2.4700000000000002</v>
      </c>
      <c r="N111" s="85">
        <v>44377</v>
      </c>
      <c r="O111" s="44">
        <v>2.4700000000000002</v>
      </c>
      <c r="P111" s="85"/>
      <c r="Q111" s="29"/>
    </row>
    <row r="112" spans="3:17" outlineLevel="1" x14ac:dyDescent="0.25">
      <c r="C112" s="18" t="s">
        <v>57</v>
      </c>
      <c r="D112" s="18" t="s">
        <v>135</v>
      </c>
      <c r="E112" s="18" t="s">
        <v>66</v>
      </c>
      <c r="F112" s="18" t="s">
        <v>101</v>
      </c>
      <c r="G112" s="18" t="s">
        <v>31</v>
      </c>
      <c r="H112" s="84">
        <v>44196</v>
      </c>
      <c r="I112" s="30">
        <v>2.9159999999999999</v>
      </c>
      <c r="J112" s="85">
        <v>44377</v>
      </c>
      <c r="K112" s="44">
        <v>3.5990000000000002</v>
      </c>
      <c r="L112" s="85">
        <v>44377</v>
      </c>
      <c r="M112" s="44">
        <v>3.5990000000000002</v>
      </c>
      <c r="N112" s="85">
        <v>44377</v>
      </c>
      <c r="O112" s="44">
        <v>3.5990000000000002</v>
      </c>
      <c r="P112" s="85"/>
      <c r="Q112" s="29"/>
    </row>
    <row r="113" spans="1:18" outlineLevel="1" x14ac:dyDescent="0.25">
      <c r="C113" s="18" t="s">
        <v>57</v>
      </c>
      <c r="D113" s="18" t="s">
        <v>136</v>
      </c>
      <c r="E113" s="18" t="s">
        <v>66</v>
      </c>
      <c r="F113" s="18" t="s">
        <v>101</v>
      </c>
      <c r="G113" s="18" t="s">
        <v>31</v>
      </c>
      <c r="H113" s="84">
        <v>44196</v>
      </c>
      <c r="I113" s="30">
        <v>2.14</v>
      </c>
      <c r="J113" s="85">
        <v>44377</v>
      </c>
      <c r="K113" s="44">
        <v>2.39</v>
      </c>
      <c r="L113" s="85">
        <v>44377</v>
      </c>
      <c r="M113" s="44">
        <v>2.39</v>
      </c>
      <c r="N113" s="85">
        <v>44377</v>
      </c>
      <c r="O113" s="44">
        <v>2.39</v>
      </c>
      <c r="P113" s="85"/>
      <c r="Q113" s="29"/>
    </row>
    <row r="114" spans="1:18" outlineLevel="1" x14ac:dyDescent="0.25">
      <c r="C114" s="35" t="s">
        <v>57</v>
      </c>
      <c r="D114" s="35" t="s">
        <v>137</v>
      </c>
      <c r="E114" s="35" t="s">
        <v>66</v>
      </c>
      <c r="F114" s="35" t="s">
        <v>101</v>
      </c>
      <c r="G114" s="18" t="s">
        <v>31</v>
      </c>
      <c r="H114" s="84">
        <v>44196</v>
      </c>
      <c r="I114" s="30">
        <v>1.73</v>
      </c>
      <c r="J114" s="85">
        <v>44377</v>
      </c>
      <c r="K114" s="44">
        <v>2.17</v>
      </c>
      <c r="L114" s="85">
        <v>44377</v>
      </c>
      <c r="M114" s="44">
        <v>2.17</v>
      </c>
      <c r="N114" s="85">
        <v>44377</v>
      </c>
      <c r="O114" s="44">
        <v>2.17</v>
      </c>
      <c r="P114" s="85"/>
      <c r="Q114" s="29"/>
    </row>
    <row r="115" spans="1:18" outlineLevel="1" x14ac:dyDescent="0.25">
      <c r="C115" s="18" t="s">
        <v>138</v>
      </c>
      <c r="D115" s="18" t="s">
        <v>139</v>
      </c>
      <c r="E115" s="18" t="s">
        <v>9</v>
      </c>
      <c r="F115" s="18" t="s">
        <v>140</v>
      </c>
      <c r="G115" s="18" t="s">
        <v>46</v>
      </c>
      <c r="H115" s="84" t="s">
        <v>28</v>
      </c>
      <c r="I115" s="30">
        <v>6.0400000000000002E-2</v>
      </c>
      <c r="J115" s="84" t="s">
        <v>28</v>
      </c>
      <c r="K115" s="96">
        <v>6.0400000000000002E-2</v>
      </c>
      <c r="L115" s="84" t="s">
        <v>28</v>
      </c>
      <c r="M115" s="30">
        <v>6.0400000000000002E-2</v>
      </c>
      <c r="N115" s="85" t="s">
        <v>28</v>
      </c>
      <c r="O115" s="173">
        <v>6.0400000000000002E-2</v>
      </c>
      <c r="P115" s="85"/>
      <c r="Q115" s="29"/>
    </row>
    <row r="116" spans="1:18" outlineLevel="1" x14ac:dyDescent="0.25">
      <c r="C116" s="18" t="s">
        <v>141</v>
      </c>
      <c r="D116" s="103" t="s">
        <v>142</v>
      </c>
      <c r="E116" s="18" t="s">
        <v>9</v>
      </c>
      <c r="F116" s="18" t="s">
        <v>140</v>
      </c>
      <c r="G116" s="18" t="s">
        <v>46</v>
      </c>
      <c r="H116" s="84" t="s">
        <v>28</v>
      </c>
      <c r="I116" s="30">
        <v>0.99914999999999998</v>
      </c>
      <c r="J116" s="84" t="s">
        <v>28</v>
      </c>
      <c r="K116" s="96">
        <v>0.99914999999999998</v>
      </c>
      <c r="L116" s="84" t="s">
        <v>28</v>
      </c>
      <c r="M116" s="30">
        <v>0.99914999999999998</v>
      </c>
      <c r="N116" s="85" t="s">
        <v>28</v>
      </c>
      <c r="O116" s="173">
        <v>1.0016499999999999</v>
      </c>
      <c r="P116" s="85"/>
      <c r="Q116" s="29"/>
    </row>
    <row r="117" spans="1:18" outlineLevel="1" x14ac:dyDescent="0.25">
      <c r="C117" s="18" t="s">
        <v>141</v>
      </c>
      <c r="D117" s="103" t="s">
        <v>143</v>
      </c>
      <c r="E117" s="18" t="s">
        <v>9</v>
      </c>
      <c r="F117" s="18" t="s">
        <v>140</v>
      </c>
      <c r="G117" s="18" t="s">
        <v>46</v>
      </c>
      <c r="H117" s="84" t="s">
        <v>28</v>
      </c>
      <c r="I117" s="30">
        <v>0.99780999999999997</v>
      </c>
      <c r="J117" s="84" t="s">
        <v>28</v>
      </c>
      <c r="K117" s="96">
        <v>0.99780999999999997</v>
      </c>
      <c r="L117" s="84" t="s">
        <v>28</v>
      </c>
      <c r="M117" s="30">
        <v>0.99780999999999997</v>
      </c>
      <c r="N117" s="85" t="s">
        <v>28</v>
      </c>
      <c r="O117" s="173">
        <v>0.99756</v>
      </c>
      <c r="P117" s="85"/>
      <c r="Q117" s="29"/>
    </row>
    <row r="118" spans="1:18" outlineLevel="1" x14ac:dyDescent="0.25">
      <c r="C118" s="18" t="s">
        <v>141</v>
      </c>
      <c r="D118" s="103" t="s">
        <v>144</v>
      </c>
      <c r="E118" s="18" t="s">
        <v>9</v>
      </c>
      <c r="F118" s="18" t="s">
        <v>140</v>
      </c>
      <c r="G118" s="18" t="s">
        <v>46</v>
      </c>
      <c r="H118" s="84" t="s">
        <v>28</v>
      </c>
      <c r="I118" s="30">
        <v>0.99831111111111126</v>
      </c>
      <c r="J118" s="84" t="s">
        <v>28</v>
      </c>
      <c r="K118" s="96">
        <v>0.99831111111111126</v>
      </c>
      <c r="L118" s="84" t="s">
        <v>28</v>
      </c>
      <c r="M118" s="30">
        <v>0.99831111111111126</v>
      </c>
      <c r="N118" s="85" t="s">
        <v>28</v>
      </c>
      <c r="O118" s="173">
        <v>0.99891111111111108</v>
      </c>
      <c r="P118" s="85"/>
      <c r="Q118" s="29"/>
    </row>
    <row r="119" spans="1:18" outlineLevel="1" x14ac:dyDescent="0.25">
      <c r="C119" s="18" t="s">
        <v>141</v>
      </c>
      <c r="D119" s="103" t="s">
        <v>145</v>
      </c>
      <c r="E119" s="18" t="s">
        <v>9</v>
      </c>
      <c r="F119" s="18" t="s">
        <v>140</v>
      </c>
      <c r="G119" s="18" t="s">
        <v>46</v>
      </c>
      <c r="H119" s="84" t="s">
        <v>28</v>
      </c>
      <c r="I119" s="30">
        <v>0.98904090909090892</v>
      </c>
      <c r="J119" s="84" t="s">
        <v>28</v>
      </c>
      <c r="K119" s="96">
        <v>0.98904090909090892</v>
      </c>
      <c r="L119" s="84" t="s">
        <v>28</v>
      </c>
      <c r="M119" s="30">
        <v>0.98904090909090892</v>
      </c>
      <c r="N119" s="85" t="s">
        <v>28</v>
      </c>
      <c r="O119" s="173">
        <v>0.99418636363636348</v>
      </c>
      <c r="P119" s="85"/>
      <c r="Q119" s="29"/>
    </row>
    <row r="120" spans="1:18" outlineLevel="1" x14ac:dyDescent="0.25">
      <c r="C120" s="18" t="s">
        <v>141</v>
      </c>
      <c r="D120" s="103" t="s">
        <v>146</v>
      </c>
      <c r="E120" s="18" t="s">
        <v>9</v>
      </c>
      <c r="F120" s="18" t="s">
        <v>140</v>
      </c>
      <c r="G120" s="18" t="s">
        <v>46</v>
      </c>
      <c r="H120" s="84" t="s">
        <v>28</v>
      </c>
      <c r="I120" s="30">
        <v>0.99633000000000005</v>
      </c>
      <c r="J120" s="84" t="s">
        <v>28</v>
      </c>
      <c r="K120" s="96">
        <v>0.99633000000000005</v>
      </c>
      <c r="L120" s="84" t="s">
        <v>28</v>
      </c>
      <c r="M120" s="30">
        <v>0.99633000000000005</v>
      </c>
      <c r="N120" s="85" t="s">
        <v>28</v>
      </c>
      <c r="O120" s="173">
        <v>0.99576000000000009</v>
      </c>
      <c r="P120" s="85"/>
      <c r="Q120" s="29"/>
    </row>
    <row r="121" spans="1:18" outlineLevel="1" x14ac:dyDescent="0.25">
      <c r="C121" s="18" t="s">
        <v>147</v>
      </c>
      <c r="D121" s="103" t="s">
        <v>148</v>
      </c>
      <c r="E121" s="18" t="s">
        <v>9</v>
      </c>
      <c r="F121" s="18" t="s">
        <v>140</v>
      </c>
      <c r="G121" s="18" t="s">
        <v>46</v>
      </c>
      <c r="H121" s="84" t="s">
        <v>28</v>
      </c>
      <c r="I121" s="30">
        <v>1.06795</v>
      </c>
      <c r="J121" s="84" t="s">
        <v>28</v>
      </c>
      <c r="K121" s="96">
        <v>1.06795</v>
      </c>
      <c r="L121" s="84" t="s">
        <v>28</v>
      </c>
      <c r="M121" s="30">
        <v>1.06795</v>
      </c>
      <c r="N121" s="85" t="s">
        <v>28</v>
      </c>
      <c r="O121" s="173">
        <v>1.0686</v>
      </c>
      <c r="P121" s="85"/>
      <c r="Q121" s="29"/>
    </row>
    <row r="122" spans="1:18" outlineLevel="1" x14ac:dyDescent="0.25">
      <c r="C122" s="18" t="s">
        <v>147</v>
      </c>
      <c r="D122" s="103" t="s">
        <v>149</v>
      </c>
      <c r="E122" s="18" t="s">
        <v>9</v>
      </c>
      <c r="F122" s="18" t="s">
        <v>140</v>
      </c>
      <c r="G122" s="18" t="s">
        <v>46</v>
      </c>
      <c r="H122" s="84" t="s">
        <v>28</v>
      </c>
      <c r="I122" s="30">
        <v>1.0508999999999999</v>
      </c>
      <c r="J122" s="84" t="s">
        <v>28</v>
      </c>
      <c r="K122" s="96">
        <v>1.0508999999999999</v>
      </c>
      <c r="L122" s="84" t="s">
        <v>28</v>
      </c>
      <c r="M122" s="30">
        <v>1.0508999999999999</v>
      </c>
      <c r="N122" s="85" t="s">
        <v>28</v>
      </c>
      <c r="O122" s="173">
        <v>1.0525</v>
      </c>
      <c r="P122" s="85"/>
      <c r="Q122" s="29"/>
    </row>
    <row r="123" spans="1:18" outlineLevel="1" x14ac:dyDescent="0.25">
      <c r="C123" s="18" t="s">
        <v>147</v>
      </c>
      <c r="D123" s="103" t="s">
        <v>150</v>
      </c>
      <c r="E123" s="18" t="s">
        <v>9</v>
      </c>
      <c r="F123" s="18" t="s">
        <v>140</v>
      </c>
      <c r="G123" s="18" t="s">
        <v>46</v>
      </c>
      <c r="H123" s="84" t="s">
        <v>28</v>
      </c>
      <c r="I123" s="30">
        <v>1.0394000000000001</v>
      </c>
      <c r="J123" s="84" t="s">
        <v>28</v>
      </c>
      <c r="K123" s="96">
        <v>1.0394000000000001</v>
      </c>
      <c r="L123" s="84" t="s">
        <v>28</v>
      </c>
      <c r="M123" s="30">
        <v>1.0394000000000001</v>
      </c>
      <c r="N123" s="85" t="s">
        <v>28</v>
      </c>
      <c r="O123" s="173">
        <v>1.0429999999999999</v>
      </c>
      <c r="P123" s="85"/>
      <c r="Q123" s="29"/>
    </row>
    <row r="124" spans="1:18" outlineLevel="1" x14ac:dyDescent="0.25">
      <c r="C124" s="18" t="s">
        <v>147</v>
      </c>
      <c r="D124" s="103" t="s">
        <v>151</v>
      </c>
      <c r="E124" s="18" t="s">
        <v>9</v>
      </c>
      <c r="F124" s="18" t="s">
        <v>140</v>
      </c>
      <c r="G124" s="18" t="s">
        <v>46</v>
      </c>
      <c r="H124" s="84" t="s">
        <v>28</v>
      </c>
      <c r="I124" s="30">
        <v>1.0829499999999999</v>
      </c>
      <c r="J124" s="84" t="s">
        <v>28</v>
      </c>
      <c r="K124" s="96">
        <v>1.0829499999999999</v>
      </c>
      <c r="L124" s="84" t="s">
        <v>28</v>
      </c>
      <c r="M124" s="30">
        <v>1.0829499999999999</v>
      </c>
      <c r="N124" s="85" t="s">
        <v>28</v>
      </c>
      <c r="O124" s="173">
        <v>1.0806</v>
      </c>
      <c r="P124" s="85"/>
      <c r="Q124" s="29"/>
    </row>
    <row r="125" spans="1:18" outlineLevel="1" x14ac:dyDescent="0.25">
      <c r="C125" s="18" t="s">
        <v>147</v>
      </c>
      <c r="D125" s="103" t="s">
        <v>152</v>
      </c>
      <c r="E125" s="18" t="s">
        <v>9</v>
      </c>
      <c r="F125" s="18" t="s">
        <v>140</v>
      </c>
      <c r="G125" s="18" t="s">
        <v>46</v>
      </c>
      <c r="H125" s="84" t="s">
        <v>28</v>
      </c>
      <c r="I125" s="30">
        <v>1.0563</v>
      </c>
      <c r="J125" s="84" t="s">
        <v>28</v>
      </c>
      <c r="K125" s="96">
        <v>1.0563</v>
      </c>
      <c r="L125" s="84" t="s">
        <v>28</v>
      </c>
      <c r="M125" s="30">
        <v>1.0563</v>
      </c>
      <c r="N125" s="85" t="s">
        <v>28</v>
      </c>
      <c r="O125" s="173">
        <v>1.0525</v>
      </c>
      <c r="P125" s="85"/>
      <c r="Q125" s="29"/>
    </row>
    <row r="126" spans="1:18" outlineLevel="1" x14ac:dyDescent="0.25"/>
    <row r="127" spans="1:18" x14ac:dyDescent="0.25">
      <c r="P127" s="177"/>
    </row>
    <row r="128" spans="1:18" ht="16.5" thickBot="1" x14ac:dyDescent="0.3">
      <c r="A128" s="1" t="s">
        <v>19</v>
      </c>
      <c r="B128" s="7">
        <f ca="1">MAX(B$3:B127)+0.1</f>
        <v>4.1999999999999993</v>
      </c>
      <c r="C128" s="22" t="s">
        <v>349</v>
      </c>
      <c r="D128" s="22"/>
      <c r="E128" s="22"/>
      <c r="F128" s="22"/>
      <c r="G128" s="22"/>
      <c r="H128" s="22"/>
      <c r="I128" s="22"/>
      <c r="J128" s="22"/>
      <c r="K128" s="22"/>
      <c r="L128" s="22"/>
      <c r="M128" s="22"/>
      <c r="N128" s="22"/>
      <c r="O128" s="22"/>
      <c r="P128" s="22"/>
      <c r="Q128" s="22"/>
      <c r="R128" s="22"/>
    </row>
    <row r="129" spans="3:14" outlineLevel="1" x14ac:dyDescent="0.25"/>
    <row r="130" spans="3:14" ht="15.75" outlineLevel="1" x14ac:dyDescent="0.25">
      <c r="H130" s="31" t="s">
        <v>35</v>
      </c>
      <c r="I130" s="2">
        <v>2021</v>
      </c>
      <c r="J130" s="2">
        <v>2021</v>
      </c>
      <c r="K130" s="2">
        <v>2021</v>
      </c>
      <c r="L130" s="2">
        <v>2022</v>
      </c>
      <c r="M130" s="2">
        <v>2022</v>
      </c>
    </row>
    <row r="131" spans="3:14" ht="15.75" outlineLevel="1" x14ac:dyDescent="0.25">
      <c r="H131" s="31" t="s">
        <v>36</v>
      </c>
      <c r="I131" s="32" t="str">
        <f>"VDO "&amp;I130&amp;" - "&amp;IF(LEFT(I133,1)="F","Final",IF(LEFT(I133,1)="D","Draft",IF(LEFT(I133,2)="VD","Variation draft",IF(LEFT(I133,2)="VF","Variation final"))))</f>
        <v>VDO 2021 - Final</v>
      </c>
      <c r="J131" s="32" t="str">
        <f>"VDO "&amp;J130&amp;" - "&amp;IF(LEFT(J133,1)="F","Final",IF(LEFT(J133,1)="D","Draft",IF(LEFT(J133,2)="VD","Variation draft",IF(LEFT(J133,2)="VF","Variation final"))))</f>
        <v>VDO 2021 - Variation draft</v>
      </c>
      <c r="K131" s="32" t="str">
        <f>"VDO "&amp;K130&amp;" - "&amp;IF(LEFT(K133,1)="F","Final",IF(LEFT(K133,1)="D","Draft",IF(LEFT(K133,2)="VD","Variation draft",IF(LEFT(K133,2)="VF","Variation final"))))</f>
        <v>VDO 2021 - Variation final</v>
      </c>
      <c r="L131" s="32" t="str">
        <f t="shared" ref="L131" si="0">"VDO "&amp;L130&amp;" - "&amp;IF(LEFT(L133,1)="F","Final",IF(LEFT(L133,1)="D","Draft",IF(LEFT(L133,2)="VD","Variation draft",IF(LEFT(L133,2)="VF","Variation final"))))</f>
        <v>VDO 2022 - Draft</v>
      </c>
      <c r="M131" s="32" t="str">
        <f t="shared" ref="M131" si="1">"VDO "&amp;M130&amp;" - "&amp;IF(LEFT(M133,1)="F","Final",IF(LEFT(M133,1)="D","Draft",IF(LEFT(M133,2)="VD","Variation draft",IF(LEFT(M133,2)="VF","Variation final"))))</f>
        <v>VDO 2022 - Final</v>
      </c>
    </row>
    <row r="132" spans="3:14" ht="15.75" outlineLevel="1" x14ac:dyDescent="0.25">
      <c r="C132" s="23" t="s">
        <v>397</v>
      </c>
    </row>
    <row r="133" spans="3:14" ht="15.75" outlineLevel="1" x14ac:dyDescent="0.25">
      <c r="C133" s="34" t="s">
        <v>153</v>
      </c>
      <c r="D133" s="34" t="s">
        <v>154</v>
      </c>
      <c r="E133" s="34" t="s">
        <v>155</v>
      </c>
      <c r="F133" s="34" t="s">
        <v>38</v>
      </c>
      <c r="G133" s="34" t="s">
        <v>30</v>
      </c>
      <c r="H133" s="34" t="s">
        <v>298</v>
      </c>
      <c r="I133" s="34" t="s">
        <v>25</v>
      </c>
      <c r="J133" s="34" t="s">
        <v>268</v>
      </c>
      <c r="K133" s="34" t="s">
        <v>270</v>
      </c>
      <c r="L133" s="34" t="s">
        <v>26</v>
      </c>
      <c r="M133" s="92" t="s">
        <v>27</v>
      </c>
    </row>
    <row r="134" spans="3:14" outlineLevel="1" x14ac:dyDescent="0.25">
      <c r="C134" s="18" t="s">
        <v>156</v>
      </c>
      <c r="D134" s="18" t="s">
        <v>157</v>
      </c>
      <c r="E134" s="71" t="str">
        <f>Input_Usage[[#This Row],[Profile name]]&amp;" - "&amp;Input_Usage[[#This Row],[Usage type]]</f>
        <v>Residential - small - Block 1</v>
      </c>
      <c r="F134" s="18" t="s">
        <v>158</v>
      </c>
      <c r="G134" s="18" t="s">
        <v>31</v>
      </c>
      <c r="H134" s="18" t="s">
        <v>345</v>
      </c>
      <c r="I134" s="30">
        <v>2000</v>
      </c>
      <c r="J134" s="29">
        <v>2000</v>
      </c>
      <c r="K134" s="29">
        <v>2000</v>
      </c>
      <c r="L134" s="29">
        <v>2000</v>
      </c>
      <c r="M134" s="29">
        <v>2000</v>
      </c>
      <c r="N134" s="93"/>
    </row>
    <row r="135" spans="3:14" outlineLevel="1" x14ac:dyDescent="0.25">
      <c r="C135" s="18" t="s">
        <v>159</v>
      </c>
      <c r="D135" s="18" t="s">
        <v>157</v>
      </c>
      <c r="E135" s="71" t="str">
        <f>Input_Usage[[#This Row],[Profile name]]&amp;" - "&amp;Input_Usage[[#This Row],[Usage type]]</f>
        <v>Residential - medium - Block 1</v>
      </c>
      <c r="F135" s="18" t="s">
        <v>158</v>
      </c>
      <c r="G135" s="18" t="s">
        <v>31</v>
      </c>
      <c r="H135" s="18" t="s">
        <v>345</v>
      </c>
      <c r="I135" s="30">
        <v>4000</v>
      </c>
      <c r="J135" s="29">
        <v>4000</v>
      </c>
      <c r="K135" s="29">
        <v>4000</v>
      </c>
      <c r="L135" s="29">
        <v>4000</v>
      </c>
      <c r="M135" s="29">
        <v>4000</v>
      </c>
      <c r="N135" s="93"/>
    </row>
    <row r="136" spans="3:14" outlineLevel="1" x14ac:dyDescent="0.25">
      <c r="C136" s="18" t="s">
        <v>160</v>
      </c>
      <c r="D136" s="18" t="s">
        <v>157</v>
      </c>
      <c r="E136" s="71" t="str">
        <f>Input_Usage[[#This Row],[Profile name]]&amp;" - "&amp;Input_Usage[[#This Row],[Usage type]]</f>
        <v>Residential - large - Block 1</v>
      </c>
      <c r="F136" s="18" t="s">
        <v>158</v>
      </c>
      <c r="G136" s="18" t="s">
        <v>31</v>
      </c>
      <c r="H136" s="18" t="s">
        <v>345</v>
      </c>
      <c r="I136" s="30">
        <v>4080</v>
      </c>
      <c r="J136" s="29">
        <v>4080</v>
      </c>
      <c r="K136" s="29">
        <v>4080</v>
      </c>
      <c r="L136" s="29">
        <v>4080</v>
      </c>
      <c r="M136" s="29">
        <v>4080</v>
      </c>
      <c r="N136" s="93"/>
    </row>
    <row r="137" spans="3:14" outlineLevel="1" x14ac:dyDescent="0.25">
      <c r="C137" s="18" t="s">
        <v>161</v>
      </c>
      <c r="D137" s="18" t="s">
        <v>157</v>
      </c>
      <c r="E137" s="71" t="str">
        <f>Input_Usage[[#This Row],[Profile name]]&amp;" - "&amp;Input_Usage[[#This Row],[Usage type]]</f>
        <v>Small business - small - Block 1</v>
      </c>
      <c r="F137" s="18" t="s">
        <v>158</v>
      </c>
      <c r="G137" s="18" t="s">
        <v>32</v>
      </c>
      <c r="H137" s="18" t="s">
        <v>345</v>
      </c>
      <c r="I137" s="30">
        <v>4080</v>
      </c>
      <c r="J137" s="29">
        <v>4080</v>
      </c>
      <c r="K137" s="29">
        <v>4080</v>
      </c>
      <c r="L137" s="29">
        <v>4080</v>
      </c>
      <c r="M137" s="29">
        <v>4080</v>
      </c>
      <c r="N137" s="93"/>
    </row>
    <row r="138" spans="3:14" outlineLevel="1" x14ac:dyDescent="0.25">
      <c r="C138" s="18" t="s">
        <v>162</v>
      </c>
      <c r="D138" s="18" t="s">
        <v>157</v>
      </c>
      <c r="E138" s="71" t="str">
        <f>Input_Usage[[#This Row],[Profile name]]&amp;" - "&amp;Input_Usage[[#This Row],[Usage type]]</f>
        <v>Small business - medium - Block 1</v>
      </c>
      <c r="F138" s="18" t="s">
        <v>158</v>
      </c>
      <c r="G138" s="18" t="s">
        <v>32</v>
      </c>
      <c r="H138" s="18" t="s">
        <v>345</v>
      </c>
      <c r="I138" s="30">
        <v>4080</v>
      </c>
      <c r="J138" s="29">
        <v>4080</v>
      </c>
      <c r="K138" s="29">
        <v>4080</v>
      </c>
      <c r="L138" s="29">
        <v>4080</v>
      </c>
      <c r="M138" s="29">
        <v>4080</v>
      </c>
      <c r="N138" s="93"/>
    </row>
    <row r="139" spans="3:14" outlineLevel="1" x14ac:dyDescent="0.25">
      <c r="C139" s="18" t="s">
        <v>163</v>
      </c>
      <c r="D139" s="18" t="s">
        <v>157</v>
      </c>
      <c r="E139" s="71" t="str">
        <f>Input_Usage[[#This Row],[Profile name]]&amp;" - "&amp;Input_Usage[[#This Row],[Usage type]]</f>
        <v>Small business - large - Block 1</v>
      </c>
      <c r="F139" s="18" t="s">
        <v>158</v>
      </c>
      <c r="G139" s="18" t="s">
        <v>32</v>
      </c>
      <c r="H139" s="18" t="s">
        <v>345</v>
      </c>
      <c r="I139" s="30">
        <v>4080</v>
      </c>
      <c r="J139" s="29">
        <v>4080</v>
      </c>
      <c r="K139" s="29">
        <v>4080</v>
      </c>
      <c r="L139" s="29">
        <v>4080</v>
      </c>
      <c r="M139" s="29">
        <v>4080</v>
      </c>
      <c r="N139" s="93"/>
    </row>
    <row r="140" spans="3:14" outlineLevel="1" x14ac:dyDescent="0.25">
      <c r="C140" s="18" t="s">
        <v>156</v>
      </c>
      <c r="D140" s="18" t="s">
        <v>164</v>
      </c>
      <c r="E140" s="71" t="str">
        <f>Input_Usage[[#This Row],[Profile name]]&amp;" - "&amp;Input_Usage[[#This Row],[Usage type]]</f>
        <v>Residential - small - Balance</v>
      </c>
      <c r="F140" s="18" t="s">
        <v>158</v>
      </c>
      <c r="G140" s="18" t="s">
        <v>31</v>
      </c>
      <c r="H140" s="18" t="s">
        <v>345</v>
      </c>
      <c r="I140" s="30">
        <v>0</v>
      </c>
      <c r="J140" s="29">
        <v>0</v>
      </c>
      <c r="K140" s="29">
        <v>0</v>
      </c>
      <c r="L140" s="29">
        <v>0</v>
      </c>
      <c r="M140" s="29">
        <v>0</v>
      </c>
      <c r="N140" s="93"/>
    </row>
    <row r="141" spans="3:14" outlineLevel="1" x14ac:dyDescent="0.25">
      <c r="C141" s="18" t="s">
        <v>159</v>
      </c>
      <c r="D141" s="18" t="s">
        <v>164</v>
      </c>
      <c r="E141" s="71" t="str">
        <f>Input_Usage[[#This Row],[Profile name]]&amp;" - "&amp;Input_Usage[[#This Row],[Usage type]]</f>
        <v>Residential - medium - Balance</v>
      </c>
      <c r="F141" s="18" t="s">
        <v>158</v>
      </c>
      <c r="G141" s="18" t="s">
        <v>31</v>
      </c>
      <c r="H141" s="18" t="s">
        <v>345</v>
      </c>
      <c r="I141" s="30">
        <v>0</v>
      </c>
      <c r="J141" s="29">
        <v>0</v>
      </c>
      <c r="K141" s="29">
        <v>0</v>
      </c>
      <c r="L141" s="29">
        <v>0</v>
      </c>
      <c r="M141" s="29">
        <v>0</v>
      </c>
      <c r="N141" s="93"/>
    </row>
    <row r="142" spans="3:14" outlineLevel="1" x14ac:dyDescent="0.25">
      <c r="C142" s="18" t="s">
        <v>160</v>
      </c>
      <c r="D142" s="18" t="s">
        <v>164</v>
      </c>
      <c r="E142" s="71" t="str">
        <f>Input_Usage[[#This Row],[Profile name]]&amp;" - "&amp;Input_Usage[[#This Row],[Usage type]]</f>
        <v>Residential - large - Balance</v>
      </c>
      <c r="F142" s="18" t="s">
        <v>158</v>
      </c>
      <c r="G142" s="18" t="s">
        <v>31</v>
      </c>
      <c r="H142" s="18" t="s">
        <v>345</v>
      </c>
      <c r="I142" s="30">
        <v>3920</v>
      </c>
      <c r="J142" s="29">
        <v>3920</v>
      </c>
      <c r="K142" s="29">
        <v>3920</v>
      </c>
      <c r="L142" s="29">
        <v>3920</v>
      </c>
      <c r="M142" s="29">
        <v>3920</v>
      </c>
      <c r="N142" s="93"/>
    </row>
    <row r="143" spans="3:14" outlineLevel="1" x14ac:dyDescent="0.25">
      <c r="C143" s="18" t="s">
        <v>161</v>
      </c>
      <c r="D143" s="18" t="s">
        <v>164</v>
      </c>
      <c r="E143" s="71" t="str">
        <f>Input_Usage[[#This Row],[Profile name]]&amp;" - "&amp;Input_Usage[[#This Row],[Usage type]]</f>
        <v>Small business - small - Balance</v>
      </c>
      <c r="F143" s="18" t="s">
        <v>158</v>
      </c>
      <c r="G143" s="18" t="s">
        <v>32</v>
      </c>
      <c r="H143" s="18" t="s">
        <v>345</v>
      </c>
      <c r="I143" s="30">
        <v>7920</v>
      </c>
      <c r="J143" s="29">
        <v>7920</v>
      </c>
      <c r="K143" s="29">
        <v>7920</v>
      </c>
      <c r="L143" s="29">
        <v>7920</v>
      </c>
      <c r="M143" s="29">
        <v>7920</v>
      </c>
      <c r="N143" s="93"/>
    </row>
    <row r="144" spans="3:14" outlineLevel="1" x14ac:dyDescent="0.25">
      <c r="C144" s="18" t="s">
        <v>162</v>
      </c>
      <c r="D144" s="18" t="s">
        <v>164</v>
      </c>
      <c r="E144" s="71" t="str">
        <f>Input_Usage[[#This Row],[Profile name]]&amp;" - "&amp;Input_Usage[[#This Row],[Usage type]]</f>
        <v>Small business - medium - Balance</v>
      </c>
      <c r="F144" s="18" t="s">
        <v>158</v>
      </c>
      <c r="G144" s="18" t="s">
        <v>32</v>
      </c>
      <c r="H144" s="18" t="s">
        <v>345</v>
      </c>
      <c r="I144" s="30">
        <v>15920</v>
      </c>
      <c r="J144" s="29">
        <v>15920</v>
      </c>
      <c r="K144" s="29">
        <v>15920</v>
      </c>
      <c r="L144" s="29">
        <v>15920</v>
      </c>
      <c r="M144" s="29">
        <v>15920</v>
      </c>
      <c r="N144" s="93"/>
    </row>
    <row r="145" spans="3:14" outlineLevel="1" x14ac:dyDescent="0.25">
      <c r="C145" s="18" t="s">
        <v>163</v>
      </c>
      <c r="D145" s="18" t="s">
        <v>164</v>
      </c>
      <c r="E145" s="71" t="str">
        <f>Input_Usage[[#This Row],[Profile name]]&amp;" - "&amp;Input_Usage[[#This Row],[Usage type]]</f>
        <v>Small business - large - Balance</v>
      </c>
      <c r="F145" s="18" t="s">
        <v>158</v>
      </c>
      <c r="G145" s="18" t="s">
        <v>32</v>
      </c>
      <c r="H145" s="18" t="s">
        <v>345</v>
      </c>
      <c r="I145" s="30">
        <v>35920</v>
      </c>
      <c r="J145" s="29">
        <v>35920</v>
      </c>
      <c r="K145" s="29">
        <v>35920</v>
      </c>
      <c r="L145" s="29">
        <v>35920</v>
      </c>
      <c r="M145" s="29">
        <v>35920</v>
      </c>
      <c r="N145" s="93"/>
    </row>
    <row r="146" spans="3:14" outlineLevel="1" x14ac:dyDescent="0.25">
      <c r="C146" s="18" t="s">
        <v>156</v>
      </c>
      <c r="D146" s="18" t="s">
        <v>165</v>
      </c>
      <c r="E146" s="71" t="str">
        <f>Input_Usage[[#This Row],[Profile name]]&amp;" - "&amp;Input_Usage[[#This Row],[Usage type]]</f>
        <v>Residential - small - Annual</v>
      </c>
      <c r="F146" s="18" t="s">
        <v>158</v>
      </c>
      <c r="G146" s="18" t="s">
        <v>31</v>
      </c>
      <c r="H146" s="18" t="s">
        <v>345</v>
      </c>
      <c r="I146" s="30">
        <v>2000</v>
      </c>
      <c r="J146" s="29">
        <v>2000</v>
      </c>
      <c r="K146" s="29">
        <v>2000</v>
      </c>
      <c r="L146" s="29">
        <v>2000</v>
      </c>
      <c r="M146" s="29">
        <v>2000</v>
      </c>
      <c r="N146" s="93"/>
    </row>
    <row r="147" spans="3:14" outlineLevel="1" x14ac:dyDescent="0.25">
      <c r="C147" s="18" t="s">
        <v>159</v>
      </c>
      <c r="D147" s="18" t="s">
        <v>165</v>
      </c>
      <c r="E147" s="71" t="str">
        <f>Input_Usage[[#This Row],[Profile name]]&amp;" - "&amp;Input_Usage[[#This Row],[Usage type]]</f>
        <v>Residential - medium - Annual</v>
      </c>
      <c r="F147" s="18" t="s">
        <v>158</v>
      </c>
      <c r="G147" s="18" t="s">
        <v>31</v>
      </c>
      <c r="H147" s="18" t="s">
        <v>345</v>
      </c>
      <c r="I147" s="30">
        <v>4000</v>
      </c>
      <c r="J147" s="29">
        <v>4000</v>
      </c>
      <c r="K147" s="29">
        <v>4000</v>
      </c>
      <c r="L147" s="29">
        <v>4000</v>
      </c>
      <c r="M147" s="29">
        <v>4000</v>
      </c>
      <c r="N147" s="93"/>
    </row>
    <row r="148" spans="3:14" outlineLevel="1" x14ac:dyDescent="0.25">
      <c r="C148" s="18" t="s">
        <v>160</v>
      </c>
      <c r="D148" s="18" t="s">
        <v>165</v>
      </c>
      <c r="E148" s="71" t="str">
        <f>Input_Usage[[#This Row],[Profile name]]&amp;" - "&amp;Input_Usage[[#This Row],[Usage type]]</f>
        <v>Residential - large - Annual</v>
      </c>
      <c r="F148" s="18" t="s">
        <v>158</v>
      </c>
      <c r="G148" s="18" t="s">
        <v>31</v>
      </c>
      <c r="H148" s="18" t="s">
        <v>345</v>
      </c>
      <c r="I148" s="30">
        <v>8000</v>
      </c>
      <c r="J148" s="29">
        <v>8000</v>
      </c>
      <c r="K148" s="29">
        <v>8000</v>
      </c>
      <c r="L148" s="29">
        <v>8000</v>
      </c>
      <c r="M148" s="29">
        <v>8000</v>
      </c>
      <c r="N148" s="93"/>
    </row>
    <row r="149" spans="3:14" outlineLevel="1" x14ac:dyDescent="0.25">
      <c r="C149" s="18" t="s">
        <v>161</v>
      </c>
      <c r="D149" s="18" t="s">
        <v>165</v>
      </c>
      <c r="E149" s="71" t="str">
        <f>Input_Usage[[#This Row],[Profile name]]&amp;" - "&amp;Input_Usage[[#This Row],[Usage type]]</f>
        <v>Small business - small - Annual</v>
      </c>
      <c r="F149" s="18" t="s">
        <v>158</v>
      </c>
      <c r="G149" s="18" t="s">
        <v>32</v>
      </c>
      <c r="H149" s="18" t="s">
        <v>345</v>
      </c>
      <c r="I149" s="30">
        <v>12000</v>
      </c>
      <c r="J149" s="29">
        <v>12000</v>
      </c>
      <c r="K149" s="29">
        <v>12000</v>
      </c>
      <c r="L149" s="29">
        <v>12000</v>
      </c>
      <c r="M149" s="29">
        <v>12000</v>
      </c>
      <c r="N149" s="93"/>
    </row>
    <row r="150" spans="3:14" outlineLevel="1" x14ac:dyDescent="0.25">
      <c r="C150" s="18" t="s">
        <v>162</v>
      </c>
      <c r="D150" s="18" t="s">
        <v>165</v>
      </c>
      <c r="E150" s="71" t="str">
        <f>Input_Usage[[#This Row],[Profile name]]&amp;" - "&amp;Input_Usage[[#This Row],[Usage type]]</f>
        <v>Small business - medium - Annual</v>
      </c>
      <c r="F150" s="18" t="s">
        <v>158</v>
      </c>
      <c r="G150" s="18" t="s">
        <v>32</v>
      </c>
      <c r="H150" s="18" t="s">
        <v>345</v>
      </c>
      <c r="I150" s="30">
        <v>20000</v>
      </c>
      <c r="J150" s="29">
        <v>20000</v>
      </c>
      <c r="K150" s="29">
        <v>20000</v>
      </c>
      <c r="L150" s="29">
        <v>20000</v>
      </c>
      <c r="M150" s="29">
        <v>20000</v>
      </c>
      <c r="N150" s="93"/>
    </row>
    <row r="151" spans="3:14" outlineLevel="1" x14ac:dyDescent="0.25">
      <c r="C151" s="18" t="s">
        <v>163</v>
      </c>
      <c r="D151" s="18" t="s">
        <v>165</v>
      </c>
      <c r="E151" s="71" t="str">
        <f>Input_Usage[[#This Row],[Profile name]]&amp;" - "&amp;Input_Usage[[#This Row],[Usage type]]</f>
        <v>Small business - large - Annual</v>
      </c>
      <c r="F151" s="18" t="s">
        <v>158</v>
      </c>
      <c r="G151" s="18" t="s">
        <v>32</v>
      </c>
      <c r="H151" s="18" t="s">
        <v>345</v>
      </c>
      <c r="I151" s="30">
        <v>40000</v>
      </c>
      <c r="J151" s="29">
        <v>40000</v>
      </c>
      <c r="K151" s="29">
        <v>40000</v>
      </c>
      <c r="L151" s="29">
        <v>40000</v>
      </c>
      <c r="M151" s="29">
        <v>40000</v>
      </c>
      <c r="N151" s="93"/>
    </row>
    <row r="152" spans="3:14" outlineLevel="1" x14ac:dyDescent="0.25">
      <c r="C152" s="48" t="s">
        <v>156</v>
      </c>
      <c r="D152" s="48" t="s">
        <v>338</v>
      </c>
      <c r="E152" s="71" t="str">
        <f>Input_Usage[[#This Row],[Profile name]]&amp;" - "&amp;Input_Usage[[#This Row],[Usage type]]</f>
        <v>Residential - small - Single rate</v>
      </c>
      <c r="F152" s="48" t="s">
        <v>158</v>
      </c>
      <c r="G152" s="48" t="s">
        <v>31</v>
      </c>
      <c r="H152" s="48" t="s">
        <v>345</v>
      </c>
      <c r="I152" s="30">
        <v>2000</v>
      </c>
      <c r="J152" s="29">
        <v>2000</v>
      </c>
      <c r="K152" s="29">
        <v>2000</v>
      </c>
      <c r="L152" s="29">
        <v>2000</v>
      </c>
      <c r="M152" s="29">
        <v>2000</v>
      </c>
    </row>
    <row r="153" spans="3:14" outlineLevel="1" x14ac:dyDescent="0.25">
      <c r="C153" s="48" t="s">
        <v>159</v>
      </c>
      <c r="D153" s="48" t="s">
        <v>338</v>
      </c>
      <c r="E153" s="71" t="str">
        <f>Input_Usage[[#This Row],[Profile name]]&amp;" - "&amp;Input_Usage[[#This Row],[Usage type]]</f>
        <v>Residential - medium - Single rate</v>
      </c>
      <c r="F153" s="48" t="s">
        <v>158</v>
      </c>
      <c r="G153" s="48" t="s">
        <v>31</v>
      </c>
      <c r="H153" s="48" t="s">
        <v>345</v>
      </c>
      <c r="I153" s="30">
        <v>4000</v>
      </c>
      <c r="J153" s="29">
        <v>4000</v>
      </c>
      <c r="K153" s="29">
        <v>4000</v>
      </c>
      <c r="L153" s="29">
        <v>4000</v>
      </c>
      <c r="M153" s="29">
        <v>4000</v>
      </c>
    </row>
    <row r="154" spans="3:14" outlineLevel="1" x14ac:dyDescent="0.25">
      <c r="C154" s="48" t="s">
        <v>160</v>
      </c>
      <c r="D154" s="48" t="s">
        <v>338</v>
      </c>
      <c r="E154" s="71" t="str">
        <f>Input_Usage[[#This Row],[Profile name]]&amp;" - "&amp;Input_Usage[[#This Row],[Usage type]]</f>
        <v>Residential - large - Single rate</v>
      </c>
      <c r="F154" s="48" t="s">
        <v>158</v>
      </c>
      <c r="G154" s="48" t="s">
        <v>31</v>
      </c>
      <c r="H154" s="48" t="s">
        <v>345</v>
      </c>
      <c r="I154" s="30">
        <v>8000</v>
      </c>
      <c r="J154" s="29">
        <v>8000</v>
      </c>
      <c r="K154" s="29">
        <v>8000</v>
      </c>
      <c r="L154" s="29">
        <v>8000</v>
      </c>
      <c r="M154" s="29">
        <v>8000</v>
      </c>
    </row>
    <row r="155" spans="3:14" outlineLevel="1" x14ac:dyDescent="0.25">
      <c r="C155" s="48" t="s">
        <v>161</v>
      </c>
      <c r="D155" s="48" t="s">
        <v>338</v>
      </c>
      <c r="E155" s="71" t="str">
        <f>Input_Usage[[#This Row],[Profile name]]&amp;" - "&amp;Input_Usage[[#This Row],[Usage type]]</f>
        <v>Small business - small - Single rate</v>
      </c>
      <c r="F155" s="48" t="s">
        <v>158</v>
      </c>
      <c r="G155" s="48" t="s">
        <v>32</v>
      </c>
      <c r="H155" s="48" t="s">
        <v>345</v>
      </c>
      <c r="I155" s="30">
        <v>12000</v>
      </c>
      <c r="J155" s="29">
        <v>12000</v>
      </c>
      <c r="K155" s="29">
        <v>12000</v>
      </c>
      <c r="L155" s="29">
        <v>12000</v>
      </c>
      <c r="M155" s="29">
        <v>12000</v>
      </c>
    </row>
    <row r="156" spans="3:14" outlineLevel="1" x14ac:dyDescent="0.25">
      <c r="C156" s="48" t="s">
        <v>162</v>
      </c>
      <c r="D156" s="48" t="s">
        <v>338</v>
      </c>
      <c r="E156" s="71" t="str">
        <f>Input_Usage[[#This Row],[Profile name]]&amp;" - "&amp;Input_Usage[[#This Row],[Usage type]]</f>
        <v>Small business - medium - Single rate</v>
      </c>
      <c r="F156" s="48" t="s">
        <v>158</v>
      </c>
      <c r="G156" s="48" t="s">
        <v>32</v>
      </c>
      <c r="H156" s="48" t="s">
        <v>345</v>
      </c>
      <c r="I156" s="30">
        <v>20000</v>
      </c>
      <c r="J156" s="29">
        <v>20000</v>
      </c>
      <c r="K156" s="29">
        <v>20000</v>
      </c>
      <c r="L156" s="29">
        <v>20000</v>
      </c>
      <c r="M156" s="29">
        <v>20000</v>
      </c>
    </row>
    <row r="157" spans="3:14" outlineLevel="1" x14ac:dyDescent="0.25">
      <c r="C157" s="48" t="s">
        <v>163</v>
      </c>
      <c r="D157" s="48" t="s">
        <v>338</v>
      </c>
      <c r="E157" s="71" t="str">
        <f>Input_Usage[[#This Row],[Profile name]]&amp;" - "&amp;Input_Usage[[#This Row],[Usage type]]</f>
        <v>Small business - large - Single rate</v>
      </c>
      <c r="F157" s="48" t="s">
        <v>158</v>
      </c>
      <c r="G157" s="48" t="s">
        <v>32</v>
      </c>
      <c r="H157" s="48" t="s">
        <v>345</v>
      </c>
      <c r="I157" s="30">
        <v>40000</v>
      </c>
      <c r="J157" s="29">
        <v>40000</v>
      </c>
      <c r="K157" s="29">
        <v>40000</v>
      </c>
      <c r="L157" s="29">
        <v>40000</v>
      </c>
      <c r="M157" s="29">
        <v>40000</v>
      </c>
    </row>
    <row r="158" spans="3:14" outlineLevel="1" x14ac:dyDescent="0.25">
      <c r="C158" s="48" t="s">
        <v>159</v>
      </c>
      <c r="D158" s="48" t="s">
        <v>223</v>
      </c>
      <c r="E158" s="71" t="str">
        <f>Input_Usage[[#This Row],[Profile name]]&amp;" - "&amp;Input_Usage[[#This Row],[Usage type]]</f>
        <v>Residential - medium - Controlled load</v>
      </c>
      <c r="F158" s="48" t="s">
        <v>158</v>
      </c>
      <c r="G158" s="48" t="s">
        <v>31</v>
      </c>
      <c r="H158" s="48" t="s">
        <v>345</v>
      </c>
      <c r="I158" s="30">
        <v>2000</v>
      </c>
      <c r="J158" s="29">
        <v>2000</v>
      </c>
      <c r="K158" s="29">
        <v>2000</v>
      </c>
      <c r="L158" s="29">
        <v>2000</v>
      </c>
      <c r="M158" s="29">
        <v>2000</v>
      </c>
    </row>
    <row r="159" spans="3:14" outlineLevel="1" x14ac:dyDescent="0.25">
      <c r="C159" s="18" t="s">
        <v>156</v>
      </c>
      <c r="D159" s="18" t="s">
        <v>166</v>
      </c>
      <c r="E159" s="71" t="str">
        <f>Input_Usage[[#This Row],[Profile name]]&amp;" - "&amp;Input_Usage[[#This Row],[Usage type]]</f>
        <v>Residential - small - Peak</v>
      </c>
      <c r="F159" s="18" t="s">
        <v>158</v>
      </c>
      <c r="G159" s="18" t="s">
        <v>31</v>
      </c>
      <c r="H159" s="18" t="s">
        <v>346</v>
      </c>
      <c r="I159" s="30" t="s">
        <v>28</v>
      </c>
      <c r="J159" s="104">
        <v>660</v>
      </c>
      <c r="K159" s="104">
        <v>660</v>
      </c>
      <c r="L159" s="104">
        <v>660</v>
      </c>
      <c r="M159" s="104">
        <v>660</v>
      </c>
      <c r="N159" s="93"/>
    </row>
    <row r="160" spans="3:14" outlineLevel="1" x14ac:dyDescent="0.25">
      <c r="C160" s="18" t="s">
        <v>159</v>
      </c>
      <c r="D160" s="18" t="s">
        <v>166</v>
      </c>
      <c r="E160" s="71" t="str">
        <f>Input_Usage[[#This Row],[Profile name]]&amp;" - "&amp;Input_Usage[[#This Row],[Usage type]]</f>
        <v>Residential - medium - Peak</v>
      </c>
      <c r="F160" s="18" t="s">
        <v>158</v>
      </c>
      <c r="G160" s="18" t="s">
        <v>31</v>
      </c>
      <c r="H160" s="18" t="s">
        <v>346</v>
      </c>
      <c r="I160" s="30" t="s">
        <v>28</v>
      </c>
      <c r="J160" s="104">
        <v>1320</v>
      </c>
      <c r="K160" s="104">
        <v>1320</v>
      </c>
      <c r="L160" s="104">
        <v>1320</v>
      </c>
      <c r="M160" s="104">
        <v>1320</v>
      </c>
      <c r="N160" s="93"/>
    </row>
    <row r="161" spans="2:18" outlineLevel="1" x14ac:dyDescent="0.25">
      <c r="C161" s="18" t="s">
        <v>160</v>
      </c>
      <c r="D161" s="18" t="s">
        <v>166</v>
      </c>
      <c r="E161" s="71" t="str">
        <f>Input_Usage[[#This Row],[Profile name]]&amp;" - "&amp;Input_Usage[[#This Row],[Usage type]]</f>
        <v>Residential - large - Peak</v>
      </c>
      <c r="F161" s="18" t="s">
        <v>158</v>
      </c>
      <c r="G161" s="18" t="s">
        <v>31</v>
      </c>
      <c r="H161" s="18" t="s">
        <v>346</v>
      </c>
      <c r="I161" s="30" t="s">
        <v>28</v>
      </c>
      <c r="J161" s="104">
        <v>2640</v>
      </c>
      <c r="K161" s="104">
        <v>2640</v>
      </c>
      <c r="L161" s="104">
        <v>2640</v>
      </c>
      <c r="M161" s="104">
        <v>2640</v>
      </c>
      <c r="N161" s="93"/>
    </row>
    <row r="162" spans="2:18" outlineLevel="1" x14ac:dyDescent="0.25">
      <c r="C162" s="18" t="s">
        <v>161</v>
      </c>
      <c r="D162" s="18" t="s">
        <v>166</v>
      </c>
      <c r="E162" s="71" t="str">
        <f>Input_Usage[[#This Row],[Profile name]]&amp;" - "&amp;Input_Usage[[#This Row],[Usage type]]</f>
        <v>Small business - small - Peak</v>
      </c>
      <c r="F162" s="18" t="s">
        <v>158</v>
      </c>
      <c r="G162" s="18" t="s">
        <v>32</v>
      </c>
      <c r="H162" s="18" t="s">
        <v>346</v>
      </c>
      <c r="I162" s="30" t="s">
        <v>28</v>
      </c>
      <c r="J162" s="104">
        <v>5880</v>
      </c>
      <c r="K162" s="104">
        <v>5880</v>
      </c>
      <c r="L162" s="104">
        <v>5880</v>
      </c>
      <c r="M162" s="104">
        <v>5880</v>
      </c>
      <c r="N162" s="93"/>
    </row>
    <row r="163" spans="2:18" outlineLevel="1" x14ac:dyDescent="0.25">
      <c r="C163" s="18" t="s">
        <v>162</v>
      </c>
      <c r="D163" s="18" t="s">
        <v>166</v>
      </c>
      <c r="E163" s="71" t="str">
        <f>Input_Usage[[#This Row],[Profile name]]&amp;" - "&amp;Input_Usage[[#This Row],[Usage type]]</f>
        <v>Small business - medium - Peak</v>
      </c>
      <c r="F163" s="18" t="s">
        <v>158</v>
      </c>
      <c r="G163" s="18" t="s">
        <v>32</v>
      </c>
      <c r="H163" s="18" t="s">
        <v>346</v>
      </c>
      <c r="I163" s="30" t="s">
        <v>28</v>
      </c>
      <c r="J163" s="104">
        <v>9800</v>
      </c>
      <c r="K163" s="104">
        <v>9800</v>
      </c>
      <c r="L163" s="104">
        <v>9800</v>
      </c>
      <c r="M163" s="104">
        <v>9800</v>
      </c>
      <c r="N163" s="93"/>
    </row>
    <row r="164" spans="2:18" outlineLevel="1" x14ac:dyDescent="0.25">
      <c r="C164" s="18" t="s">
        <v>163</v>
      </c>
      <c r="D164" s="18" t="s">
        <v>166</v>
      </c>
      <c r="E164" s="71" t="str">
        <f>Input_Usage[[#This Row],[Profile name]]&amp;" - "&amp;Input_Usage[[#This Row],[Usage type]]</f>
        <v>Small business - large - Peak</v>
      </c>
      <c r="F164" s="18" t="s">
        <v>158</v>
      </c>
      <c r="G164" s="18" t="s">
        <v>32</v>
      </c>
      <c r="H164" s="18" t="s">
        <v>346</v>
      </c>
      <c r="I164" s="30" t="s">
        <v>28</v>
      </c>
      <c r="J164" s="104">
        <v>19600</v>
      </c>
      <c r="K164" s="104">
        <v>19600</v>
      </c>
      <c r="L164" s="104">
        <v>19600</v>
      </c>
      <c r="M164" s="104">
        <v>19600</v>
      </c>
      <c r="N164" s="93"/>
    </row>
    <row r="165" spans="2:18" outlineLevel="1" x14ac:dyDescent="0.25">
      <c r="C165" s="18" t="s">
        <v>156</v>
      </c>
      <c r="D165" s="18" t="s">
        <v>370</v>
      </c>
      <c r="E165" s="71" t="str">
        <f>Input_Usage[[#This Row],[Profile name]]&amp;" - "&amp;Input_Usage[[#This Row],[Usage type]]</f>
        <v>Residential - small - Off peak</v>
      </c>
      <c r="F165" s="18" t="s">
        <v>158</v>
      </c>
      <c r="G165" s="18" t="s">
        <v>31</v>
      </c>
      <c r="H165" s="18" t="s">
        <v>346</v>
      </c>
      <c r="I165" s="30" t="s">
        <v>28</v>
      </c>
      <c r="J165" s="104">
        <v>1340</v>
      </c>
      <c r="K165" s="104">
        <v>1340</v>
      </c>
      <c r="L165" s="104">
        <v>1340</v>
      </c>
      <c r="M165" s="104">
        <v>1340</v>
      </c>
      <c r="N165" s="93"/>
    </row>
    <row r="166" spans="2:18" outlineLevel="1" x14ac:dyDescent="0.25">
      <c r="C166" s="18" t="s">
        <v>159</v>
      </c>
      <c r="D166" s="18" t="s">
        <v>370</v>
      </c>
      <c r="E166" s="71" t="str">
        <f>Input_Usage[[#This Row],[Profile name]]&amp;" - "&amp;Input_Usage[[#This Row],[Usage type]]</f>
        <v>Residential - medium - Off peak</v>
      </c>
      <c r="F166" s="18" t="s">
        <v>158</v>
      </c>
      <c r="G166" s="18" t="s">
        <v>31</v>
      </c>
      <c r="H166" s="18" t="s">
        <v>346</v>
      </c>
      <c r="I166" s="30" t="s">
        <v>28</v>
      </c>
      <c r="J166" s="104">
        <v>2680</v>
      </c>
      <c r="K166" s="104">
        <v>2680</v>
      </c>
      <c r="L166" s="104">
        <v>2680</v>
      </c>
      <c r="M166" s="104">
        <v>2680</v>
      </c>
      <c r="N166" s="93"/>
    </row>
    <row r="167" spans="2:18" outlineLevel="1" x14ac:dyDescent="0.25">
      <c r="C167" s="18" t="s">
        <v>160</v>
      </c>
      <c r="D167" s="18" t="s">
        <v>370</v>
      </c>
      <c r="E167" s="71" t="str">
        <f>Input_Usage[[#This Row],[Profile name]]&amp;" - "&amp;Input_Usage[[#This Row],[Usage type]]</f>
        <v>Residential - large - Off peak</v>
      </c>
      <c r="F167" s="18" t="s">
        <v>158</v>
      </c>
      <c r="G167" s="18" t="s">
        <v>31</v>
      </c>
      <c r="H167" s="18" t="s">
        <v>346</v>
      </c>
      <c r="I167" s="30" t="s">
        <v>28</v>
      </c>
      <c r="J167" s="104">
        <v>5360</v>
      </c>
      <c r="K167" s="104">
        <v>5360</v>
      </c>
      <c r="L167" s="104">
        <v>5360</v>
      </c>
      <c r="M167" s="104">
        <v>5360</v>
      </c>
      <c r="N167" s="93"/>
    </row>
    <row r="168" spans="2:18" outlineLevel="1" x14ac:dyDescent="0.25">
      <c r="C168" s="18" t="s">
        <v>161</v>
      </c>
      <c r="D168" s="18" t="s">
        <v>370</v>
      </c>
      <c r="E168" s="71" t="str">
        <f>Input_Usage[[#This Row],[Profile name]]&amp;" - "&amp;Input_Usage[[#This Row],[Usage type]]</f>
        <v>Small business - small - Off peak</v>
      </c>
      <c r="F168" s="18" t="s">
        <v>158</v>
      </c>
      <c r="G168" s="18" t="s">
        <v>32</v>
      </c>
      <c r="H168" s="18" t="s">
        <v>346</v>
      </c>
      <c r="I168" s="30" t="s">
        <v>28</v>
      </c>
      <c r="J168" s="104">
        <v>6120</v>
      </c>
      <c r="K168" s="104">
        <v>6120</v>
      </c>
      <c r="L168" s="104">
        <v>6120</v>
      </c>
      <c r="M168" s="104">
        <v>6120</v>
      </c>
      <c r="N168" s="93"/>
    </row>
    <row r="169" spans="2:18" outlineLevel="1" x14ac:dyDescent="0.25">
      <c r="C169" s="18" t="s">
        <v>162</v>
      </c>
      <c r="D169" s="18" t="s">
        <v>370</v>
      </c>
      <c r="E169" s="71" t="str">
        <f>Input_Usage[[#This Row],[Profile name]]&amp;" - "&amp;Input_Usage[[#This Row],[Usage type]]</f>
        <v>Small business - medium - Off peak</v>
      </c>
      <c r="F169" s="18" t="s">
        <v>158</v>
      </c>
      <c r="G169" s="18" t="s">
        <v>32</v>
      </c>
      <c r="H169" s="18" t="s">
        <v>346</v>
      </c>
      <c r="I169" s="30" t="s">
        <v>28</v>
      </c>
      <c r="J169" s="104">
        <v>10200</v>
      </c>
      <c r="K169" s="104">
        <v>10200</v>
      </c>
      <c r="L169" s="104">
        <v>10200</v>
      </c>
      <c r="M169" s="104">
        <v>10200</v>
      </c>
      <c r="N169" s="93"/>
    </row>
    <row r="170" spans="2:18" outlineLevel="1" x14ac:dyDescent="0.25">
      <c r="C170" s="18" t="s">
        <v>163</v>
      </c>
      <c r="D170" s="18" t="s">
        <v>370</v>
      </c>
      <c r="E170" s="71" t="str">
        <f>Input_Usage[[#This Row],[Profile name]]&amp;" - "&amp;Input_Usage[[#This Row],[Usage type]]</f>
        <v>Small business - large - Off peak</v>
      </c>
      <c r="F170" s="18" t="s">
        <v>158</v>
      </c>
      <c r="G170" s="18" t="s">
        <v>32</v>
      </c>
      <c r="H170" s="18" t="s">
        <v>346</v>
      </c>
      <c r="I170" s="30" t="s">
        <v>28</v>
      </c>
      <c r="J170" s="104">
        <v>20400</v>
      </c>
      <c r="K170" s="104">
        <v>20400</v>
      </c>
      <c r="L170" s="104">
        <v>20400</v>
      </c>
      <c r="M170" s="104">
        <v>20400</v>
      </c>
      <c r="N170" s="93"/>
    </row>
    <row r="172" spans="2:18" ht="16.5" thickBot="1" x14ac:dyDescent="0.3">
      <c r="B172" s="7">
        <f ca="1">MAX(B$3:B171)+0.1</f>
        <v>4.2999999999999989</v>
      </c>
      <c r="C172" s="22" t="s">
        <v>335</v>
      </c>
      <c r="D172" s="22"/>
      <c r="E172" s="22"/>
      <c r="F172" s="22"/>
      <c r="G172" s="22"/>
      <c r="H172" s="22"/>
      <c r="I172" s="22"/>
      <c r="J172" s="22"/>
      <c r="K172" s="22"/>
      <c r="L172" s="22"/>
      <c r="M172" s="22"/>
      <c r="N172" s="22"/>
      <c r="O172" s="22"/>
      <c r="P172" s="22"/>
      <c r="Q172" s="22"/>
      <c r="R172" s="22"/>
    </row>
    <row r="173" spans="2:18" outlineLevel="1" x14ac:dyDescent="0.25"/>
    <row r="174" spans="2:18" ht="15.75" outlineLevel="1" x14ac:dyDescent="0.25">
      <c r="H174" s="31" t="s">
        <v>35</v>
      </c>
      <c r="I174" s="2">
        <v>2021</v>
      </c>
      <c r="J174" s="2">
        <v>2021</v>
      </c>
      <c r="K174" s="2">
        <v>2021</v>
      </c>
      <c r="L174" s="2">
        <v>2022</v>
      </c>
      <c r="M174" s="2">
        <v>2022</v>
      </c>
    </row>
    <row r="175" spans="2:18" ht="15.75" outlineLevel="1" x14ac:dyDescent="0.25">
      <c r="H175" s="31" t="s">
        <v>36</v>
      </c>
      <c r="I175" s="32" t="str">
        <f>"VDO "&amp;I174&amp;" - "&amp;IF(LEFT(I177,1)="F","Final",IF(LEFT(I177,1)="D","Draft",IF(LEFT(I177,2)="VD","Variation draft",IF(LEFT(I177,2)="VF","Variation final"))))</f>
        <v>VDO 2021 - Final</v>
      </c>
      <c r="J175" s="32" t="str">
        <f>"VDO "&amp;J174&amp;" - "&amp;IF(LEFT(J177,1)="F","Final",IF(LEFT(J177,1)="D","Draft",IF(LEFT(J177,2)="VD","Variation draft",IF(LEFT(J177,2)="VF","Variation final"))))</f>
        <v>VDO 2021 - Variation draft</v>
      </c>
      <c r="K175" s="32" t="str">
        <f>"VDO "&amp;K174&amp;" - "&amp;IF(LEFT(K177,1)="F","Final",IF(LEFT(K177,1)="D","Draft",IF(LEFT(K177,2)="VD","Variation draft",IF(LEFT(K177,2)="VF","Variation final"))))</f>
        <v>VDO 2021 - Variation final</v>
      </c>
      <c r="L175" s="32" t="str">
        <f>"VDO "&amp;L174&amp;" - "&amp;IF(LEFT(L177,1)="F","Final",IF(LEFT(L177,1)="D","Draft",IF(LEFT(L177,2)="VD","Variation draft",IF(LEFT(L177,2)="VF","Variation final"))))</f>
        <v>VDO 2022 - Draft</v>
      </c>
      <c r="M175" s="32" t="str">
        <f>"VDO "&amp;M174&amp;" - "&amp;IF(LEFT(M177,1)="F","Final",IF(LEFT(M177,1)="D","Draft",IF(LEFT(M177,2)="VD","Variation draft",IF(LEFT(M177,2)="VF","Variation final"))))</f>
        <v>VDO 2022 - Final</v>
      </c>
    </row>
    <row r="176" spans="2:18" ht="15.75" outlineLevel="1" x14ac:dyDescent="0.25">
      <c r="C176" s="23" t="s">
        <v>400</v>
      </c>
    </row>
    <row r="177" spans="3:13" ht="15.75" outlineLevel="1" x14ac:dyDescent="0.25">
      <c r="C177" s="34" t="s">
        <v>23</v>
      </c>
      <c r="D177" s="34" t="s">
        <v>24</v>
      </c>
      <c r="E177" s="34" t="s">
        <v>37</v>
      </c>
      <c r="F177" s="34" t="s">
        <v>38</v>
      </c>
      <c r="G177" s="34" t="s">
        <v>30</v>
      </c>
      <c r="H177" s="34" t="s">
        <v>356</v>
      </c>
      <c r="I177" s="34" t="s">
        <v>25</v>
      </c>
      <c r="J177" s="34" t="s">
        <v>268</v>
      </c>
      <c r="K177" s="34" t="s">
        <v>270</v>
      </c>
      <c r="L177" s="33" t="s">
        <v>26</v>
      </c>
      <c r="M177" s="33" t="s">
        <v>27</v>
      </c>
    </row>
    <row r="178" spans="3:13" outlineLevel="1" x14ac:dyDescent="0.25">
      <c r="C178" s="48" t="s">
        <v>87</v>
      </c>
      <c r="D178" s="48" t="s">
        <v>90</v>
      </c>
      <c r="E178" s="48" t="s">
        <v>28</v>
      </c>
      <c r="F178" s="18" t="s">
        <v>158</v>
      </c>
      <c r="G178" s="18" t="s">
        <v>46</v>
      </c>
      <c r="H178" s="18" t="s">
        <v>356</v>
      </c>
      <c r="I178" s="29"/>
      <c r="J178" s="29"/>
      <c r="K178" s="29"/>
      <c r="L178" s="29">
        <v>35.75</v>
      </c>
      <c r="M178" s="122"/>
    </row>
    <row r="179" spans="3:13" outlineLevel="1" x14ac:dyDescent="0.25">
      <c r="C179" s="48" t="s">
        <v>87</v>
      </c>
      <c r="D179" s="48" t="s">
        <v>94</v>
      </c>
      <c r="E179" s="48" t="s">
        <v>28</v>
      </c>
      <c r="F179" s="18" t="s">
        <v>140</v>
      </c>
      <c r="G179" s="18" t="s">
        <v>46</v>
      </c>
      <c r="H179" s="18" t="s">
        <v>356</v>
      </c>
      <c r="I179" s="44"/>
      <c r="J179" s="44"/>
      <c r="K179" s="44"/>
      <c r="L179" s="44">
        <v>0.18540000000000001</v>
      </c>
      <c r="M179" s="36"/>
    </row>
    <row r="180" spans="3:13" outlineLevel="1" x14ac:dyDescent="0.25">
      <c r="C180" s="48" t="s">
        <v>87</v>
      </c>
      <c r="D180" s="48" t="s">
        <v>91</v>
      </c>
      <c r="E180" s="48" t="s">
        <v>28</v>
      </c>
      <c r="F180" s="18" t="s">
        <v>158</v>
      </c>
      <c r="G180" s="18" t="s">
        <v>46</v>
      </c>
      <c r="H180" s="18" t="s">
        <v>356</v>
      </c>
      <c r="I180" s="52"/>
      <c r="J180" s="52"/>
      <c r="K180" s="52"/>
      <c r="L180" s="52">
        <v>40</v>
      </c>
      <c r="M180" s="36"/>
    </row>
    <row r="181" spans="3:13" outlineLevel="1" x14ac:dyDescent="0.25">
      <c r="C181" s="48" t="s">
        <v>87</v>
      </c>
      <c r="D181" s="48" t="s">
        <v>95</v>
      </c>
      <c r="E181" s="48" t="s">
        <v>28</v>
      </c>
      <c r="F181" s="18" t="s">
        <v>140</v>
      </c>
      <c r="G181" s="18" t="s">
        <v>46</v>
      </c>
      <c r="H181" s="18" t="s">
        <v>356</v>
      </c>
      <c r="I181" s="44"/>
      <c r="J181" s="44"/>
      <c r="K181" s="44"/>
      <c r="L181" s="44">
        <v>0.28799999999999998</v>
      </c>
      <c r="M181" s="36"/>
    </row>
    <row r="182" spans="3:13" outlineLevel="1" x14ac:dyDescent="0.25">
      <c r="C182" s="48" t="s">
        <v>87</v>
      </c>
      <c r="D182" s="48" t="s">
        <v>88</v>
      </c>
      <c r="E182" s="48" t="s">
        <v>28</v>
      </c>
      <c r="F182" s="18" t="s">
        <v>158</v>
      </c>
      <c r="G182" s="18" t="s">
        <v>46</v>
      </c>
      <c r="H182" s="18" t="s">
        <v>356</v>
      </c>
      <c r="I182" s="52"/>
      <c r="J182" s="52"/>
      <c r="K182" s="52"/>
      <c r="L182" s="52">
        <v>32.379354863483861</v>
      </c>
      <c r="M182" s="36"/>
    </row>
    <row r="183" spans="3:13" outlineLevel="1" x14ac:dyDescent="0.25">
      <c r="C183" s="48" t="s">
        <v>87</v>
      </c>
      <c r="D183" s="48" t="s">
        <v>92</v>
      </c>
      <c r="E183" s="48" t="s">
        <v>28</v>
      </c>
      <c r="F183" s="18" t="s">
        <v>140</v>
      </c>
      <c r="G183" s="18" t="s">
        <v>46</v>
      </c>
      <c r="H183" s="18" t="s">
        <v>356</v>
      </c>
      <c r="I183" s="44"/>
      <c r="J183" s="44"/>
      <c r="K183" s="44"/>
      <c r="L183" s="44">
        <v>0.17255000000000001</v>
      </c>
      <c r="M183" s="36"/>
    </row>
    <row r="184" spans="3:13" outlineLevel="1" x14ac:dyDescent="0.25"/>
    <row r="185" spans="3:13" outlineLevel="1" x14ac:dyDescent="0.25"/>
    <row r="186" spans="3:13" ht="15.75" outlineLevel="1" x14ac:dyDescent="0.25">
      <c r="H186" s="31" t="s">
        <v>35</v>
      </c>
      <c r="I186" s="2">
        <v>2021</v>
      </c>
      <c r="J186" s="2">
        <v>2021</v>
      </c>
      <c r="K186" s="2">
        <v>2021</v>
      </c>
      <c r="L186" s="2">
        <v>2022</v>
      </c>
      <c r="M186" s="2">
        <v>2022</v>
      </c>
    </row>
    <row r="187" spans="3:13" ht="15.75" outlineLevel="1" x14ac:dyDescent="0.25">
      <c r="H187" s="31" t="s">
        <v>36</v>
      </c>
      <c r="I187" s="32" t="str">
        <f>"VDO "&amp;I186&amp;" - "&amp;IF(LEFT(I189,1)="F","Final",IF(LEFT(I189,1)="D","Draft",IF(LEFT(I189,2)="VD","Variation draft",IF(LEFT(I189,2)="VF","Variation final"))))</f>
        <v>VDO 2021 - Final</v>
      </c>
      <c r="J187" s="32" t="str">
        <f>"VDO "&amp;J186&amp;" - "&amp;IF(LEFT(J189,1)="F","Final",IF(LEFT(J189,1)="D","Draft",IF(LEFT(J189,2)="VD","Variation draft",IF(LEFT(J189,2)="VF","Variation final"))))</f>
        <v>VDO 2021 - Variation draft</v>
      </c>
      <c r="K187" s="32" t="str">
        <f>"VDO "&amp;K186&amp;" - "&amp;IF(LEFT(K189,1)="F","Final",IF(LEFT(K189,1)="D","Draft",IF(LEFT(K189,2)="VD","Variation draft",IF(LEFT(K189,2)="VF","Variation final"))))</f>
        <v>VDO 2021 - Variation final</v>
      </c>
      <c r="L187" s="32" t="str">
        <f>"VDO "&amp;L186&amp;" - "&amp;IF(LEFT(L189,1)="F","Final",IF(LEFT(L189,1)="D","Draft",IF(LEFT(L189,2)="VD","Variation draft",IF(LEFT(L189,2)="VF","Variation final"))))</f>
        <v>VDO 2022 - Draft</v>
      </c>
      <c r="M187" s="32" t="str">
        <f>"VDO "&amp;M186&amp;" - "&amp;IF(LEFT(M189,1)="F","Final",IF(LEFT(M189,1)="D","Draft",IF(LEFT(M189,2)="VD","Variation draft",IF(LEFT(M189,2)="VF","Variation final"))))</f>
        <v>VDO 2022 - Final</v>
      </c>
    </row>
    <row r="188" spans="3:13" ht="15.75" outlineLevel="1" x14ac:dyDescent="0.25">
      <c r="C188" s="23" t="s">
        <v>401</v>
      </c>
    </row>
    <row r="189" spans="3:13" ht="15.75" outlineLevel="1" x14ac:dyDescent="0.25">
      <c r="C189" s="145" t="s">
        <v>23</v>
      </c>
      <c r="D189" s="34" t="s">
        <v>387</v>
      </c>
      <c r="E189" s="39" t="s">
        <v>199</v>
      </c>
      <c r="F189" s="39" t="s">
        <v>35</v>
      </c>
      <c r="G189" s="111" t="s">
        <v>30</v>
      </c>
      <c r="H189" s="34" t="s">
        <v>38</v>
      </c>
      <c r="I189" s="34" t="s">
        <v>25</v>
      </c>
      <c r="J189" s="34" t="s">
        <v>268</v>
      </c>
      <c r="K189" s="34" t="s">
        <v>270</v>
      </c>
      <c r="L189" s="34" t="s">
        <v>26</v>
      </c>
      <c r="M189" s="142" t="s">
        <v>27</v>
      </c>
    </row>
    <row r="190" spans="3:13" outlineLevel="1" x14ac:dyDescent="0.25">
      <c r="C190" s="48" t="s">
        <v>57</v>
      </c>
      <c r="D190" s="18" t="s">
        <v>386</v>
      </c>
      <c r="E190" s="86" t="s">
        <v>383</v>
      </c>
      <c r="F190" s="86">
        <v>2020</v>
      </c>
      <c r="G190" s="18" t="s">
        <v>31</v>
      </c>
      <c r="H190" s="86" t="s">
        <v>388</v>
      </c>
      <c r="I190" s="52"/>
      <c r="J190" s="52"/>
      <c r="K190" s="52"/>
      <c r="L190" s="104">
        <v>1384988558.2189994</v>
      </c>
      <c r="M190" s="36"/>
    </row>
    <row r="191" spans="3:13" outlineLevel="1" x14ac:dyDescent="0.25">
      <c r="C191" s="48" t="s">
        <v>57</v>
      </c>
      <c r="D191" s="18" t="s">
        <v>386</v>
      </c>
      <c r="E191" s="86" t="s">
        <v>383</v>
      </c>
      <c r="F191" s="86">
        <v>2020</v>
      </c>
      <c r="G191" s="18" t="s">
        <v>32</v>
      </c>
      <c r="H191" s="86" t="s">
        <v>388</v>
      </c>
      <c r="I191" s="52"/>
      <c r="J191" s="52"/>
      <c r="K191" s="52"/>
      <c r="L191" s="104">
        <v>194313986.50000009</v>
      </c>
      <c r="M191" s="36"/>
    </row>
    <row r="192" spans="3:13" outlineLevel="1" x14ac:dyDescent="0.25">
      <c r="C192" s="48" t="s">
        <v>57</v>
      </c>
      <c r="D192" s="18" t="s">
        <v>386</v>
      </c>
      <c r="E192" s="86" t="s">
        <v>384</v>
      </c>
      <c r="F192" s="86">
        <v>2020</v>
      </c>
      <c r="G192" s="18" t="s">
        <v>31</v>
      </c>
      <c r="H192" s="86" t="s">
        <v>388</v>
      </c>
      <c r="I192" s="52"/>
      <c r="J192" s="52"/>
      <c r="K192" s="52"/>
      <c r="L192" s="104">
        <v>1297933782.0659995</v>
      </c>
      <c r="M192" s="36"/>
    </row>
    <row r="193" spans="3:13" outlineLevel="1" x14ac:dyDescent="0.25">
      <c r="C193" s="48" t="s">
        <v>57</v>
      </c>
      <c r="D193" s="18" t="s">
        <v>386</v>
      </c>
      <c r="E193" s="86" t="s">
        <v>384</v>
      </c>
      <c r="F193" s="86">
        <v>2020</v>
      </c>
      <c r="G193" s="18" t="s">
        <v>32</v>
      </c>
      <c r="H193" s="86" t="s">
        <v>388</v>
      </c>
      <c r="I193" s="52"/>
      <c r="J193" s="52"/>
      <c r="K193" s="52"/>
      <c r="L193" s="104">
        <v>158824551.69600001</v>
      </c>
      <c r="M193" s="36"/>
    </row>
    <row r="194" spans="3:13" outlineLevel="1" x14ac:dyDescent="0.25">
      <c r="C194" s="48" t="s">
        <v>57</v>
      </c>
      <c r="D194" s="18" t="s">
        <v>382</v>
      </c>
      <c r="E194" s="86" t="s">
        <v>385</v>
      </c>
      <c r="F194" s="86">
        <v>2021</v>
      </c>
      <c r="G194" s="18" t="s">
        <v>31</v>
      </c>
      <c r="H194" s="86" t="s">
        <v>388</v>
      </c>
      <c r="I194" s="52"/>
      <c r="J194" s="52"/>
      <c r="K194" s="52"/>
      <c r="L194" s="104">
        <v>2713463</v>
      </c>
      <c r="M194" s="36"/>
    </row>
    <row r="195" spans="3:13" outlineLevel="1" x14ac:dyDescent="0.25">
      <c r="C195" s="48" t="s">
        <v>57</v>
      </c>
      <c r="D195" s="18" t="s">
        <v>382</v>
      </c>
      <c r="E195" s="86" t="s">
        <v>385</v>
      </c>
      <c r="F195" s="86">
        <v>2021</v>
      </c>
      <c r="G195" s="18" t="s">
        <v>32</v>
      </c>
      <c r="H195" s="86" t="s">
        <v>388</v>
      </c>
      <c r="I195" s="52"/>
      <c r="J195" s="52"/>
      <c r="K195" s="52"/>
      <c r="L195" s="104">
        <v>293515</v>
      </c>
      <c r="M195" s="36"/>
    </row>
    <row r="196" spans="3:13" ht="15" customHeight="1" outlineLevel="1" x14ac:dyDescent="0.25">
      <c r="C196" s="48" t="s">
        <v>57</v>
      </c>
      <c r="D196" s="162" t="s">
        <v>412</v>
      </c>
      <c r="E196" s="163" t="s">
        <v>423</v>
      </c>
      <c r="F196" s="163">
        <v>2021</v>
      </c>
      <c r="G196" s="18" t="s">
        <v>31</v>
      </c>
      <c r="H196" s="163" t="s">
        <v>388</v>
      </c>
      <c r="I196" s="159"/>
      <c r="J196" s="159"/>
      <c r="K196" s="159"/>
      <c r="L196" s="160">
        <v>1020</v>
      </c>
      <c r="M196" s="161"/>
    </row>
    <row r="197" spans="3:13" ht="15" customHeight="1" outlineLevel="1" x14ac:dyDescent="0.25">
      <c r="C197" s="48" t="s">
        <v>57</v>
      </c>
      <c r="D197" s="162" t="s">
        <v>412</v>
      </c>
      <c r="E197" s="163" t="s">
        <v>423</v>
      </c>
      <c r="F197" s="163">
        <v>2021</v>
      </c>
      <c r="G197" s="18" t="s">
        <v>32</v>
      </c>
      <c r="H197" s="163" t="s">
        <v>388</v>
      </c>
      <c r="I197" s="159"/>
      <c r="J197" s="159"/>
      <c r="K197" s="159"/>
      <c r="L197" s="160">
        <v>1020</v>
      </c>
      <c r="M197" s="161"/>
    </row>
    <row r="198" spans="3:13" ht="15" customHeight="1" outlineLevel="1" x14ac:dyDescent="0.25"/>
    <row r="199" spans="3:13" ht="15" customHeight="1" outlineLevel="1" x14ac:dyDescent="0.25"/>
    <row r="200" spans="3:13" ht="15.75" outlineLevel="1" x14ac:dyDescent="0.25">
      <c r="E200" s="31" t="s">
        <v>35</v>
      </c>
      <c r="F200" s="2">
        <v>2021</v>
      </c>
      <c r="G200" s="2">
        <v>2021</v>
      </c>
      <c r="H200" s="2">
        <v>2021</v>
      </c>
      <c r="I200" s="2">
        <v>2022</v>
      </c>
      <c r="J200" s="2">
        <v>2022</v>
      </c>
    </row>
    <row r="201" spans="3:13" ht="15.75" outlineLevel="1" x14ac:dyDescent="0.25">
      <c r="E201" s="31" t="s">
        <v>36</v>
      </c>
      <c r="F201" s="32" t="str">
        <f>"VDO "&amp;F200&amp;" - "&amp;IF(LEFT(F203,1)="F","Final",IF(LEFT(F203,1)="D","Draft",IF(LEFT(F203,2)="VD","Variation draft",IF(LEFT(F203,2)="VF","Variation final"))))</f>
        <v>VDO 2021 - Final</v>
      </c>
      <c r="G201" s="32" t="str">
        <f>"VDO "&amp;G200&amp;" - "&amp;IF(LEFT(G203,1)="F","Final",IF(LEFT(G203,1)="D","Draft",IF(LEFT(G203,2)="VD","Variation draft",IF(LEFT(G203,2)="VF","Variation final"))))</f>
        <v>VDO 2021 - Variation draft</v>
      </c>
      <c r="H201" s="32" t="str">
        <f>"VDO "&amp;H200&amp;" - "&amp;IF(LEFT(H203,1)="F","Final",IF(LEFT(H203,1)="D","Draft",IF(LEFT(H203,2)="VD","Variation draft",IF(LEFT(H203,2)="VF","Variation final"))))</f>
        <v>VDO 2021 - Variation final</v>
      </c>
      <c r="I201" s="32" t="str">
        <f>"VDO "&amp;I200&amp;" - "&amp;IF(LEFT(I203,1)="F","Final",IF(LEFT(I203,1)="D","Draft",IF(LEFT(I203,2)="VD","Variation draft",IF(LEFT(I203,2)="VF","Variation final"))))</f>
        <v>VDO 2022 - Draft</v>
      </c>
      <c r="J201" s="32" t="str">
        <f>"VDO "&amp;J200&amp;" - "&amp;IF(LEFT(J203,1)="F","Final",IF(LEFT(J203,1)="D","Draft",IF(LEFT(J203,2)="VD","Variation draft",IF(LEFT(J203,2)="VF","Variation final"))))</f>
        <v>VDO 2022 - Final</v>
      </c>
    </row>
    <row r="202" spans="3:13" ht="15.75" outlineLevel="1" x14ac:dyDescent="0.25">
      <c r="C202" s="23" t="s">
        <v>402</v>
      </c>
    </row>
    <row r="203" spans="3:13" ht="15.75" outlineLevel="1" x14ac:dyDescent="0.25">
      <c r="C203" s="34" t="s">
        <v>154</v>
      </c>
      <c r="D203" s="111" t="s">
        <v>30</v>
      </c>
      <c r="E203" s="145" t="s">
        <v>38</v>
      </c>
      <c r="F203" s="145" t="s">
        <v>25</v>
      </c>
      <c r="G203" s="145" t="s">
        <v>268</v>
      </c>
      <c r="H203" s="145" t="s">
        <v>270</v>
      </c>
      <c r="I203" s="145" t="s">
        <v>26</v>
      </c>
      <c r="J203" s="148" t="s">
        <v>27</v>
      </c>
    </row>
    <row r="204" spans="3:13" outlineLevel="1" x14ac:dyDescent="0.25">
      <c r="C204" s="18" t="s">
        <v>166</v>
      </c>
      <c r="D204" s="18" t="s">
        <v>31</v>
      </c>
      <c r="E204" s="86" t="s">
        <v>140</v>
      </c>
      <c r="F204" s="146" t="str" cm="1">
        <f t="array" ref="F204">IFERROR(INDEX(Input_Usage[[F-CurrentVDO_Input]:[F-NextVDO_Input]],MATCH(1,(Input_Usage[[Usage type]:[Usage type]]=$C204)*(Input_Usage[[Profile name]:[Profile name]]=$D204&amp;" - medium"),0),MATCH(F$203,Input_Usage[[#Headers],[F-CurrentVDO_Input]:[F-NextVDO_Input]],0))/
INDEX(Input_Usage[[F-CurrentVDO_Input]:[F-NextVDO_Input]],MATCH(1,(Input_Usage[[Usage type]:[Usage type]]="Annual")*(Input_Usage[[Profile name]:[Profile name]]=$D204&amp;" - medium"),0),MATCH(F$203,Input_Usage[[#Headers],[F-CurrentVDO_Input]:[F-NextVDO_Input]],0)),"-")</f>
        <v>-</v>
      </c>
      <c r="G204" s="146" cm="1">
        <f t="array" ref="G204">IFERROR(INDEX(Input_Usage[[F-CurrentVDO_Input]:[F-NextVDO_Input]],MATCH(1,(Input_Usage[[Usage type]:[Usage type]]=$C204)*(Input_Usage[[Profile name]:[Profile name]]=$D204&amp;" - medium"),0),MATCH(G$203,Input_Usage[[#Headers],[F-CurrentVDO_Input]:[F-NextVDO_Input]],0))/
INDEX(Input_Usage[[F-CurrentVDO_Input]:[F-NextVDO_Input]],MATCH(1,(Input_Usage[[Usage type]:[Usage type]]="Annual")*(Input_Usage[[Profile name]:[Profile name]]=$D204&amp;" - medium"),0),MATCH(G$203,Input_Usage[[#Headers],[F-CurrentVDO_Input]:[F-NextVDO_Input]],0)),"-")</f>
        <v>0.33</v>
      </c>
      <c r="H204" s="146" cm="1">
        <f t="array" ref="H204">IFERROR(INDEX(Input_Usage[[F-CurrentVDO_Input]:[F-NextVDO_Input]],MATCH(1,(Input_Usage[[Usage type]:[Usage type]]=$C204)*(Input_Usage[[Profile name]:[Profile name]]=$D204&amp;" - medium"),0),MATCH(H$203,Input_Usage[[#Headers],[F-CurrentVDO_Input]:[F-NextVDO_Input]],0))/
INDEX(Input_Usage[[F-CurrentVDO_Input]:[F-NextVDO_Input]],MATCH(1,(Input_Usage[[Usage type]:[Usage type]]="Annual")*(Input_Usage[[Profile name]:[Profile name]]=$D204&amp;" - medium"),0),MATCH(H$203,Input_Usage[[#Headers],[F-CurrentVDO_Input]:[F-NextVDO_Input]],0)),"-")</f>
        <v>0.33</v>
      </c>
      <c r="I204" s="146" cm="1">
        <f t="array" ref="I204">IFERROR(INDEX(Input_Usage[[F-CurrentVDO_Input]:[F-NextVDO_Input]],MATCH(1,(Input_Usage[[Usage type]:[Usage type]]=$C204)*(Input_Usage[[Profile name]:[Profile name]]=$D204&amp;" - medium"),0),MATCH(I$203,Input_Usage[[#Headers],[F-CurrentVDO_Input]:[F-NextVDO_Input]],0))/
INDEX(Input_Usage[[F-CurrentVDO_Input]:[F-NextVDO_Input]],MATCH(1,(Input_Usage[[Usage type]:[Usage type]]="Annual")*(Input_Usage[[Profile name]:[Profile name]]=$D204&amp;" - medium"),0),MATCH(I$203,Input_Usage[[#Headers],[F-CurrentVDO_Input]:[F-NextVDO_Input]],0)),"-")</f>
        <v>0.33</v>
      </c>
      <c r="J204" s="147" cm="1">
        <f t="array" ref="J204">IFERROR(INDEX(Input_Usage[[F-CurrentVDO_Input]:[F-NextVDO_Input]],MATCH(1,(Input_Usage[[Usage type]:[Usage type]]=$C204)*(Input_Usage[[Profile name]:[Profile name]]=$D204&amp;" - medium"),0),MATCH(J$203,Input_Usage[[#Headers],[F-CurrentVDO_Input]:[F-NextVDO_Input]],0))/
INDEX(Input_Usage[[F-CurrentVDO_Input]:[F-NextVDO_Input]],MATCH(1,(Input_Usage[[Usage type]:[Usage type]]="Annual")*(Input_Usage[[Profile name]:[Profile name]]=$D204&amp;" - medium"),0),MATCH(J$203,Input_Usage[[#Headers],[F-CurrentVDO_Input]:[F-NextVDO_Input]],0)),"-")</f>
        <v>0.33</v>
      </c>
      <c r="L204" s="108"/>
    </row>
    <row r="205" spans="3:13" outlineLevel="1" x14ac:dyDescent="0.25">
      <c r="C205" s="18" t="s">
        <v>370</v>
      </c>
      <c r="D205" s="18" t="s">
        <v>31</v>
      </c>
      <c r="E205" s="86" t="s">
        <v>140</v>
      </c>
      <c r="F205" s="146" t="str" cm="1">
        <f t="array" ref="F205">IFERROR(INDEX(Input_Usage[[F-CurrentVDO_Input]:[F-NextVDO_Input]],MATCH(1,(Input_Usage[[Usage type]:[Usage type]]=$C205)*(Input_Usage[[Profile name]:[Profile name]]=$D205&amp;" - medium"),0),MATCH(F$203,Input_Usage[[#Headers],[F-CurrentVDO_Input]:[F-NextVDO_Input]],0))/
INDEX(Input_Usage[[F-CurrentVDO_Input]:[F-NextVDO_Input]],MATCH(1,(Input_Usage[[Usage type]:[Usage type]]="Annual")*(Input_Usage[[Profile name]:[Profile name]]=$D205&amp;" - medium"),0),MATCH(F$203,Input_Usage[[#Headers],[F-CurrentVDO_Input]:[F-NextVDO_Input]],0)),"-")</f>
        <v>-</v>
      </c>
      <c r="G205" s="146" cm="1">
        <f t="array" ref="G205">IFERROR(INDEX(Input_Usage[[F-CurrentVDO_Input]:[F-NextVDO_Input]],MATCH(1,(Input_Usage[[Usage type]:[Usage type]]=$C205)*(Input_Usage[[Profile name]:[Profile name]]=$D205&amp;" - medium"),0),MATCH(G$203,Input_Usage[[#Headers],[F-CurrentVDO_Input]:[F-NextVDO_Input]],0))/
INDEX(Input_Usage[[F-CurrentVDO_Input]:[F-NextVDO_Input]],MATCH(1,(Input_Usage[[Usage type]:[Usage type]]="Annual")*(Input_Usage[[Profile name]:[Profile name]]=$D205&amp;" - medium"),0),MATCH(G$203,Input_Usage[[#Headers],[F-CurrentVDO_Input]:[F-NextVDO_Input]],0)),"-")</f>
        <v>0.67</v>
      </c>
      <c r="H205" s="146" cm="1">
        <f t="array" ref="H205">IFERROR(INDEX(Input_Usage[[F-CurrentVDO_Input]:[F-NextVDO_Input]],MATCH(1,(Input_Usage[[Usage type]:[Usage type]]=$C205)*(Input_Usage[[Profile name]:[Profile name]]=$D205&amp;" - medium"),0),MATCH(H$203,Input_Usage[[#Headers],[F-CurrentVDO_Input]:[F-NextVDO_Input]],0))/
INDEX(Input_Usage[[F-CurrentVDO_Input]:[F-NextVDO_Input]],MATCH(1,(Input_Usage[[Usage type]:[Usage type]]="Annual")*(Input_Usage[[Profile name]:[Profile name]]=$D205&amp;" - medium"),0),MATCH(H$203,Input_Usage[[#Headers],[F-CurrentVDO_Input]:[F-NextVDO_Input]],0)),"-")</f>
        <v>0.67</v>
      </c>
      <c r="I205" s="146" cm="1">
        <f t="array" ref="I205">IFERROR(INDEX(Input_Usage[[F-CurrentVDO_Input]:[F-NextVDO_Input]],MATCH(1,(Input_Usage[[Usage type]:[Usage type]]=$C205)*(Input_Usage[[Profile name]:[Profile name]]=$D205&amp;" - medium"),0),MATCH(I$203,Input_Usage[[#Headers],[F-CurrentVDO_Input]:[F-NextVDO_Input]],0))/
INDEX(Input_Usage[[F-CurrentVDO_Input]:[F-NextVDO_Input]],MATCH(1,(Input_Usage[[Usage type]:[Usage type]]="Annual")*(Input_Usage[[Profile name]:[Profile name]]=$D205&amp;" - medium"),0),MATCH(I$203,Input_Usage[[#Headers],[F-CurrentVDO_Input]:[F-NextVDO_Input]],0)),"-")</f>
        <v>0.67</v>
      </c>
      <c r="J205" s="147" cm="1">
        <f t="array" ref="J205">IFERROR(INDEX(Input_Usage[[F-CurrentVDO_Input]:[F-NextVDO_Input]],MATCH(1,(Input_Usage[[Usage type]:[Usage type]]=$C205)*(Input_Usage[[Profile name]:[Profile name]]=$D205&amp;" - medium"),0),MATCH(J$203,Input_Usage[[#Headers],[F-CurrentVDO_Input]:[F-NextVDO_Input]],0))/
INDEX(Input_Usage[[F-CurrentVDO_Input]:[F-NextVDO_Input]],MATCH(1,(Input_Usage[[Usage type]:[Usage type]]="Annual")*(Input_Usage[[Profile name]:[Profile name]]=$D205&amp;" - medium"),0),MATCH(J$203,Input_Usage[[#Headers],[F-CurrentVDO_Input]:[F-NextVDO_Input]],0)),"-")</f>
        <v>0.67</v>
      </c>
      <c r="L205" s="108"/>
    </row>
    <row r="206" spans="3:13" outlineLevel="1" x14ac:dyDescent="0.25">
      <c r="C206" s="18" t="s">
        <v>157</v>
      </c>
      <c r="D206" s="18" t="s">
        <v>31</v>
      </c>
      <c r="E206" s="86" t="s">
        <v>140</v>
      </c>
      <c r="F206" s="146" cm="1">
        <f t="array" ref="F206">IFERROR(INDEX(Input_Usage[[F-CurrentVDO_Input]:[F-NextVDO_Input]],MATCH(1,(Input_Usage[[Usage type]:[Usage type]]=$C206)*(Input_Usage[[Profile name]:[Profile name]]=$D206&amp;" - medium"),0),MATCH(F$203,Input_Usage[[#Headers],[F-CurrentVDO_Input]:[F-NextVDO_Input]],0))/
INDEX(Input_Usage[[F-CurrentVDO_Input]:[F-NextVDO_Input]],MATCH(1,(Input_Usage[[Usage type]:[Usage type]]="Annual")*(Input_Usage[[Profile name]:[Profile name]]=$D206&amp;" - medium"),0),MATCH(F$203,Input_Usage[[#Headers],[F-CurrentVDO_Input]:[F-NextVDO_Input]],0)),"-")</f>
        <v>1</v>
      </c>
      <c r="G206" s="146" cm="1">
        <f t="array" ref="G206">IFERROR(INDEX(Input_Usage[[F-CurrentVDO_Input]:[F-NextVDO_Input]],MATCH(1,(Input_Usage[[Usage type]:[Usage type]]=$C206)*(Input_Usage[[Profile name]:[Profile name]]=$D206&amp;" - medium"),0),MATCH(G$203,Input_Usage[[#Headers],[F-CurrentVDO_Input]:[F-NextVDO_Input]],0))/
INDEX(Input_Usage[[F-CurrentVDO_Input]:[F-NextVDO_Input]],MATCH(1,(Input_Usage[[Usage type]:[Usage type]]="Annual")*(Input_Usage[[Profile name]:[Profile name]]=$D206&amp;" - medium"),0),MATCH(G$203,Input_Usage[[#Headers],[F-CurrentVDO_Input]:[F-NextVDO_Input]],0)),"-")</f>
        <v>1</v>
      </c>
      <c r="H206" s="146" cm="1">
        <f t="array" ref="H206">IFERROR(INDEX(Input_Usage[[F-CurrentVDO_Input]:[F-NextVDO_Input]],MATCH(1,(Input_Usage[[Usage type]:[Usage type]]=$C206)*(Input_Usage[[Profile name]:[Profile name]]=$D206&amp;" - medium"),0),MATCH(H$203,Input_Usage[[#Headers],[F-CurrentVDO_Input]:[F-NextVDO_Input]],0))/
INDEX(Input_Usage[[F-CurrentVDO_Input]:[F-NextVDO_Input]],MATCH(1,(Input_Usage[[Usage type]:[Usage type]]="Annual")*(Input_Usage[[Profile name]:[Profile name]]=$D206&amp;" - medium"),0),MATCH(H$203,Input_Usage[[#Headers],[F-CurrentVDO_Input]:[F-NextVDO_Input]],0)),"-")</f>
        <v>1</v>
      </c>
      <c r="I206" s="146" cm="1">
        <f t="array" ref="I206">IFERROR(INDEX(Input_Usage[[F-CurrentVDO_Input]:[F-NextVDO_Input]],MATCH(1,(Input_Usage[[Usage type]:[Usage type]]=$C206)*(Input_Usage[[Profile name]:[Profile name]]=$D206&amp;" - medium"),0),MATCH(I$203,Input_Usage[[#Headers],[F-CurrentVDO_Input]:[F-NextVDO_Input]],0))/
INDEX(Input_Usage[[F-CurrentVDO_Input]:[F-NextVDO_Input]],MATCH(1,(Input_Usage[[Usage type]:[Usage type]]="Annual")*(Input_Usage[[Profile name]:[Profile name]]=$D206&amp;" - medium"),0),MATCH(I$203,Input_Usage[[#Headers],[F-CurrentVDO_Input]:[F-NextVDO_Input]],0)),"-")</f>
        <v>1</v>
      </c>
      <c r="J206" s="147" cm="1">
        <f t="array" ref="J206">IFERROR(INDEX(Input_Usage[[F-CurrentVDO_Input]:[F-NextVDO_Input]],MATCH(1,(Input_Usage[[Usage type]:[Usage type]]=$C206)*(Input_Usage[[Profile name]:[Profile name]]=$D206&amp;" - medium"),0),MATCH(J$203,Input_Usage[[#Headers],[F-CurrentVDO_Input]:[F-NextVDO_Input]],0))/
INDEX(Input_Usage[[F-CurrentVDO_Input]:[F-NextVDO_Input]],MATCH(1,(Input_Usage[[Usage type]:[Usage type]]="Annual")*(Input_Usage[[Profile name]:[Profile name]]=$D206&amp;" - medium"),0),MATCH(J$203,Input_Usage[[#Headers],[F-CurrentVDO_Input]:[F-NextVDO_Input]],0)),"-")</f>
        <v>1</v>
      </c>
    </row>
    <row r="207" spans="3:13" outlineLevel="1" x14ac:dyDescent="0.25">
      <c r="C207" s="18" t="s">
        <v>164</v>
      </c>
      <c r="D207" s="18" t="s">
        <v>31</v>
      </c>
      <c r="E207" s="86" t="s">
        <v>140</v>
      </c>
      <c r="F207" s="146" cm="1">
        <f t="array" ref="F207">IFERROR(INDEX(Input_Usage[[F-CurrentVDO_Input]:[F-NextVDO_Input]],MATCH(1,(Input_Usage[[Usage type]:[Usage type]]=$C207)*(Input_Usage[[Profile name]:[Profile name]]=$D207&amp;" - medium"),0),MATCH(F$203,Input_Usage[[#Headers],[F-CurrentVDO_Input]:[F-NextVDO_Input]],0))/
INDEX(Input_Usage[[F-CurrentVDO_Input]:[F-NextVDO_Input]],MATCH(1,(Input_Usage[[Usage type]:[Usage type]]="Annual")*(Input_Usage[[Profile name]:[Profile name]]=$D207&amp;" - medium"),0),MATCH(F$203,Input_Usage[[#Headers],[F-CurrentVDO_Input]:[F-NextVDO_Input]],0)),"-")</f>
        <v>0</v>
      </c>
      <c r="G207" s="146" cm="1">
        <f t="array" ref="G207">IFERROR(INDEX(Input_Usage[[F-CurrentVDO_Input]:[F-NextVDO_Input]],MATCH(1,(Input_Usage[[Usage type]:[Usage type]]=$C207)*(Input_Usage[[Profile name]:[Profile name]]=$D207&amp;" - medium"),0),MATCH(G$203,Input_Usage[[#Headers],[F-CurrentVDO_Input]:[F-NextVDO_Input]],0))/
INDEX(Input_Usage[[F-CurrentVDO_Input]:[F-NextVDO_Input]],MATCH(1,(Input_Usage[[Usage type]:[Usage type]]="Annual")*(Input_Usage[[Profile name]:[Profile name]]=$D207&amp;" - medium"),0),MATCH(G$203,Input_Usage[[#Headers],[F-CurrentVDO_Input]:[F-NextVDO_Input]],0)),"-")</f>
        <v>0</v>
      </c>
      <c r="H207" s="146" cm="1">
        <f t="array" ref="H207">IFERROR(INDEX(Input_Usage[[F-CurrentVDO_Input]:[F-NextVDO_Input]],MATCH(1,(Input_Usage[[Usage type]:[Usage type]]=$C207)*(Input_Usage[[Profile name]:[Profile name]]=$D207&amp;" - medium"),0),MATCH(H$203,Input_Usage[[#Headers],[F-CurrentVDO_Input]:[F-NextVDO_Input]],0))/
INDEX(Input_Usage[[F-CurrentVDO_Input]:[F-NextVDO_Input]],MATCH(1,(Input_Usage[[Usage type]:[Usage type]]="Annual")*(Input_Usage[[Profile name]:[Profile name]]=$D207&amp;" - medium"),0),MATCH(H$203,Input_Usage[[#Headers],[F-CurrentVDO_Input]:[F-NextVDO_Input]],0)),"-")</f>
        <v>0</v>
      </c>
      <c r="I207" s="146" cm="1">
        <f t="array" ref="I207">IFERROR(INDEX(Input_Usage[[F-CurrentVDO_Input]:[F-NextVDO_Input]],MATCH(1,(Input_Usage[[Usage type]:[Usage type]]=$C207)*(Input_Usage[[Profile name]:[Profile name]]=$D207&amp;" - medium"),0),MATCH(I$203,Input_Usage[[#Headers],[F-CurrentVDO_Input]:[F-NextVDO_Input]],0))/
INDEX(Input_Usage[[F-CurrentVDO_Input]:[F-NextVDO_Input]],MATCH(1,(Input_Usage[[Usage type]:[Usage type]]="Annual")*(Input_Usage[[Profile name]:[Profile name]]=$D207&amp;" - medium"),0),MATCH(I$203,Input_Usage[[#Headers],[F-CurrentVDO_Input]:[F-NextVDO_Input]],0)),"-")</f>
        <v>0</v>
      </c>
      <c r="J207" s="147" cm="1">
        <f t="array" ref="J207">IFERROR(INDEX(Input_Usage[[F-CurrentVDO_Input]:[F-NextVDO_Input]],MATCH(1,(Input_Usage[[Usage type]:[Usage type]]=$C207)*(Input_Usage[[Profile name]:[Profile name]]=$D207&amp;" - medium"),0),MATCH(J$203,Input_Usage[[#Headers],[F-CurrentVDO_Input]:[F-NextVDO_Input]],0))/
INDEX(Input_Usage[[F-CurrentVDO_Input]:[F-NextVDO_Input]],MATCH(1,(Input_Usage[[Usage type]:[Usage type]]="Annual")*(Input_Usage[[Profile name]:[Profile name]]=$D207&amp;" - medium"),0),MATCH(J$203,Input_Usage[[#Headers],[F-CurrentVDO_Input]:[F-NextVDO_Input]],0)),"-")</f>
        <v>0</v>
      </c>
    </row>
    <row r="208" spans="3:13" outlineLevel="1" x14ac:dyDescent="0.25">
      <c r="C208" s="18" t="s">
        <v>338</v>
      </c>
      <c r="D208" s="18" t="s">
        <v>31</v>
      </c>
      <c r="E208" s="86" t="s">
        <v>140</v>
      </c>
      <c r="F208" s="146" cm="1">
        <f t="array" ref="F208">IFERROR(INDEX(Input_Usage[[F-CurrentVDO_Input]:[F-NextVDO_Input]],MATCH(1,(Input_Usage[[Usage type]:[Usage type]]=$C208)*(Input_Usage[[Profile name]:[Profile name]]=$D208&amp;" - medium"),0),MATCH(F$203,Input_Usage[[#Headers],[F-CurrentVDO_Input]:[F-NextVDO_Input]],0))/
INDEX(Input_Usage[[F-CurrentVDO_Input]:[F-NextVDO_Input]],MATCH(1,(Input_Usage[[Usage type]:[Usage type]]="Annual")*(Input_Usage[[Profile name]:[Profile name]]=$D208&amp;" - medium"),0),MATCH(F$203,Input_Usage[[#Headers],[F-CurrentVDO_Input]:[F-NextVDO_Input]],0)),"-")</f>
        <v>1</v>
      </c>
      <c r="G208" s="146" cm="1">
        <f t="array" ref="G208">IFERROR(INDEX(Input_Usage[[F-CurrentVDO_Input]:[F-NextVDO_Input]],MATCH(1,(Input_Usage[[Usage type]:[Usage type]]=$C208)*(Input_Usage[[Profile name]:[Profile name]]=$D208&amp;" - medium"),0),MATCH(G$203,Input_Usage[[#Headers],[F-CurrentVDO_Input]:[F-NextVDO_Input]],0))/
INDEX(Input_Usage[[F-CurrentVDO_Input]:[F-NextVDO_Input]],MATCH(1,(Input_Usage[[Usage type]:[Usage type]]="Annual")*(Input_Usage[[Profile name]:[Profile name]]=$D208&amp;" - medium"),0),MATCH(G$203,Input_Usage[[#Headers],[F-CurrentVDO_Input]:[F-NextVDO_Input]],0)),"-")</f>
        <v>1</v>
      </c>
      <c r="H208" s="146" cm="1">
        <f t="array" ref="H208">IFERROR(INDEX(Input_Usage[[F-CurrentVDO_Input]:[F-NextVDO_Input]],MATCH(1,(Input_Usage[[Usage type]:[Usage type]]=$C208)*(Input_Usage[[Profile name]:[Profile name]]=$D208&amp;" - medium"),0),MATCH(H$203,Input_Usage[[#Headers],[F-CurrentVDO_Input]:[F-NextVDO_Input]],0))/
INDEX(Input_Usage[[F-CurrentVDO_Input]:[F-NextVDO_Input]],MATCH(1,(Input_Usage[[Usage type]:[Usage type]]="Annual")*(Input_Usage[[Profile name]:[Profile name]]=$D208&amp;" - medium"),0),MATCH(H$203,Input_Usage[[#Headers],[F-CurrentVDO_Input]:[F-NextVDO_Input]],0)),"-")</f>
        <v>1</v>
      </c>
      <c r="I208" s="146" cm="1">
        <f t="array" ref="I208">IFERROR(INDEX(Input_Usage[[F-CurrentVDO_Input]:[F-NextVDO_Input]],MATCH(1,(Input_Usage[[Usage type]:[Usage type]]=$C208)*(Input_Usage[[Profile name]:[Profile name]]=$D208&amp;" - medium"),0),MATCH(I$203,Input_Usage[[#Headers],[F-CurrentVDO_Input]:[F-NextVDO_Input]],0))/
INDEX(Input_Usage[[F-CurrentVDO_Input]:[F-NextVDO_Input]],MATCH(1,(Input_Usage[[Usage type]:[Usage type]]="Annual")*(Input_Usage[[Profile name]:[Profile name]]=$D208&amp;" - medium"),0),MATCH(I$203,Input_Usage[[#Headers],[F-CurrentVDO_Input]:[F-NextVDO_Input]],0)),"-")</f>
        <v>1</v>
      </c>
      <c r="J208" s="147" cm="1">
        <f t="array" ref="J208">IFERROR(INDEX(Input_Usage[[F-CurrentVDO_Input]:[F-NextVDO_Input]],MATCH(1,(Input_Usage[[Usage type]:[Usage type]]=$C208)*(Input_Usage[[Profile name]:[Profile name]]=$D208&amp;" - medium"),0),MATCH(J$203,Input_Usage[[#Headers],[F-CurrentVDO_Input]:[F-NextVDO_Input]],0))/
INDEX(Input_Usage[[F-CurrentVDO_Input]:[F-NextVDO_Input]],MATCH(1,(Input_Usage[[Usage type]:[Usage type]]="Annual")*(Input_Usage[[Profile name]:[Profile name]]=$D208&amp;" - medium"),0),MATCH(J$203,Input_Usage[[#Headers],[F-CurrentVDO_Input]:[F-NextVDO_Input]],0)),"-")</f>
        <v>1</v>
      </c>
    </row>
    <row r="209" spans="3:10" outlineLevel="1" x14ac:dyDescent="0.25">
      <c r="C209" s="18" t="s">
        <v>166</v>
      </c>
      <c r="D209" s="18" t="s">
        <v>32</v>
      </c>
      <c r="E209" s="86" t="s">
        <v>140</v>
      </c>
      <c r="F209" s="146" t="str" cm="1">
        <f t="array" ref="F209">IFERROR(INDEX(Input_Usage[[F-CurrentVDO_Input]:[F-NextVDO_Input]],MATCH(1,(Input_Usage[[Usage type]:[Usage type]]=$C209)*(Input_Usage[[Profile name]:[Profile name]]=$D209&amp;" - medium"),0),MATCH(F$203,Input_Usage[[#Headers],[F-CurrentVDO_Input]:[F-NextVDO_Input]],0))/
INDEX(Input_Usage[[F-CurrentVDO_Input]:[F-NextVDO_Input]],MATCH(1,(Input_Usage[[Usage type]:[Usage type]]="Annual")*(Input_Usage[[Profile name]:[Profile name]]=$D209&amp;" - medium"),0),MATCH(F$203,Input_Usage[[#Headers],[F-CurrentVDO_Input]:[F-NextVDO_Input]],0)),"-")</f>
        <v>-</v>
      </c>
      <c r="G209" s="146" cm="1">
        <f t="array" ref="G209">IFERROR(INDEX(Input_Usage[[F-CurrentVDO_Input]:[F-NextVDO_Input]],MATCH(1,(Input_Usage[[Usage type]:[Usage type]]=$C209)*(Input_Usage[[Profile name]:[Profile name]]=$D209&amp;" - medium"),0),MATCH(G$203,Input_Usage[[#Headers],[F-CurrentVDO_Input]:[F-NextVDO_Input]],0))/
INDEX(Input_Usage[[F-CurrentVDO_Input]:[F-NextVDO_Input]],MATCH(1,(Input_Usage[[Usage type]:[Usage type]]="Annual")*(Input_Usage[[Profile name]:[Profile name]]=$D209&amp;" - medium"),0),MATCH(G$203,Input_Usage[[#Headers],[F-CurrentVDO_Input]:[F-NextVDO_Input]],0)),"-")</f>
        <v>0.49</v>
      </c>
      <c r="H209" s="146" cm="1">
        <f t="array" ref="H209">IFERROR(INDEX(Input_Usage[[F-CurrentVDO_Input]:[F-NextVDO_Input]],MATCH(1,(Input_Usage[[Usage type]:[Usage type]]=$C209)*(Input_Usage[[Profile name]:[Profile name]]=$D209&amp;" - medium"),0),MATCH(H$203,Input_Usage[[#Headers],[F-CurrentVDO_Input]:[F-NextVDO_Input]],0))/
INDEX(Input_Usage[[F-CurrentVDO_Input]:[F-NextVDO_Input]],MATCH(1,(Input_Usage[[Usage type]:[Usage type]]="Annual")*(Input_Usage[[Profile name]:[Profile name]]=$D209&amp;" - medium"),0),MATCH(H$203,Input_Usage[[#Headers],[F-CurrentVDO_Input]:[F-NextVDO_Input]],0)),"-")</f>
        <v>0.49</v>
      </c>
      <c r="I209" s="146" cm="1">
        <f t="array" ref="I209">IFERROR(INDEX(Input_Usage[[F-CurrentVDO_Input]:[F-NextVDO_Input]],MATCH(1,(Input_Usage[[Usage type]:[Usage type]]=$C209)*(Input_Usage[[Profile name]:[Profile name]]=$D209&amp;" - medium"),0),MATCH(I$203,Input_Usage[[#Headers],[F-CurrentVDO_Input]:[F-NextVDO_Input]],0))/
INDEX(Input_Usage[[F-CurrentVDO_Input]:[F-NextVDO_Input]],MATCH(1,(Input_Usage[[Usage type]:[Usage type]]="Annual")*(Input_Usage[[Profile name]:[Profile name]]=$D209&amp;" - medium"),0),MATCH(I$203,Input_Usage[[#Headers],[F-CurrentVDO_Input]:[F-NextVDO_Input]],0)),"-")</f>
        <v>0.49</v>
      </c>
      <c r="J209" s="147" cm="1">
        <f t="array" ref="J209">IFERROR(INDEX(Input_Usage[[F-CurrentVDO_Input]:[F-NextVDO_Input]],MATCH(1,(Input_Usage[[Usage type]:[Usage type]]=$C209)*(Input_Usage[[Profile name]:[Profile name]]=$D209&amp;" - medium"),0),MATCH(J$203,Input_Usage[[#Headers],[F-CurrentVDO_Input]:[F-NextVDO_Input]],0))/
INDEX(Input_Usage[[F-CurrentVDO_Input]:[F-NextVDO_Input]],MATCH(1,(Input_Usage[[Usage type]:[Usage type]]="Annual")*(Input_Usage[[Profile name]:[Profile name]]=$D209&amp;" - medium"),0),MATCH(J$203,Input_Usage[[#Headers],[F-CurrentVDO_Input]:[F-NextVDO_Input]],0)),"-")</f>
        <v>0.49</v>
      </c>
    </row>
    <row r="210" spans="3:10" outlineLevel="1" x14ac:dyDescent="0.25">
      <c r="C210" s="18" t="s">
        <v>370</v>
      </c>
      <c r="D210" s="18" t="s">
        <v>32</v>
      </c>
      <c r="E210" s="86" t="s">
        <v>140</v>
      </c>
      <c r="F210" s="146" t="str" cm="1">
        <f t="array" ref="F210">IFERROR(INDEX(Input_Usage[[F-CurrentVDO_Input]:[F-NextVDO_Input]],MATCH(1,(Input_Usage[[Usage type]:[Usage type]]=$C210)*(Input_Usage[[Profile name]:[Profile name]]=$D210&amp;" - medium"),0),MATCH(F$203,Input_Usage[[#Headers],[F-CurrentVDO_Input]:[F-NextVDO_Input]],0))/
INDEX(Input_Usage[[F-CurrentVDO_Input]:[F-NextVDO_Input]],MATCH(1,(Input_Usage[[Usage type]:[Usage type]]="Annual")*(Input_Usage[[Profile name]:[Profile name]]=$D210&amp;" - medium"),0),MATCH(F$203,Input_Usage[[#Headers],[F-CurrentVDO_Input]:[F-NextVDO_Input]],0)),"-")</f>
        <v>-</v>
      </c>
      <c r="G210" s="146" cm="1">
        <f t="array" ref="G210">IFERROR(INDEX(Input_Usage[[F-CurrentVDO_Input]:[F-NextVDO_Input]],MATCH(1,(Input_Usage[[Usage type]:[Usage type]]=$C210)*(Input_Usage[[Profile name]:[Profile name]]=$D210&amp;" - medium"),0),MATCH(G$203,Input_Usage[[#Headers],[F-CurrentVDO_Input]:[F-NextVDO_Input]],0))/
INDEX(Input_Usage[[F-CurrentVDO_Input]:[F-NextVDO_Input]],MATCH(1,(Input_Usage[[Usage type]:[Usage type]]="Annual")*(Input_Usage[[Profile name]:[Profile name]]=$D210&amp;" - medium"),0),MATCH(G$203,Input_Usage[[#Headers],[F-CurrentVDO_Input]:[F-NextVDO_Input]],0)),"-")</f>
        <v>0.51</v>
      </c>
      <c r="H210" s="146" cm="1">
        <f t="array" ref="H210">IFERROR(INDEX(Input_Usage[[F-CurrentVDO_Input]:[F-NextVDO_Input]],MATCH(1,(Input_Usage[[Usage type]:[Usage type]]=$C210)*(Input_Usage[[Profile name]:[Profile name]]=$D210&amp;" - medium"),0),MATCH(H$203,Input_Usage[[#Headers],[F-CurrentVDO_Input]:[F-NextVDO_Input]],0))/
INDEX(Input_Usage[[F-CurrentVDO_Input]:[F-NextVDO_Input]],MATCH(1,(Input_Usage[[Usage type]:[Usage type]]="Annual")*(Input_Usage[[Profile name]:[Profile name]]=$D210&amp;" - medium"),0),MATCH(H$203,Input_Usage[[#Headers],[F-CurrentVDO_Input]:[F-NextVDO_Input]],0)),"-")</f>
        <v>0.51</v>
      </c>
      <c r="I210" s="146" cm="1">
        <f t="array" ref="I210">IFERROR(INDEX(Input_Usage[[F-CurrentVDO_Input]:[F-NextVDO_Input]],MATCH(1,(Input_Usage[[Usage type]:[Usage type]]=$C210)*(Input_Usage[[Profile name]:[Profile name]]=$D210&amp;" - medium"),0),MATCH(I$203,Input_Usage[[#Headers],[F-CurrentVDO_Input]:[F-NextVDO_Input]],0))/
INDEX(Input_Usage[[F-CurrentVDO_Input]:[F-NextVDO_Input]],MATCH(1,(Input_Usage[[Usage type]:[Usage type]]="Annual")*(Input_Usage[[Profile name]:[Profile name]]=$D210&amp;" - medium"),0),MATCH(I$203,Input_Usage[[#Headers],[F-CurrentVDO_Input]:[F-NextVDO_Input]],0)),"-")</f>
        <v>0.51</v>
      </c>
      <c r="J210" s="147" cm="1">
        <f t="array" ref="J210">IFERROR(INDEX(Input_Usage[[F-CurrentVDO_Input]:[F-NextVDO_Input]],MATCH(1,(Input_Usage[[Usage type]:[Usage type]]=$C210)*(Input_Usage[[Profile name]:[Profile name]]=$D210&amp;" - medium"),0),MATCH(J$203,Input_Usage[[#Headers],[F-CurrentVDO_Input]:[F-NextVDO_Input]],0))/
INDEX(Input_Usage[[F-CurrentVDO_Input]:[F-NextVDO_Input]],MATCH(1,(Input_Usage[[Usage type]:[Usage type]]="Annual")*(Input_Usage[[Profile name]:[Profile name]]=$D210&amp;" - medium"),0),MATCH(J$203,Input_Usage[[#Headers],[F-CurrentVDO_Input]:[F-NextVDO_Input]],0)),"-")</f>
        <v>0.51</v>
      </c>
    </row>
    <row r="211" spans="3:10" outlineLevel="1" x14ac:dyDescent="0.25">
      <c r="C211" s="18" t="s">
        <v>157</v>
      </c>
      <c r="D211" s="18" t="s">
        <v>32</v>
      </c>
      <c r="E211" s="86" t="s">
        <v>140</v>
      </c>
      <c r="F211" s="146" cm="1">
        <f t="array" ref="F211">IFERROR(INDEX(Input_Usage[[F-CurrentVDO_Input]:[F-NextVDO_Input]],MATCH(1,(Input_Usage[[Usage type]:[Usage type]]=$C211)*(Input_Usage[[Profile name]:[Profile name]]=$D211&amp;" - medium"),0),MATCH(F$203,Input_Usage[[#Headers],[F-CurrentVDO_Input]:[F-NextVDO_Input]],0))/
INDEX(Input_Usage[[F-CurrentVDO_Input]:[F-NextVDO_Input]],MATCH(1,(Input_Usage[[Usage type]:[Usage type]]="Annual")*(Input_Usage[[Profile name]:[Profile name]]=$D211&amp;" - medium"),0),MATCH(F$203,Input_Usage[[#Headers],[F-CurrentVDO_Input]:[F-NextVDO_Input]],0)),"-")</f>
        <v>0.20399999999999999</v>
      </c>
      <c r="G211" s="146" cm="1">
        <f t="array" ref="G211">IFERROR(INDEX(Input_Usage[[F-CurrentVDO_Input]:[F-NextVDO_Input]],MATCH(1,(Input_Usage[[Usage type]:[Usage type]]=$C211)*(Input_Usage[[Profile name]:[Profile name]]=$D211&amp;" - medium"),0),MATCH(G$203,Input_Usage[[#Headers],[F-CurrentVDO_Input]:[F-NextVDO_Input]],0))/
INDEX(Input_Usage[[F-CurrentVDO_Input]:[F-NextVDO_Input]],MATCH(1,(Input_Usage[[Usage type]:[Usage type]]="Annual")*(Input_Usage[[Profile name]:[Profile name]]=$D211&amp;" - medium"),0),MATCH(G$203,Input_Usage[[#Headers],[F-CurrentVDO_Input]:[F-NextVDO_Input]],0)),"-")</f>
        <v>0.20399999999999999</v>
      </c>
      <c r="H211" s="146" cm="1">
        <f t="array" ref="H211">IFERROR(INDEX(Input_Usage[[F-CurrentVDO_Input]:[F-NextVDO_Input]],MATCH(1,(Input_Usage[[Usage type]:[Usage type]]=$C211)*(Input_Usage[[Profile name]:[Profile name]]=$D211&amp;" - medium"),0),MATCH(H$203,Input_Usage[[#Headers],[F-CurrentVDO_Input]:[F-NextVDO_Input]],0))/
INDEX(Input_Usage[[F-CurrentVDO_Input]:[F-NextVDO_Input]],MATCH(1,(Input_Usage[[Usage type]:[Usage type]]="Annual")*(Input_Usage[[Profile name]:[Profile name]]=$D211&amp;" - medium"),0),MATCH(H$203,Input_Usage[[#Headers],[F-CurrentVDO_Input]:[F-NextVDO_Input]],0)),"-")</f>
        <v>0.20399999999999999</v>
      </c>
      <c r="I211" s="146" cm="1">
        <f t="array" ref="I211">IFERROR(INDEX(Input_Usage[[F-CurrentVDO_Input]:[F-NextVDO_Input]],MATCH(1,(Input_Usage[[Usage type]:[Usage type]]=$C211)*(Input_Usage[[Profile name]:[Profile name]]=$D211&amp;" - medium"),0),MATCH(I$203,Input_Usage[[#Headers],[F-CurrentVDO_Input]:[F-NextVDO_Input]],0))/
INDEX(Input_Usage[[F-CurrentVDO_Input]:[F-NextVDO_Input]],MATCH(1,(Input_Usage[[Usage type]:[Usage type]]="Annual")*(Input_Usage[[Profile name]:[Profile name]]=$D211&amp;" - medium"),0),MATCH(I$203,Input_Usage[[#Headers],[F-CurrentVDO_Input]:[F-NextVDO_Input]],0)),"-")</f>
        <v>0.20399999999999999</v>
      </c>
      <c r="J211" s="147" cm="1">
        <f t="array" ref="J211">IFERROR(INDEX(Input_Usage[[F-CurrentVDO_Input]:[F-NextVDO_Input]],MATCH(1,(Input_Usage[[Usage type]:[Usage type]]=$C211)*(Input_Usage[[Profile name]:[Profile name]]=$D211&amp;" - medium"),0),MATCH(J$203,Input_Usage[[#Headers],[F-CurrentVDO_Input]:[F-NextVDO_Input]],0))/
INDEX(Input_Usage[[F-CurrentVDO_Input]:[F-NextVDO_Input]],MATCH(1,(Input_Usage[[Usage type]:[Usage type]]="Annual")*(Input_Usage[[Profile name]:[Profile name]]=$D211&amp;" - medium"),0),MATCH(J$203,Input_Usage[[#Headers],[F-CurrentVDO_Input]:[F-NextVDO_Input]],0)),"-")</f>
        <v>0.20399999999999999</v>
      </c>
    </row>
    <row r="212" spans="3:10" outlineLevel="1" x14ac:dyDescent="0.25">
      <c r="C212" s="18" t="s">
        <v>164</v>
      </c>
      <c r="D212" s="18" t="s">
        <v>32</v>
      </c>
      <c r="E212" s="86" t="s">
        <v>140</v>
      </c>
      <c r="F212" s="146" cm="1">
        <f t="array" ref="F212">IFERROR(INDEX(Input_Usage[[F-CurrentVDO_Input]:[F-NextVDO_Input]],MATCH(1,(Input_Usage[[Usage type]:[Usage type]]=$C212)*(Input_Usage[[Profile name]:[Profile name]]=$D212&amp;" - medium"),0),MATCH(F$203,Input_Usage[[#Headers],[F-CurrentVDO_Input]:[F-NextVDO_Input]],0))/
INDEX(Input_Usage[[F-CurrentVDO_Input]:[F-NextVDO_Input]],MATCH(1,(Input_Usage[[Usage type]:[Usage type]]="Annual")*(Input_Usage[[Profile name]:[Profile name]]=$D212&amp;" - medium"),0),MATCH(F$203,Input_Usage[[#Headers],[F-CurrentVDO_Input]:[F-NextVDO_Input]],0)),"-")</f>
        <v>0.79600000000000004</v>
      </c>
      <c r="G212" s="146" cm="1">
        <f t="array" ref="G212">IFERROR(INDEX(Input_Usage[[F-CurrentVDO_Input]:[F-NextVDO_Input]],MATCH(1,(Input_Usage[[Usage type]:[Usage type]]=$C212)*(Input_Usage[[Profile name]:[Profile name]]=$D212&amp;" - medium"),0),MATCH(G$203,Input_Usage[[#Headers],[F-CurrentVDO_Input]:[F-NextVDO_Input]],0))/
INDEX(Input_Usage[[F-CurrentVDO_Input]:[F-NextVDO_Input]],MATCH(1,(Input_Usage[[Usage type]:[Usage type]]="Annual")*(Input_Usage[[Profile name]:[Profile name]]=$D212&amp;" - medium"),0),MATCH(G$203,Input_Usage[[#Headers],[F-CurrentVDO_Input]:[F-NextVDO_Input]],0)),"-")</f>
        <v>0.79600000000000004</v>
      </c>
      <c r="H212" s="146" cm="1">
        <f t="array" ref="H212">IFERROR(INDEX(Input_Usage[[F-CurrentVDO_Input]:[F-NextVDO_Input]],MATCH(1,(Input_Usage[[Usage type]:[Usage type]]=$C212)*(Input_Usage[[Profile name]:[Profile name]]=$D212&amp;" - medium"),0),MATCH(H$203,Input_Usage[[#Headers],[F-CurrentVDO_Input]:[F-NextVDO_Input]],0))/
INDEX(Input_Usage[[F-CurrentVDO_Input]:[F-NextVDO_Input]],MATCH(1,(Input_Usage[[Usage type]:[Usage type]]="Annual")*(Input_Usage[[Profile name]:[Profile name]]=$D212&amp;" - medium"),0),MATCH(H$203,Input_Usage[[#Headers],[F-CurrentVDO_Input]:[F-NextVDO_Input]],0)),"-")</f>
        <v>0.79600000000000004</v>
      </c>
      <c r="I212" s="146" cm="1">
        <f t="array" ref="I212">IFERROR(INDEX(Input_Usage[[F-CurrentVDO_Input]:[F-NextVDO_Input]],MATCH(1,(Input_Usage[[Usage type]:[Usage type]]=$C212)*(Input_Usage[[Profile name]:[Profile name]]=$D212&amp;" - medium"),0),MATCH(I$203,Input_Usage[[#Headers],[F-CurrentVDO_Input]:[F-NextVDO_Input]],0))/
INDEX(Input_Usage[[F-CurrentVDO_Input]:[F-NextVDO_Input]],MATCH(1,(Input_Usage[[Usage type]:[Usage type]]="Annual")*(Input_Usage[[Profile name]:[Profile name]]=$D212&amp;" - medium"),0),MATCH(I$203,Input_Usage[[#Headers],[F-CurrentVDO_Input]:[F-NextVDO_Input]],0)),"-")</f>
        <v>0.79600000000000004</v>
      </c>
      <c r="J212" s="147" cm="1">
        <f t="array" ref="J212">IFERROR(INDEX(Input_Usage[[F-CurrentVDO_Input]:[F-NextVDO_Input]],MATCH(1,(Input_Usage[[Usage type]:[Usage type]]=$C212)*(Input_Usage[[Profile name]:[Profile name]]=$D212&amp;" - medium"),0),MATCH(J$203,Input_Usage[[#Headers],[F-CurrentVDO_Input]:[F-NextVDO_Input]],0))/
INDEX(Input_Usage[[F-CurrentVDO_Input]:[F-NextVDO_Input]],MATCH(1,(Input_Usage[[Usage type]:[Usage type]]="Annual")*(Input_Usage[[Profile name]:[Profile name]]=$D212&amp;" - medium"),0),MATCH(J$203,Input_Usage[[#Headers],[F-CurrentVDO_Input]:[F-NextVDO_Input]],0)),"-")</f>
        <v>0.79600000000000004</v>
      </c>
    </row>
    <row r="213" spans="3:10" outlineLevel="1" x14ac:dyDescent="0.25">
      <c r="C213" s="18" t="s">
        <v>338</v>
      </c>
      <c r="D213" s="18" t="s">
        <v>32</v>
      </c>
      <c r="E213" s="86" t="s">
        <v>140</v>
      </c>
      <c r="F213" s="146" cm="1">
        <f t="array" ref="F213">IFERROR(INDEX(Input_Usage[[F-CurrentVDO_Input]:[F-NextVDO_Input]],MATCH(1,(Input_Usage[[Usage type]:[Usage type]]=$C213)*(Input_Usage[[Profile name]:[Profile name]]=$D213&amp;" - medium"),0),MATCH(F$203,Input_Usage[[#Headers],[F-CurrentVDO_Input]:[F-NextVDO_Input]],0))/
INDEX(Input_Usage[[F-CurrentVDO_Input]:[F-NextVDO_Input]],MATCH(1,(Input_Usage[[Usage type]:[Usage type]]="Annual")*(Input_Usage[[Profile name]:[Profile name]]=$D213&amp;" - medium"),0),MATCH(F$203,Input_Usage[[#Headers],[F-CurrentVDO_Input]:[F-NextVDO_Input]],0)),"-")</f>
        <v>1</v>
      </c>
      <c r="G213" s="146" cm="1">
        <f t="array" ref="G213">IFERROR(INDEX(Input_Usage[[F-CurrentVDO_Input]:[F-NextVDO_Input]],MATCH(1,(Input_Usage[[Usage type]:[Usage type]]=$C213)*(Input_Usage[[Profile name]:[Profile name]]=$D213&amp;" - medium"),0),MATCH(G$203,Input_Usage[[#Headers],[F-CurrentVDO_Input]:[F-NextVDO_Input]],0))/
INDEX(Input_Usage[[F-CurrentVDO_Input]:[F-NextVDO_Input]],MATCH(1,(Input_Usage[[Usage type]:[Usage type]]="Annual")*(Input_Usage[[Profile name]:[Profile name]]=$D213&amp;" - medium"),0),MATCH(G$203,Input_Usage[[#Headers],[F-CurrentVDO_Input]:[F-NextVDO_Input]],0)),"-")</f>
        <v>1</v>
      </c>
      <c r="H213" s="146" cm="1">
        <f t="array" ref="H213">IFERROR(INDEX(Input_Usage[[F-CurrentVDO_Input]:[F-NextVDO_Input]],MATCH(1,(Input_Usage[[Usage type]:[Usage type]]=$C213)*(Input_Usage[[Profile name]:[Profile name]]=$D213&amp;" - medium"),0),MATCH(H$203,Input_Usage[[#Headers],[F-CurrentVDO_Input]:[F-NextVDO_Input]],0))/
INDEX(Input_Usage[[F-CurrentVDO_Input]:[F-NextVDO_Input]],MATCH(1,(Input_Usage[[Usage type]:[Usage type]]="Annual")*(Input_Usage[[Profile name]:[Profile name]]=$D213&amp;" - medium"),0),MATCH(H$203,Input_Usage[[#Headers],[F-CurrentVDO_Input]:[F-NextVDO_Input]],0)),"-")</f>
        <v>1</v>
      </c>
      <c r="I213" s="146" cm="1">
        <f t="array" ref="I213">IFERROR(INDEX(Input_Usage[[F-CurrentVDO_Input]:[F-NextVDO_Input]],MATCH(1,(Input_Usage[[Usage type]:[Usage type]]=$C213)*(Input_Usage[[Profile name]:[Profile name]]=$D213&amp;" - medium"),0),MATCH(I$203,Input_Usage[[#Headers],[F-CurrentVDO_Input]:[F-NextVDO_Input]],0))/
INDEX(Input_Usage[[F-CurrentVDO_Input]:[F-NextVDO_Input]],MATCH(1,(Input_Usage[[Usage type]:[Usage type]]="Annual")*(Input_Usage[[Profile name]:[Profile name]]=$D213&amp;" - medium"),0),MATCH(I$203,Input_Usage[[#Headers],[F-CurrentVDO_Input]:[F-NextVDO_Input]],0)),"-")</f>
        <v>1</v>
      </c>
      <c r="J213" s="147" cm="1">
        <f t="array" ref="J213">IFERROR(INDEX(Input_Usage[[F-CurrentVDO_Input]:[F-NextVDO_Input]],MATCH(1,(Input_Usage[[Usage type]:[Usage type]]=$C213)*(Input_Usage[[Profile name]:[Profile name]]=$D213&amp;" - medium"),0),MATCH(J$203,Input_Usage[[#Headers],[F-CurrentVDO_Input]:[F-NextVDO_Input]],0))/
INDEX(Input_Usage[[F-CurrentVDO_Input]:[F-NextVDO_Input]],MATCH(1,(Input_Usage[[Usage type]:[Usage type]]="Annual")*(Input_Usage[[Profile name]:[Profile name]]=$D213&amp;" - medium"),0),MATCH(J$203,Input_Usage[[#Headers],[F-CurrentVDO_Input]:[F-NextVDO_Input]],0)),"-")</f>
        <v>1</v>
      </c>
    </row>
    <row r="214" spans="3:10" outlineLevel="1" x14ac:dyDescent="0.25"/>
    <row r="215" spans="3:10" ht="15.75" outlineLevel="1" x14ac:dyDescent="0.25">
      <c r="E215" s="23" t="s">
        <v>389</v>
      </c>
      <c r="F215" s="149" t="str">
        <f>IF(INDEX(Input_TUNet_Props[F-CurrentVDO_Input],MATCH("Peak",Input_TUNet_Props[[Usage type]:[Usage type]],0),1)="-","-",
IF(AND(
SUMIFS(Input_TUNet_Props[F-CurrentVDO_Input],Input_TUNet_Props[[Customer type]:[Customer type]],"Residential",Input_TUNet_Props[[Usage type]:[Usage type]],"Peak")+
SUMIFS(Input_TUNet_Props[F-CurrentVDO_Input],Input_TUNet_Props[[Customer type]:[Customer type]],"Residential",Input_TUNet_Props[[Usage type]:[Usage type]],"Off peak")=1,
SUMIFS(Input_TUNet_Props[F-CurrentVDO_Input],Input_TUNet_Props[[Customer type]:[Customer type]],"Small business",Input_TUNet_Props[[Usage type]:[Usage type]],"Peak")+
SUMIFS(Input_TUNet_Props[F-CurrentVDO_Input],Input_TUNet_Props[[Customer type]:[Customer type]],"Small business",Input_TUNet_Props[[Usage type]:[Usage type]],"Off peak")=1),0,1))</f>
        <v>-</v>
      </c>
      <c r="G215" s="149">
        <f>IF(INDEX(Input_TUNet_Props[VD-CurrentVDO_Input],MATCH("Peak",Input_TUNet_Props[[Usage type]:[Usage type]],0),1)="-","-",
IF(AND(
SUMIFS(Input_TUNet_Props[VD-CurrentVDO_Input],Input_TUNet_Props[[Customer type]:[Customer type]],"Residential",Input_TUNet_Props[[Usage type]:[Usage type]],"Peak")+
SUMIFS(Input_TUNet_Props[VD-CurrentVDO_Input],Input_TUNet_Props[[Customer type]:[Customer type]],"Residential",Input_TUNet_Props[[Usage type]:[Usage type]],"Off peak")=1,
SUMIFS(Input_TUNet_Props[VD-CurrentVDO_Input],Input_TUNet_Props[[Customer type]:[Customer type]],"Small business",Input_TUNet_Props[[Usage type]:[Usage type]],"Peak")+
SUMIFS(Input_TUNet_Props[VD-CurrentVDO_Input],Input_TUNet_Props[[Customer type]:[Customer type]],"Small business",Input_TUNet_Props[[Usage type]:[Usage type]],"Off peak")=1),0,1))</f>
        <v>0</v>
      </c>
      <c r="H215" s="149">
        <f>IF(INDEX(Input_TUNet_Props[VF-CurrentVDO_Input],MATCH("Peak",Input_TUNet_Props[[Usage type]:[Usage type]],0),1)="-","-",
IF(AND(
SUMIFS(Input_TUNet_Props[VF-CurrentVDO_Input],Input_TUNet_Props[[Customer type]:[Customer type]],"Residential",Input_TUNet_Props[[Usage type]:[Usage type]],"Peak")+
SUMIFS(Input_TUNet_Props[VF-CurrentVDO_Input],Input_TUNet_Props[[Customer type]:[Customer type]],"Residential",Input_TUNet_Props[[Usage type]:[Usage type]],"Off peak")=1,
SUMIFS(Input_TUNet_Props[VF-CurrentVDO_Input],Input_TUNet_Props[[Customer type]:[Customer type]],"Small business",Input_TUNet_Props[[Usage type]:[Usage type]],"Peak")+
SUMIFS(Input_TUNet_Props[VF-CurrentVDO_Input],Input_TUNet_Props[[Customer type]:[Customer type]],"Small business",Input_TUNet_Props[[Usage type]:[Usage type]],"Off peak")=1),0,1))</f>
        <v>0</v>
      </c>
      <c r="I215" s="149">
        <f>IF(INDEX(Input_TUNet_Props[D-NextVDO_Input],MATCH("Peak",Input_TUNet_Props[[Usage type]:[Usage type]],0),1)="-","-",
IF(AND(
SUMIFS(Input_TUNet_Props[D-NextVDO_Input],Input_TUNet_Props[[Customer type]:[Customer type]],"Residential",Input_TUNet_Props[[Usage type]:[Usage type]],"Peak")+
SUMIFS(Input_TUNet_Props[D-NextVDO_Input],Input_TUNet_Props[[Customer type]:[Customer type]],"Residential",Input_TUNet_Props[[Usage type]:[Usage type]],"Off peak")=1,
SUMIFS(Input_TUNet_Props[D-NextVDO_Input],Input_TUNet_Props[[Customer type]:[Customer type]],"Small business",Input_TUNet_Props[[Usage type]:[Usage type]],"Peak")+
SUMIFS(Input_TUNet_Props[D-NextVDO_Input],Input_TUNet_Props[[Customer type]:[Customer type]],"Small business",Input_TUNet_Props[[Usage type]:[Usage type]],"Off peak")=1),0,1))</f>
        <v>0</v>
      </c>
      <c r="J215" s="149">
        <f>IF(INDEX(Input_TUNet_Props[F-NextVDO_Input],MATCH("Peak",Input_TUNet_Props[[Usage type]:[Usage type]],0),1)="-","-",
IF(AND(
SUMIFS(Input_TUNet_Props[F-NextVDO_Input],Input_TUNet_Props[[Customer type]:[Customer type]],"Residential",Input_TUNet_Props[[Usage type]:[Usage type]],"Peak")+
SUMIFS(Input_TUNet_Props[F-NextVDO_Input],Input_TUNet_Props[[Customer type]:[Customer type]],"Residential",Input_TUNet_Props[[Usage type]:[Usage type]],"Off peak")=1,
SUMIFS(Input_TUNet_Props[F-NextVDO_Input],Input_TUNet_Props[[Customer type]:[Customer type]],"Small business",Input_TUNet_Props[[Usage type]:[Usage type]],"Peak")+
SUMIFS(Input_TUNet_Props[F-NextVDO_Input],Input_TUNet_Props[[Customer type]:[Customer type]],"Small business",Input_TUNet_Props[[Usage type]:[Usage type]],"Off peak")=1),0,1))</f>
        <v>0</v>
      </c>
    </row>
    <row r="216" spans="3:10" ht="15.75" outlineLevel="1" x14ac:dyDescent="0.25">
      <c r="E216" s="23" t="s">
        <v>390</v>
      </c>
      <c r="F216" s="149">
        <f>IF(INDEX(Input_TUNet_Props[F-CurrentVDO_Input],MATCH("Block 1",Input_TUNet_Props[[Usage type]:[Usage type]],0),1)="-","-",
IF(AND(
SUMIFS(Input_TUNet_Props[F-CurrentVDO_Input],Input_TUNet_Props[[Customer type]:[Customer type]],"Residential",Input_TUNet_Props[[Usage type]:[Usage type]],"Block 1")+
SUMIFS(Input_TUNet_Props[F-CurrentVDO_Input],Input_TUNet_Props[[Customer type]:[Customer type]],"Residential",Input_TUNet_Props[[Usage type]:[Usage type]],"Balance")=1,
SUMIFS(Input_TUNet_Props[F-CurrentVDO_Input],Input_TUNet_Props[[Customer type]:[Customer type]],"Small business",Input_TUNet_Props[[Usage type]:[Usage type]],"Block 1")+
SUMIFS(Input_TUNet_Props[F-CurrentVDO_Input],Input_TUNet_Props[[Customer type]:[Customer type]],"Small business",Input_TUNet_Props[[Usage type]:[Usage type]],"Balance")=1),0,1))</f>
        <v>0</v>
      </c>
      <c r="G216" s="149">
        <f>IF(INDEX(Input_TUNet_Props[VD-CurrentVDO_Input],MATCH("Block 1",Input_TUNet_Props[[Usage type]:[Usage type]],0),1)="-","-",
IF(AND(
SUMIFS(Input_TUNet_Props[VD-CurrentVDO_Input],Input_TUNet_Props[[Customer type]:[Customer type]],"Residential",Input_TUNet_Props[[Usage type]:[Usage type]],"Block 1")+
SUMIFS(Input_TUNet_Props[VD-CurrentVDO_Input],Input_TUNet_Props[[Customer type]:[Customer type]],"Residential",Input_TUNet_Props[[Usage type]:[Usage type]],"Balance")=1,
SUMIFS(Input_TUNet_Props[VD-CurrentVDO_Input],Input_TUNet_Props[[Customer type]:[Customer type]],"Small business",Input_TUNet_Props[[Usage type]:[Usage type]],"Block 1")+
SUMIFS(Input_TUNet_Props[VD-CurrentVDO_Input],Input_TUNet_Props[[Customer type]:[Customer type]],"Small business",Input_TUNet_Props[[Usage type]:[Usage type]],"Balance")=1),0,1))</f>
        <v>0</v>
      </c>
      <c r="H216" s="149">
        <f>IF(INDEX(Input_TUNet_Props[VF-CurrentVDO_Input],MATCH("Block 1",Input_TUNet_Props[[Usage type]:[Usage type]],0),1)="-","-",
IF(AND(
SUMIFS(Input_TUNet_Props[VF-CurrentVDO_Input],Input_TUNet_Props[[Customer type]:[Customer type]],"Residential",Input_TUNet_Props[[Usage type]:[Usage type]],"Block 1")+
SUMIFS(Input_TUNet_Props[VF-CurrentVDO_Input],Input_TUNet_Props[[Customer type]:[Customer type]],"Residential",Input_TUNet_Props[[Usage type]:[Usage type]],"Balance")=1,
SUMIFS(Input_TUNet_Props[VF-CurrentVDO_Input],Input_TUNet_Props[[Customer type]:[Customer type]],"Small business",Input_TUNet_Props[[Usage type]:[Usage type]],"Block 1")+
SUMIFS(Input_TUNet_Props[VF-CurrentVDO_Input],Input_TUNet_Props[[Customer type]:[Customer type]],"Small business",Input_TUNet_Props[[Usage type]:[Usage type]],"Balance")=1),0,1))</f>
        <v>0</v>
      </c>
      <c r="I216" s="149">
        <f>IF(INDEX(Input_TUNet_Props[D-NextVDO_Input],MATCH("Block 1",Input_TUNet_Props[[Usage type]:[Usage type]],0),1)="-","-",
IF(AND(
SUMIFS(Input_TUNet_Props[D-NextVDO_Input],Input_TUNet_Props[[Customer type]:[Customer type]],"Residential",Input_TUNet_Props[[Usage type]:[Usage type]],"Block 1")+
SUMIFS(Input_TUNet_Props[D-NextVDO_Input],Input_TUNet_Props[[Customer type]:[Customer type]],"Residential",Input_TUNet_Props[[Usage type]:[Usage type]],"Balance")=1,
SUMIFS(Input_TUNet_Props[D-NextVDO_Input],Input_TUNet_Props[[Customer type]:[Customer type]],"Small business",Input_TUNet_Props[[Usage type]:[Usage type]],"Block 1")+
SUMIFS(Input_TUNet_Props[D-NextVDO_Input],Input_TUNet_Props[[Customer type]:[Customer type]],"Small business",Input_TUNet_Props[[Usage type]:[Usage type]],"Balance")=1),0,1))</f>
        <v>0</v>
      </c>
      <c r="J216" s="149">
        <f>IF(INDEX(Input_TUNet_Props[F-NextVDO_Input],MATCH("Block 1",Input_TUNet_Props[[Usage type]:[Usage type]],0),1)="-","-",
IF(AND(
SUMIFS(Input_TUNet_Props[F-NextVDO_Input],Input_TUNet_Props[[Customer type]:[Customer type]],"Residential",Input_TUNet_Props[[Usage type]:[Usage type]],"Block 1")+
SUMIFS(Input_TUNet_Props[F-NextVDO_Input],Input_TUNet_Props[[Customer type]:[Customer type]],"Residential",Input_TUNet_Props[[Usage type]:[Usage type]],"Balance")=1,
SUMIFS(Input_TUNet_Props[F-NextVDO_Input],Input_TUNet_Props[[Customer type]:[Customer type]],"Small business",Input_TUNet_Props[[Usage type]:[Usage type]],"Block 1")+
SUMIFS(Input_TUNet_Props[F-NextVDO_Input],Input_TUNet_Props[[Customer type]:[Customer type]],"Small business",Input_TUNet_Props[[Usage type]:[Usage type]],"Balance")=1),0,1))</f>
        <v>0</v>
      </c>
    </row>
    <row r="217" spans="3:10" ht="15.75" outlineLevel="1" x14ac:dyDescent="0.25">
      <c r="E217" s="23" t="s">
        <v>391</v>
      </c>
      <c r="F217" s="149">
        <f>IF(INDEX(Input_TUNet_Props[F-CurrentVDO_Input],MATCH("Block 1",Input_TUNet_Props[[Usage type]:[Usage type]],0),1)="-","-",
IF(AND(
SUMIFS(Input_TUNet_Props[F-CurrentVDO_Input],Input_TUNet_Props[[Customer type]:[Customer type]],"Residential",Input_TUNet_Props[[Usage type]:[Usage type]],"Single rate")=1,
SUMIFS(Input_TUNet_Props[F-CurrentVDO_Input],Input_TUNet_Props[[Customer type]:[Customer type]],"Small business",Input_TUNet_Props[[Usage type]:[Usage type]],"Single rate")=1),0,1))</f>
        <v>0</v>
      </c>
      <c r="G217" s="149">
        <f>IF(INDEX(Input_TUNet_Props[VD-CurrentVDO_Input],MATCH("Block 1",Input_TUNet_Props[[Usage type]:[Usage type]],0),1)="-","-",
IF(AND(
SUMIFS(Input_TUNet_Props[VD-CurrentVDO_Input],Input_TUNet_Props[[Customer type]:[Customer type]],"Residential",Input_TUNet_Props[[Usage type]:[Usage type]],"Single rate")=1,
SUMIFS(Input_TUNet_Props[VD-CurrentVDO_Input],Input_TUNet_Props[[Customer type]:[Customer type]],"Small business",Input_TUNet_Props[[Usage type]:[Usage type]],"Single rate")=1),0,1))</f>
        <v>0</v>
      </c>
      <c r="H217" s="149">
        <f>IF(INDEX(Input_TUNet_Props[VF-CurrentVDO_Input],MATCH("Block 1",Input_TUNet_Props[[Usage type]:[Usage type]],0),1)="-","-",
IF(AND(
SUMIFS(Input_TUNet_Props[VF-CurrentVDO_Input],Input_TUNet_Props[[Customer type]:[Customer type]],"Residential",Input_TUNet_Props[[Usage type]:[Usage type]],"Single rate")=1,
SUMIFS(Input_TUNet_Props[VF-CurrentVDO_Input],Input_TUNet_Props[[Customer type]:[Customer type]],"Small business",Input_TUNet_Props[[Usage type]:[Usage type]],"Single rate")=1),0,1))</f>
        <v>0</v>
      </c>
      <c r="I217" s="149">
        <f>IF(INDEX(Input_TUNet_Props[D-NextVDO_Input],MATCH("Block 1",Input_TUNet_Props[[Usage type]:[Usage type]],0),1)="-","-",
IF(AND(
SUMIFS(Input_TUNet_Props[D-NextVDO_Input],Input_TUNet_Props[[Customer type]:[Customer type]],"Residential",Input_TUNet_Props[[Usage type]:[Usage type]],"Single rate")=1,
SUMIFS(Input_TUNet_Props[D-NextVDO_Input],Input_TUNet_Props[[Customer type]:[Customer type]],"Small business",Input_TUNet_Props[[Usage type]:[Usage type]],"Single rate")=1),0,1))</f>
        <v>0</v>
      </c>
      <c r="J217" s="149">
        <f>IF(INDEX(Input_TUNet_Props[F-NextVDO_Input],MATCH("Block 1",Input_TUNet_Props[[Usage type]:[Usage type]],0),1)="-","-",
IF(AND(
SUMIFS(Input_TUNet_Props[F-NextVDO_Input],Input_TUNet_Props[[Customer type]:[Customer type]],"Residential",Input_TUNet_Props[[Usage type]:[Usage type]],"Single rate")=1,
SUMIFS(Input_TUNet_Props[F-NextVDO_Input],Input_TUNet_Props[[Customer type]:[Customer type]],"Small business",Input_TUNet_Props[[Usage type]:[Usage type]],"Single rate")=1),0,1))</f>
        <v>0</v>
      </c>
    </row>
    <row r="218" spans="3:10" outlineLevel="1" x14ac:dyDescent="0.25"/>
    <row r="219" spans="3:10" outlineLevel="1" x14ac:dyDescent="0.25"/>
    <row r="220" spans="3:10" ht="15.75" outlineLevel="1" x14ac:dyDescent="0.25">
      <c r="E220" s="31" t="s">
        <v>35</v>
      </c>
      <c r="F220" s="2">
        <v>2021</v>
      </c>
      <c r="G220" s="2">
        <v>2021</v>
      </c>
      <c r="H220" s="2">
        <v>2021</v>
      </c>
      <c r="I220" s="2">
        <v>2022</v>
      </c>
      <c r="J220" s="2">
        <v>2022</v>
      </c>
    </row>
    <row r="221" spans="3:10" ht="15.75" outlineLevel="1" x14ac:dyDescent="0.25">
      <c r="E221" s="31" t="s">
        <v>36</v>
      </c>
      <c r="F221" s="32" t="str">
        <f>"VDO "&amp;F220&amp;" - "&amp;IF(LEFT(F223,1)="F","Final",IF(LEFT(F223,1)="D","Draft",IF(LEFT(F223,2)="VD","Variation draft",IF(LEFT(F223,2)="VF","Variation final"))))</f>
        <v>VDO 2021 - Final</v>
      </c>
      <c r="G221" s="32" t="str">
        <f>"VDO "&amp;G220&amp;" - "&amp;IF(LEFT(G223,1)="F","Final",IF(LEFT(G223,1)="D","Draft",IF(LEFT(G223,2)="VD","Variation draft",IF(LEFT(G223,2)="VF","Variation final"))))</f>
        <v>VDO 2021 - Variation draft</v>
      </c>
      <c r="H221" s="32" t="str">
        <f>"VDO "&amp;H220&amp;" - "&amp;IF(LEFT(H223,1)="F","Final",IF(LEFT(H223,1)="D","Draft",IF(LEFT(H223,2)="VD","Variation draft",IF(LEFT(H223,2)="VF","Variation final"))))</f>
        <v>VDO 2021 - Variation final</v>
      </c>
      <c r="I221" s="32" t="str">
        <f>"VDO "&amp;I220&amp;" - "&amp;IF(LEFT(I223,1)="F","Final",IF(LEFT(I223,1)="D","Draft",IF(LEFT(I223,2)="VD","Variation draft",IF(LEFT(I223,2)="VF","Variation final"))))</f>
        <v>VDO 2022 - Draft</v>
      </c>
      <c r="J221" s="32" t="str">
        <f>"VDO "&amp;J220&amp;" - "&amp;IF(LEFT(J223,1)="F","Final",IF(LEFT(J223,1)="D","Draft",IF(LEFT(J223,2)="VD","Variation draft",IF(LEFT(J223,2)="VF","Variation final"))))</f>
        <v>VDO 2022 - Final</v>
      </c>
    </row>
    <row r="222" spans="3:10" ht="15.75" outlineLevel="1" x14ac:dyDescent="0.25">
      <c r="C222" s="23" t="s">
        <v>411</v>
      </c>
    </row>
    <row r="223" spans="3:10" ht="15.75" outlineLevel="1" x14ac:dyDescent="0.25">
      <c r="C223" s="145" t="s">
        <v>23</v>
      </c>
      <c r="D223" s="145" t="s">
        <v>387</v>
      </c>
      <c r="E223" s="145" t="s">
        <v>38</v>
      </c>
      <c r="F223" s="145" t="s">
        <v>25</v>
      </c>
      <c r="G223" s="145" t="s">
        <v>268</v>
      </c>
      <c r="H223" s="145" t="s">
        <v>270</v>
      </c>
      <c r="I223" s="145" t="s">
        <v>26</v>
      </c>
      <c r="J223" s="148" t="s">
        <v>27</v>
      </c>
    </row>
    <row r="224" spans="3:10" outlineLevel="1" x14ac:dyDescent="0.25">
      <c r="C224" s="18" t="s">
        <v>57</v>
      </c>
      <c r="D224" s="18" t="s">
        <v>341</v>
      </c>
      <c r="E224" s="86" t="s">
        <v>188</v>
      </c>
      <c r="F224" s="12" t="s">
        <v>9</v>
      </c>
      <c r="G224" s="12" t="s">
        <v>9</v>
      </c>
      <c r="H224" s="12" t="s">
        <v>9</v>
      </c>
      <c r="I224" s="12">
        <v>44378</v>
      </c>
      <c r="J224" s="153"/>
    </row>
    <row r="225" spans="3:10" outlineLevel="1" x14ac:dyDescent="0.25">
      <c r="C225" s="18" t="s">
        <v>57</v>
      </c>
      <c r="D225" s="18" t="s">
        <v>342</v>
      </c>
      <c r="E225" s="86" t="s">
        <v>188</v>
      </c>
      <c r="F225" s="12" t="s">
        <v>9</v>
      </c>
      <c r="G225" s="12" t="s">
        <v>9</v>
      </c>
      <c r="H225" s="12" t="s">
        <v>9</v>
      </c>
      <c r="I225" s="12">
        <v>44439</v>
      </c>
      <c r="J225" s="153"/>
    </row>
    <row r="226" spans="3:10" outlineLevel="1" x14ac:dyDescent="0.25">
      <c r="C226" s="18" t="s">
        <v>57</v>
      </c>
      <c r="D226" s="18" t="s">
        <v>343</v>
      </c>
      <c r="E226" s="86" t="s">
        <v>188</v>
      </c>
      <c r="F226" s="12" t="s">
        <v>9</v>
      </c>
      <c r="G226" s="12" t="s">
        <v>9</v>
      </c>
      <c r="H226" s="12" t="s">
        <v>9</v>
      </c>
      <c r="I226" s="12">
        <v>44562</v>
      </c>
      <c r="J226" s="153"/>
    </row>
    <row r="227" spans="3:10" outlineLevel="1" x14ac:dyDescent="0.25">
      <c r="C227" s="18" t="s">
        <v>57</v>
      </c>
      <c r="D227" s="18" t="s">
        <v>344</v>
      </c>
      <c r="E227" s="86" t="s">
        <v>188</v>
      </c>
      <c r="F227" s="12" t="s">
        <v>9</v>
      </c>
      <c r="G227" s="12" t="s">
        <v>9</v>
      </c>
      <c r="H227" s="12" t="s">
        <v>9</v>
      </c>
      <c r="I227" s="12">
        <v>44742</v>
      </c>
      <c r="J227" s="153"/>
    </row>
    <row r="228" spans="3:10" outlineLevel="1" x14ac:dyDescent="0.25"/>
    <row r="229" spans="3:10" outlineLevel="1" x14ac:dyDescent="0.25"/>
    <row r="230" spans="3:10" ht="15.75" outlineLevel="1" x14ac:dyDescent="0.25">
      <c r="C230" s="33" t="s">
        <v>336</v>
      </c>
      <c r="D230" s="44">
        <v>6.5500000000000003E-2</v>
      </c>
    </row>
    <row r="231" spans="3:10" outlineLevel="1" x14ac:dyDescent="0.25"/>
    <row r="232" spans="3:10" ht="15.75" outlineLevel="1" x14ac:dyDescent="0.25">
      <c r="C232" s="33" t="s">
        <v>361</v>
      </c>
      <c r="D232" s="29">
        <v>2</v>
      </c>
    </row>
    <row r="233" spans="3:10" outlineLevel="1" x14ac:dyDescent="0.25"/>
    <row r="234" spans="3:10" ht="15.75" outlineLevel="1" x14ac:dyDescent="0.25">
      <c r="C234" s="33" t="s">
        <v>337</v>
      </c>
      <c r="D234" s="29">
        <v>6</v>
      </c>
    </row>
    <row r="235" spans="3:10" outlineLevel="1" x14ac:dyDescent="0.25"/>
    <row r="236" spans="3:10" ht="15.75" outlineLevel="1" x14ac:dyDescent="0.25">
      <c r="C236" s="33" t="s">
        <v>341</v>
      </c>
      <c r="D236" s="85">
        <v>44378</v>
      </c>
    </row>
    <row r="237" spans="3:10" outlineLevel="1" x14ac:dyDescent="0.25"/>
    <row r="238" spans="3:10" ht="15.75" outlineLevel="1" x14ac:dyDescent="0.25">
      <c r="C238" s="33" t="s">
        <v>342</v>
      </c>
      <c r="D238" s="85">
        <v>44439</v>
      </c>
    </row>
    <row r="239" spans="3:10" outlineLevel="1" x14ac:dyDescent="0.25"/>
    <row r="240" spans="3:10" ht="15.75" outlineLevel="1" x14ac:dyDescent="0.25">
      <c r="C240" s="33" t="s">
        <v>392</v>
      </c>
      <c r="D240" s="29">
        <f>TUC_EndDate-TUC_StartDate</f>
        <v>61</v>
      </c>
    </row>
    <row r="241" spans="3:5" outlineLevel="1" x14ac:dyDescent="0.25"/>
    <row r="242" spans="3:5" ht="15.75" outlineLevel="1" x14ac:dyDescent="0.25">
      <c r="C242" s="33" t="s">
        <v>343</v>
      </c>
      <c r="D242" s="85">
        <v>44562</v>
      </c>
    </row>
    <row r="243" spans="3:5" outlineLevel="1" x14ac:dyDescent="0.25"/>
    <row r="244" spans="3:5" ht="15.75" outlineLevel="1" x14ac:dyDescent="0.25">
      <c r="C244" s="33" t="s">
        <v>344</v>
      </c>
      <c r="D244" s="85">
        <v>44742</v>
      </c>
    </row>
    <row r="245" spans="3:5" outlineLevel="1" x14ac:dyDescent="0.25"/>
    <row r="246" spans="3:5" ht="15.75" outlineLevel="1" x14ac:dyDescent="0.25">
      <c r="C246" s="33" t="s">
        <v>362</v>
      </c>
      <c r="D246" s="29">
        <v>12</v>
      </c>
    </row>
    <row r="247" spans="3:5" outlineLevel="1" x14ac:dyDescent="0.25"/>
    <row r="248" spans="3:5" ht="15.75" outlineLevel="1" x14ac:dyDescent="0.25">
      <c r="C248" s="33" t="s">
        <v>360</v>
      </c>
      <c r="D248" s="29">
        <v>12</v>
      </c>
    </row>
    <row r="249" spans="3:5" outlineLevel="1" x14ac:dyDescent="0.25"/>
    <row r="250" spans="3:5" outlineLevel="1" x14ac:dyDescent="0.25"/>
    <row r="251" spans="3:5" ht="15.75" outlineLevel="1" x14ac:dyDescent="0.25">
      <c r="C251" s="23" t="s">
        <v>398</v>
      </c>
    </row>
    <row r="252" spans="3:5" ht="15.75" outlineLevel="1" x14ac:dyDescent="0.25">
      <c r="C252" s="141" t="s">
        <v>381</v>
      </c>
      <c r="D252" s="34" t="s">
        <v>354</v>
      </c>
      <c r="E252" s="142" t="s">
        <v>353</v>
      </c>
    </row>
    <row r="253" spans="3:5" outlineLevel="1" x14ac:dyDescent="0.25">
      <c r="C253" s="139" t="s">
        <v>193</v>
      </c>
      <c r="D253" s="107" t="s">
        <v>193</v>
      </c>
      <c r="E253" s="140" t="s">
        <v>9</v>
      </c>
    </row>
    <row r="254" spans="3:5" outlineLevel="1" x14ac:dyDescent="0.25">
      <c r="C254" s="139" t="s">
        <v>271</v>
      </c>
      <c r="D254" s="107" t="s">
        <v>271</v>
      </c>
      <c r="E254" s="140" t="s">
        <v>193</v>
      </c>
    </row>
    <row r="255" spans="3:5" outlineLevel="1" x14ac:dyDescent="0.25">
      <c r="C255" s="139" t="s">
        <v>292</v>
      </c>
      <c r="D255" s="107" t="s">
        <v>292</v>
      </c>
      <c r="E255" s="140" t="s">
        <v>193</v>
      </c>
    </row>
    <row r="256" spans="3:5" outlineLevel="1" x14ac:dyDescent="0.25">
      <c r="C256" s="139" t="s">
        <v>194</v>
      </c>
      <c r="D256" s="107" t="s">
        <v>194</v>
      </c>
      <c r="E256" s="140" t="s">
        <v>193</v>
      </c>
    </row>
    <row r="257" spans="3:5" outlineLevel="1" x14ac:dyDescent="0.25">
      <c r="C257" s="143" t="s">
        <v>195</v>
      </c>
      <c r="D257" s="144" t="s">
        <v>195</v>
      </c>
      <c r="E257" s="140" t="s">
        <v>193</v>
      </c>
    </row>
    <row r="258" spans="3:5" outlineLevel="1" x14ac:dyDescent="0.25"/>
  </sheetData>
  <sheetProtection algorithmName="SHA-512" hashValue="NmVWJGuh/euaRFK7z61mR3dEuHLrGtZCapVVimKGuVd1uiRgk0malFgoFIIcWVUozVqUk0bvqAFqokyRCHCYPw==" saltValue="m8RinxDRDimBQd6QxKdn8A==" spinCount="100000" sheet="1" objects="1" scenarios="1"/>
  <mergeCells count="1">
    <mergeCell ref="A2:A3"/>
  </mergeCells>
  <phoneticPr fontId="30" type="noConversion"/>
  <dataValidations count="2">
    <dataValidation type="list" allowBlank="1" showInputMessage="1" showErrorMessage="1" sqref="E11:E125" xr:uid="{91387222-6A44-4153-A021-02393A24BC27}">
      <formula1>#REF!</formula1>
    </dataValidation>
    <dataValidation type="list" allowBlank="1" showInputMessage="1" showErrorMessage="1" sqref="E224:E227 G190:H197 F178:G183 F134:G170 D204:E213 F11:G125" xr:uid="{6E9DAD93-16AF-4726-A2A9-3D3AE290FDD5}">
      <formula1>#REF!</formula1>
    </dataValidation>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DB55-A1B8-4BF5-ACF4-AC560D0EC1E6}">
  <sheetPr codeName="Sheet12">
    <tabColor rgb="FFD3DFE9"/>
  </sheetPr>
  <dimension ref="A1:Z27"/>
  <sheetViews>
    <sheetView showGridLines="0" topLeftCell="B1" zoomScale="70" zoomScaleNormal="70" workbookViewId="0">
      <pane ySplit="3" topLeftCell="A4" activePane="bottomLeft" state="frozen"/>
      <selection pane="bottomLeft" activeCell="C71" sqref="C71"/>
    </sheetView>
  </sheetViews>
  <sheetFormatPr defaultColWidth="9.140625" defaultRowHeight="15" outlineLevelCol="1" x14ac:dyDescent="0.25"/>
  <cols>
    <col min="1" max="1" width="100.7109375" hidden="1" customWidth="1" outlineLevel="1"/>
    <col min="2" max="2" width="10.7109375" style="6" customWidth="1" collapsed="1"/>
    <col min="3" max="3" width="50.7109375" customWidth="1"/>
    <col min="4" max="26" width="25.7109375" customWidth="1"/>
  </cols>
  <sheetData>
    <row r="1" spans="1:26" ht="15" customHeight="1" x14ac:dyDescent="0.25">
      <c r="A1" s="1" t="s">
        <v>16</v>
      </c>
      <c r="B1" s="16"/>
      <c r="C1" s="17"/>
      <c r="D1" s="17"/>
      <c r="E1" s="17"/>
      <c r="F1" s="17"/>
      <c r="G1" s="17"/>
      <c r="H1" s="17"/>
      <c r="I1" s="17"/>
      <c r="J1" s="17"/>
      <c r="K1" s="17"/>
      <c r="L1" s="17"/>
      <c r="M1" s="17"/>
      <c r="N1" s="17"/>
      <c r="O1" s="17"/>
      <c r="P1" s="17"/>
      <c r="Q1" s="17"/>
      <c r="R1" s="17"/>
      <c r="S1" s="17"/>
      <c r="T1" s="17"/>
      <c r="U1" s="17"/>
      <c r="V1" s="17"/>
      <c r="W1" s="17"/>
      <c r="X1" s="17"/>
      <c r="Y1" s="17"/>
      <c r="Z1" s="17"/>
    </row>
    <row r="2" spans="1:26" s="4" customFormat="1" ht="50.1" customHeight="1" x14ac:dyDescent="0.25">
      <c r="A2" s="183" t="s">
        <v>17</v>
      </c>
      <c r="B2" s="19"/>
      <c r="C2" s="19" t="str">
        <f>Disclaimer!$B$1</f>
        <v>VDO calculation model</v>
      </c>
      <c r="D2" s="19"/>
      <c r="E2" s="19"/>
      <c r="F2" s="19"/>
      <c r="G2" s="19"/>
      <c r="H2" s="19"/>
      <c r="I2" s="19"/>
      <c r="J2" s="19"/>
      <c r="K2" s="19"/>
      <c r="L2" s="19"/>
      <c r="M2" s="19"/>
      <c r="N2" s="19"/>
      <c r="O2" s="19"/>
      <c r="P2" s="19"/>
      <c r="Q2" s="19"/>
      <c r="R2" s="19"/>
      <c r="S2" s="19"/>
      <c r="T2" s="19"/>
      <c r="U2" s="19"/>
      <c r="V2" s="19"/>
      <c r="W2" s="19"/>
      <c r="X2" s="19"/>
      <c r="Y2" s="19"/>
      <c r="Z2" s="19"/>
    </row>
    <row r="3" spans="1:26" s="4" customFormat="1" ht="30" customHeight="1" x14ac:dyDescent="0.25">
      <c r="A3" s="184"/>
      <c r="B3" s="21">
        <f ca="1">_xlfn.SHEET()</f>
        <v>5</v>
      </c>
      <c r="C3" s="20" t="s">
        <v>167</v>
      </c>
      <c r="D3" s="20"/>
      <c r="E3" s="20"/>
      <c r="F3" s="20"/>
      <c r="G3" s="20"/>
      <c r="H3" s="20"/>
      <c r="I3" s="20"/>
      <c r="J3" s="20"/>
      <c r="K3" s="20"/>
      <c r="L3" s="20"/>
      <c r="M3" s="20"/>
      <c r="N3" s="20"/>
      <c r="O3" s="20"/>
      <c r="P3" s="20"/>
      <c r="Q3" s="20"/>
      <c r="R3" s="20"/>
      <c r="S3" s="20"/>
      <c r="T3" s="20"/>
      <c r="U3" s="20"/>
      <c r="V3" s="20"/>
      <c r="W3" s="20"/>
      <c r="X3" s="20"/>
      <c r="Y3" s="20"/>
      <c r="Z3" s="20"/>
    </row>
    <row r="4" spans="1:26" x14ac:dyDescent="0.25">
      <c r="B4"/>
    </row>
    <row r="5" spans="1:26" ht="16.5" thickBot="1" x14ac:dyDescent="0.3">
      <c r="A5" s="1" t="s">
        <v>19</v>
      </c>
      <c r="B5" s="7">
        <f ca="1">MAX(B$3:B4)+0.1</f>
        <v>5.0999999999999996</v>
      </c>
      <c r="C5" s="22" t="s">
        <v>168</v>
      </c>
      <c r="D5" s="22"/>
      <c r="E5" s="22"/>
    </row>
    <row r="7" spans="1:26" x14ac:dyDescent="0.25">
      <c r="C7" t="s">
        <v>169</v>
      </c>
      <c r="D7" s="2">
        <v>365</v>
      </c>
      <c r="E7" s="14" t="s">
        <v>170</v>
      </c>
    </row>
    <row r="8" spans="1:26" x14ac:dyDescent="0.25">
      <c r="C8" t="s">
        <v>171</v>
      </c>
      <c r="D8" s="2">
        <v>12</v>
      </c>
      <c r="E8" s="14" t="s">
        <v>172</v>
      </c>
    </row>
    <row r="9" spans="1:26" x14ac:dyDescent="0.25">
      <c r="C9" t="s">
        <v>173</v>
      </c>
      <c r="D9" s="2">
        <v>3</v>
      </c>
      <c r="E9" s="14" t="s">
        <v>174</v>
      </c>
    </row>
    <row r="10" spans="1:26" x14ac:dyDescent="0.25">
      <c r="C10" t="s">
        <v>175</v>
      </c>
      <c r="D10" s="2">
        <v>52</v>
      </c>
      <c r="E10" s="14" t="s">
        <v>176</v>
      </c>
    </row>
    <row r="12" spans="1:26" x14ac:dyDescent="0.25">
      <c r="C12" s="8" t="s">
        <v>177</v>
      </c>
      <c r="D12" s="13" t="s">
        <v>178</v>
      </c>
      <c r="E12" s="14" t="s">
        <v>179</v>
      </c>
    </row>
    <row r="13" spans="1:26" x14ac:dyDescent="0.25">
      <c r="C13" s="8" t="s">
        <v>180</v>
      </c>
      <c r="D13" s="2">
        <v>6</v>
      </c>
      <c r="E13" s="27" t="s">
        <v>181</v>
      </c>
    </row>
    <row r="15" spans="1:26" x14ac:dyDescent="0.25">
      <c r="C15" t="s">
        <v>182</v>
      </c>
      <c r="D15" s="58">
        <v>0.1</v>
      </c>
      <c r="E15" s="14" t="s">
        <v>183</v>
      </c>
    </row>
    <row r="19" spans="1:5" ht="16.5" thickBot="1" x14ac:dyDescent="0.3">
      <c r="A19" s="1" t="s">
        <v>19</v>
      </c>
      <c r="B19" s="7">
        <f ca="1">MAX(B$3:B18)+0.1</f>
        <v>5.1999999999999993</v>
      </c>
      <c r="C19" s="22" t="s">
        <v>350</v>
      </c>
      <c r="D19" s="22"/>
      <c r="E19" s="22"/>
    </row>
    <row r="22" spans="1:5" x14ac:dyDescent="0.25">
      <c r="C22" t="s">
        <v>36</v>
      </c>
      <c r="D22" t="s">
        <v>351</v>
      </c>
    </row>
    <row r="23" spans="1:5" x14ac:dyDescent="0.25">
      <c r="C23" s="71" t="s">
        <v>25</v>
      </c>
      <c r="D23" s="71">
        <v>1</v>
      </c>
    </row>
    <row r="24" spans="1:5" x14ac:dyDescent="0.25">
      <c r="C24" s="71" t="s">
        <v>268</v>
      </c>
      <c r="D24" s="71">
        <v>2</v>
      </c>
    </row>
    <row r="25" spans="1:5" x14ac:dyDescent="0.25">
      <c r="C25" s="71" t="s">
        <v>270</v>
      </c>
      <c r="D25" s="71">
        <v>3</v>
      </c>
    </row>
    <row r="26" spans="1:5" x14ac:dyDescent="0.25">
      <c r="C26" s="71" t="s">
        <v>26</v>
      </c>
      <c r="D26" s="71">
        <v>4</v>
      </c>
    </row>
    <row r="27" spans="1:5" x14ac:dyDescent="0.25">
      <c r="C27" s="71" t="s">
        <v>27</v>
      </c>
      <c r="D27" s="71">
        <v>5</v>
      </c>
    </row>
  </sheetData>
  <sheetProtection algorithmName="SHA-512" hashValue="lba35bOOiqi1DomD4vL0XMDlxlK4eFY8KNrZ3BIR55nKawka/5Qd0RIvr0oxB4A7JWpG94kf8ofpLyCMO7nn3g==" saltValue="rZHmKCgZM0NGXEpdFrjdXg==" spinCount="100000" sheet="1" objects="1" scenarios="1"/>
  <mergeCells count="1">
    <mergeCell ref="A2:A3"/>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A701-190F-4971-BB2B-9D28766803C5}">
  <sheetPr>
    <tabColor rgb="FFD3DFE9"/>
  </sheetPr>
  <dimension ref="A1:Z65"/>
  <sheetViews>
    <sheetView showGridLines="0" topLeftCell="B1" zoomScale="70" zoomScaleNormal="70" workbookViewId="0">
      <pane ySplit="3" topLeftCell="A4" activePane="bottomLeft" state="frozen"/>
      <selection pane="bottomLeft" activeCell="G19" sqref="G19"/>
    </sheetView>
  </sheetViews>
  <sheetFormatPr defaultColWidth="9.140625" defaultRowHeight="15" outlineLevelCol="1" x14ac:dyDescent="0.25"/>
  <cols>
    <col min="1" max="1" width="100.7109375" hidden="1" customWidth="1" outlineLevel="1"/>
    <col min="2" max="2" width="10.7109375" style="6" customWidth="1" collapsed="1"/>
    <col min="3" max="26" width="25.7109375" customWidth="1"/>
  </cols>
  <sheetData>
    <row r="1" spans="1:26" ht="15" customHeight="1" x14ac:dyDescent="0.25">
      <c r="A1" s="1" t="s">
        <v>16</v>
      </c>
      <c r="B1" s="16"/>
      <c r="C1" s="17"/>
      <c r="D1" s="17"/>
      <c r="E1" s="17"/>
      <c r="F1" s="17"/>
      <c r="G1" s="17"/>
      <c r="H1" s="17"/>
      <c r="I1" s="17"/>
      <c r="J1" s="17"/>
      <c r="K1" s="17"/>
      <c r="L1" s="17"/>
      <c r="M1" s="17"/>
      <c r="N1" s="17"/>
      <c r="O1" s="17"/>
      <c r="P1" s="17"/>
      <c r="Q1" s="17"/>
      <c r="R1" s="17"/>
      <c r="S1" s="17"/>
      <c r="T1" s="17"/>
      <c r="U1" s="17"/>
      <c r="V1" s="17"/>
      <c r="W1" s="17"/>
      <c r="X1" s="17"/>
      <c r="Y1" s="17"/>
      <c r="Z1" s="17"/>
    </row>
    <row r="2" spans="1:26" s="4" customFormat="1" ht="50.1" customHeight="1" x14ac:dyDescent="0.25">
      <c r="A2" s="183" t="s">
        <v>184</v>
      </c>
      <c r="B2" s="19"/>
      <c r="C2" s="19" t="str">
        <f>Disclaimer!$B$1</f>
        <v>VDO calculation model</v>
      </c>
      <c r="D2" s="19"/>
      <c r="E2" s="19"/>
      <c r="F2" s="19"/>
      <c r="G2" s="19"/>
      <c r="H2" s="19"/>
      <c r="I2" s="19"/>
      <c r="J2" s="19"/>
      <c r="K2" s="19"/>
      <c r="L2" s="19"/>
      <c r="M2" s="19"/>
      <c r="N2" s="19"/>
      <c r="O2" s="19"/>
      <c r="P2" s="19"/>
      <c r="Q2" s="19"/>
      <c r="R2" s="19"/>
      <c r="S2" s="19"/>
      <c r="T2" s="19"/>
      <c r="U2" s="19"/>
      <c r="V2" s="19"/>
      <c r="W2" s="19"/>
      <c r="X2" s="19"/>
      <c r="Y2" s="19"/>
      <c r="Z2" s="19"/>
    </row>
    <row r="3" spans="1:26" s="4" customFormat="1" ht="30" customHeight="1" x14ac:dyDescent="0.25">
      <c r="A3" s="184"/>
      <c r="B3" s="21">
        <f ca="1">_xlfn.SHEET()</f>
        <v>6</v>
      </c>
      <c r="C3" s="20" t="s">
        <v>185</v>
      </c>
      <c r="D3" s="20"/>
      <c r="E3" s="20"/>
      <c r="F3" s="20"/>
      <c r="G3" s="20"/>
      <c r="H3" s="20"/>
      <c r="I3" s="20"/>
      <c r="J3" s="20"/>
      <c r="K3" s="20"/>
      <c r="L3" s="20"/>
      <c r="M3" s="20"/>
      <c r="N3" s="20"/>
      <c r="O3" s="20"/>
      <c r="P3" s="20"/>
      <c r="Q3" s="20"/>
      <c r="R3" s="20"/>
      <c r="S3" s="20"/>
      <c r="T3" s="20"/>
      <c r="U3" s="20"/>
      <c r="V3" s="20"/>
      <c r="W3" s="20"/>
      <c r="X3" s="20"/>
      <c r="Y3" s="20"/>
      <c r="Z3" s="20"/>
    </row>
    <row r="4" spans="1:26" x14ac:dyDescent="0.25">
      <c r="B4"/>
    </row>
    <row r="5" spans="1:26" ht="16.5" thickBot="1" x14ac:dyDescent="0.3">
      <c r="A5" s="1" t="s">
        <v>19</v>
      </c>
      <c r="B5" s="7">
        <f ca="1">MAX(B$3:B4)+0.1</f>
        <v>6.1</v>
      </c>
      <c r="C5" s="22" t="s">
        <v>186</v>
      </c>
      <c r="D5" s="22"/>
      <c r="E5" s="22"/>
    </row>
    <row r="7" spans="1:26" ht="15.75" x14ac:dyDescent="0.25">
      <c r="C7" s="34" t="s">
        <v>187</v>
      </c>
      <c r="D7" s="39" t="s">
        <v>188</v>
      </c>
      <c r="E7" s="40" t="s">
        <v>189</v>
      </c>
    </row>
    <row r="8" spans="1:26" x14ac:dyDescent="0.25">
      <c r="C8" s="18" t="s">
        <v>190</v>
      </c>
      <c r="D8" s="41">
        <v>43465</v>
      </c>
      <c r="E8" s="64">
        <f>IFERROR(INDEX(CPI[Indice],MATCH(D8,CPI[Period],0),1),"-")</f>
        <v>114.1</v>
      </c>
    </row>
    <row r="9" spans="1:26" x14ac:dyDescent="0.25">
      <c r="C9" s="18" t="s">
        <v>191</v>
      </c>
      <c r="D9" s="41">
        <v>43738</v>
      </c>
      <c r="E9" s="64">
        <f>IFERROR(INDEX(CPI[Indice],MATCH(D9,CPI[Period],0),1),"-")</f>
        <v>115.4</v>
      </c>
    </row>
    <row r="10" spans="1:26" x14ac:dyDescent="0.25">
      <c r="C10" s="18" t="s">
        <v>192</v>
      </c>
      <c r="D10" s="41">
        <v>44012</v>
      </c>
      <c r="E10" s="64">
        <f>IFERROR(INDEX(CPI[Indice],MATCH(D10,CPI[Period],0),1),"-")</f>
        <v>114.4</v>
      </c>
    </row>
    <row r="11" spans="1:26" x14ac:dyDescent="0.25">
      <c r="C11" s="18" t="s">
        <v>193</v>
      </c>
      <c r="D11" s="41">
        <v>44104</v>
      </c>
      <c r="E11" s="64">
        <f>IFERROR(INDEX(CPI[Indice],MATCH(D11,CPI[Period],0),1),"-")</f>
        <v>116.2</v>
      </c>
    </row>
    <row r="12" spans="1:26" x14ac:dyDescent="0.25">
      <c r="C12" s="18" t="s">
        <v>271</v>
      </c>
      <c r="D12" s="41">
        <v>44104</v>
      </c>
      <c r="E12" s="64">
        <f>IFERROR(INDEX(CPI[Indice],MATCH(D12,CPI[Period],0),1),"-")</f>
        <v>116.2</v>
      </c>
    </row>
    <row r="13" spans="1:26" x14ac:dyDescent="0.25">
      <c r="C13" s="18" t="s">
        <v>292</v>
      </c>
      <c r="D13" s="41">
        <v>44104</v>
      </c>
      <c r="E13" s="64">
        <f>IFERROR(INDEX(CPI[Indice],MATCH(D13,CPI[Period],0),1),"-")</f>
        <v>116.2</v>
      </c>
    </row>
    <row r="14" spans="1:26" x14ac:dyDescent="0.25">
      <c r="C14" s="18" t="s">
        <v>194</v>
      </c>
      <c r="D14" s="41">
        <v>44377</v>
      </c>
      <c r="E14" s="64">
        <f>IFERROR(INDEX(CPI[Indice],MATCH(D14,CPI[Period],0),1),"-")</f>
        <v>118.8</v>
      </c>
    </row>
    <row r="15" spans="1:26" x14ac:dyDescent="0.25">
      <c r="C15" s="18" t="s">
        <v>195</v>
      </c>
      <c r="D15" s="41">
        <v>44469</v>
      </c>
      <c r="E15" s="64">
        <f>IFERROR(INDEX(CPI[Indice],MATCH(D15,CPI[Period],0),1),"-")</f>
        <v>0</v>
      </c>
    </row>
    <row r="18" spans="1:5" ht="16.5" thickBot="1" x14ac:dyDescent="0.3">
      <c r="A18" s="1" t="s">
        <v>19</v>
      </c>
      <c r="B18" s="7">
        <f ca="1">MAX(B$3:B17)+0.1</f>
        <v>6.1999999999999993</v>
      </c>
      <c r="C18" s="22" t="s">
        <v>196</v>
      </c>
      <c r="D18" s="22"/>
      <c r="E18" s="22"/>
    </row>
    <row r="20" spans="1:5" ht="15.75" x14ac:dyDescent="0.25">
      <c r="C20" s="23" t="s">
        <v>197</v>
      </c>
    </row>
    <row r="21" spans="1:5" ht="15.75" x14ac:dyDescent="0.25">
      <c r="C21" s="23" t="s">
        <v>198</v>
      </c>
    </row>
    <row r="23" spans="1:5" ht="15.75" x14ac:dyDescent="0.25">
      <c r="C23" s="43" t="s">
        <v>421</v>
      </c>
      <c r="D23" s="164" t="str">
        <f>"June 2021"</f>
        <v>June 2021</v>
      </c>
    </row>
    <row r="24" spans="1:5" ht="15.75" x14ac:dyDescent="0.25">
      <c r="C24" s="43" t="s">
        <v>422</v>
      </c>
      <c r="D24" s="164" t="s">
        <v>420</v>
      </c>
    </row>
    <row r="26" spans="1:5" ht="15.75" x14ac:dyDescent="0.25">
      <c r="C26" s="34" t="s">
        <v>199</v>
      </c>
      <c r="D26" s="40" t="s">
        <v>189</v>
      </c>
    </row>
    <row r="27" spans="1:5" x14ac:dyDescent="0.25">
      <c r="C27" s="37">
        <v>41090</v>
      </c>
      <c r="D27" s="38">
        <v>100.4</v>
      </c>
    </row>
    <row r="28" spans="1:5" x14ac:dyDescent="0.25">
      <c r="C28" s="37">
        <v>41182</v>
      </c>
      <c r="D28" s="38">
        <v>101.8</v>
      </c>
    </row>
    <row r="29" spans="1:5" x14ac:dyDescent="0.25">
      <c r="C29" s="37">
        <v>41274</v>
      </c>
      <c r="D29" s="38">
        <v>102</v>
      </c>
    </row>
    <row r="30" spans="1:5" x14ac:dyDescent="0.25">
      <c r="C30" s="37">
        <v>41364</v>
      </c>
      <c r="D30" s="38">
        <v>102.4</v>
      </c>
    </row>
    <row r="31" spans="1:5" x14ac:dyDescent="0.25">
      <c r="C31" s="37">
        <v>41455</v>
      </c>
      <c r="D31" s="38">
        <v>102.8</v>
      </c>
    </row>
    <row r="32" spans="1:5" x14ac:dyDescent="0.25">
      <c r="C32" s="37">
        <v>41547</v>
      </c>
      <c r="D32" s="38">
        <v>104</v>
      </c>
    </row>
    <row r="33" spans="3:4" x14ac:dyDescent="0.25">
      <c r="C33" s="37">
        <v>41639</v>
      </c>
      <c r="D33" s="38">
        <v>104.8</v>
      </c>
    </row>
    <row r="34" spans="3:4" x14ac:dyDescent="0.25">
      <c r="C34" s="37">
        <v>41729</v>
      </c>
      <c r="D34" s="38">
        <v>105.4</v>
      </c>
    </row>
    <row r="35" spans="3:4" x14ac:dyDescent="0.25">
      <c r="C35" s="37">
        <v>41820</v>
      </c>
      <c r="D35" s="38">
        <v>105.9</v>
      </c>
    </row>
    <row r="36" spans="3:4" x14ac:dyDescent="0.25">
      <c r="C36" s="37">
        <v>41912</v>
      </c>
      <c r="D36" s="38">
        <v>106.4</v>
      </c>
    </row>
    <row r="37" spans="3:4" x14ac:dyDescent="0.25">
      <c r="C37" s="37">
        <v>42004</v>
      </c>
      <c r="D37" s="38">
        <v>106.6</v>
      </c>
    </row>
    <row r="38" spans="3:4" x14ac:dyDescent="0.25">
      <c r="C38" s="37">
        <v>42094</v>
      </c>
      <c r="D38" s="38">
        <v>106.8</v>
      </c>
    </row>
    <row r="39" spans="3:4" x14ac:dyDescent="0.25">
      <c r="C39" s="37">
        <v>42185</v>
      </c>
      <c r="D39" s="38">
        <v>107.5</v>
      </c>
    </row>
    <row r="40" spans="3:4" x14ac:dyDescent="0.25">
      <c r="C40" s="37">
        <v>42277</v>
      </c>
      <c r="D40" s="38">
        <v>108</v>
      </c>
    </row>
    <row r="41" spans="3:4" x14ac:dyDescent="0.25">
      <c r="C41" s="37">
        <v>42369</v>
      </c>
      <c r="D41" s="38">
        <v>108.4</v>
      </c>
    </row>
    <row r="42" spans="3:4" x14ac:dyDescent="0.25">
      <c r="C42" s="37">
        <v>42460</v>
      </c>
      <c r="D42" s="38">
        <v>108.2</v>
      </c>
    </row>
    <row r="43" spans="3:4" x14ac:dyDescent="0.25">
      <c r="C43" s="37">
        <v>42551</v>
      </c>
      <c r="D43" s="38">
        <v>108.6</v>
      </c>
    </row>
    <row r="44" spans="3:4" x14ac:dyDescent="0.25">
      <c r="C44" s="37">
        <v>42643</v>
      </c>
      <c r="D44" s="38">
        <v>109.4</v>
      </c>
    </row>
    <row r="45" spans="3:4" x14ac:dyDescent="0.25">
      <c r="C45" s="37">
        <v>42735</v>
      </c>
      <c r="D45" s="38">
        <v>110</v>
      </c>
    </row>
    <row r="46" spans="3:4" x14ac:dyDescent="0.25">
      <c r="C46" s="37">
        <v>42825</v>
      </c>
      <c r="D46" s="38">
        <v>110.5</v>
      </c>
    </row>
    <row r="47" spans="3:4" x14ac:dyDescent="0.25">
      <c r="C47" s="37">
        <v>42916</v>
      </c>
      <c r="D47" s="38">
        <v>110.7</v>
      </c>
    </row>
    <row r="48" spans="3:4" x14ac:dyDescent="0.25">
      <c r="C48" s="37">
        <v>43008</v>
      </c>
      <c r="D48" s="38">
        <v>111.4</v>
      </c>
    </row>
    <row r="49" spans="3:4" x14ac:dyDescent="0.25">
      <c r="C49" s="37">
        <v>43100</v>
      </c>
      <c r="D49" s="38">
        <v>112.1</v>
      </c>
    </row>
    <row r="50" spans="3:4" x14ac:dyDescent="0.25">
      <c r="C50" s="37">
        <v>43190</v>
      </c>
      <c r="D50" s="38">
        <v>112.6</v>
      </c>
    </row>
    <row r="51" spans="3:4" x14ac:dyDescent="0.25">
      <c r="C51" s="37">
        <v>43281</v>
      </c>
      <c r="D51" s="38">
        <v>113</v>
      </c>
    </row>
    <row r="52" spans="3:4" x14ac:dyDescent="0.25">
      <c r="C52" s="37">
        <v>43373</v>
      </c>
      <c r="D52" s="38">
        <v>113.5</v>
      </c>
    </row>
    <row r="53" spans="3:4" x14ac:dyDescent="0.25">
      <c r="C53" s="37">
        <v>43465</v>
      </c>
      <c r="D53" s="38">
        <v>114.1</v>
      </c>
    </row>
    <row r="54" spans="3:4" x14ac:dyDescent="0.25">
      <c r="C54" s="37">
        <v>43555</v>
      </c>
      <c r="D54" s="38">
        <v>114.1</v>
      </c>
    </row>
    <row r="55" spans="3:4" x14ac:dyDescent="0.25">
      <c r="C55" s="37">
        <v>43646</v>
      </c>
      <c r="D55" s="38">
        <v>114.8</v>
      </c>
    </row>
    <row r="56" spans="3:4" x14ac:dyDescent="0.25">
      <c r="C56" s="37">
        <v>43738</v>
      </c>
      <c r="D56" s="38">
        <v>115.4</v>
      </c>
    </row>
    <row r="57" spans="3:4" x14ac:dyDescent="0.25">
      <c r="C57" s="37">
        <v>43830</v>
      </c>
      <c r="D57" s="38">
        <v>116.2</v>
      </c>
    </row>
    <row r="58" spans="3:4" x14ac:dyDescent="0.25">
      <c r="C58" s="37">
        <v>43921</v>
      </c>
      <c r="D58" s="38">
        <v>116.6</v>
      </c>
    </row>
    <row r="59" spans="3:4" x14ac:dyDescent="0.25">
      <c r="C59" s="37">
        <v>44012</v>
      </c>
      <c r="D59" s="38">
        <v>114.4</v>
      </c>
    </row>
    <row r="60" spans="3:4" x14ac:dyDescent="0.25">
      <c r="C60" s="37">
        <v>44104</v>
      </c>
      <c r="D60" s="38">
        <v>116.2</v>
      </c>
    </row>
    <row r="61" spans="3:4" x14ac:dyDescent="0.25">
      <c r="C61" s="37">
        <v>44196</v>
      </c>
      <c r="D61" s="38">
        <v>117.2</v>
      </c>
    </row>
    <row r="62" spans="3:4" x14ac:dyDescent="0.25">
      <c r="C62" s="87">
        <v>44286</v>
      </c>
      <c r="D62" s="38">
        <v>117.9</v>
      </c>
    </row>
    <row r="63" spans="3:4" x14ac:dyDescent="0.25">
      <c r="C63" s="87">
        <v>44377</v>
      </c>
      <c r="D63" s="38">
        <v>118.8</v>
      </c>
    </row>
    <row r="64" spans="3:4" x14ac:dyDescent="0.25">
      <c r="C64" s="87">
        <v>44469</v>
      </c>
      <c r="D64" s="38"/>
    </row>
    <row r="65" spans="3:4" x14ac:dyDescent="0.25">
      <c r="C65" s="87">
        <v>44561</v>
      </c>
      <c r="D65" s="38"/>
    </row>
  </sheetData>
  <sheetProtection algorithmName="SHA-512" hashValue="Zm2gFZe/lJZ4bLiKkO8lMFLHzPnzYHlR2H5ljRpTw6XuLNioBrRAlz6biGGrqGrQCjrmQxsgP8doalDldE1/3g==" saltValue="Ql3kPQEkGzIyc7XUXddu9w==" spinCount="100000" sheet="1" objects="1" scenarios="1"/>
  <mergeCells count="1">
    <mergeCell ref="A2:A3"/>
  </mergeCells>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A185-BE6B-4916-A39F-BB308B95FEDF}">
  <sheetPr codeName="Sheet19">
    <tabColor rgb="FF236192"/>
    <outlinePr summaryBelow="0"/>
  </sheetPr>
  <dimension ref="A1:S488"/>
  <sheetViews>
    <sheetView showGridLines="0" topLeftCell="B1" zoomScale="70" zoomScaleNormal="70" workbookViewId="0">
      <pane ySplit="3" topLeftCell="A246" activePane="bottomLeft" state="frozen"/>
      <selection pane="bottomLeft" activeCell="F273" sqref="F273"/>
    </sheetView>
  </sheetViews>
  <sheetFormatPr defaultColWidth="9.140625" defaultRowHeight="15" outlineLevelRow="1" outlineLevelCol="1" x14ac:dyDescent="0.25"/>
  <cols>
    <col min="1" max="1" width="100.7109375" hidden="1" customWidth="1" outlineLevel="1" collapsed="1"/>
    <col min="2" max="2" width="10.7109375" style="6" customWidth="1" collapsed="1"/>
    <col min="3" max="3" width="50.7109375" customWidth="1"/>
    <col min="4" max="11" width="20.7109375" customWidth="1"/>
  </cols>
  <sheetData>
    <row r="1" spans="1:11" ht="15" customHeight="1" x14ac:dyDescent="0.25">
      <c r="A1" s="1" t="s">
        <v>16</v>
      </c>
      <c r="B1" s="16"/>
      <c r="C1" s="17"/>
      <c r="D1" s="17"/>
      <c r="E1" s="17"/>
      <c r="F1" s="17"/>
      <c r="G1" s="17"/>
      <c r="H1" s="17"/>
      <c r="I1" s="17"/>
      <c r="J1" s="17"/>
      <c r="K1" s="17"/>
    </row>
    <row r="2" spans="1:11" s="4" customFormat="1" ht="50.1" customHeight="1" x14ac:dyDescent="0.25">
      <c r="A2" s="183" t="s">
        <v>17</v>
      </c>
      <c r="B2" s="19"/>
      <c r="C2" s="19" t="str">
        <f>Disclaimer!$B$1</f>
        <v>VDO calculation model</v>
      </c>
      <c r="D2" s="17"/>
      <c r="E2" s="17"/>
      <c r="F2" s="19"/>
      <c r="G2" s="19"/>
      <c r="H2" s="19"/>
      <c r="I2" s="19"/>
      <c r="J2" s="19"/>
      <c r="K2" s="19"/>
    </row>
    <row r="3" spans="1:11" s="4" customFormat="1" ht="30" customHeight="1" x14ac:dyDescent="0.25">
      <c r="A3" s="184"/>
      <c r="B3" s="21">
        <f ca="1">_xlfn.SHEET()</f>
        <v>7</v>
      </c>
      <c r="C3" s="20" t="s">
        <v>201</v>
      </c>
      <c r="D3" s="17"/>
      <c r="E3" s="17"/>
      <c r="F3" s="20"/>
      <c r="G3" s="20"/>
      <c r="H3" s="20"/>
      <c r="I3" s="20"/>
      <c r="J3" s="20"/>
      <c r="K3" s="20"/>
    </row>
    <row r="4" spans="1:11" x14ac:dyDescent="0.25">
      <c r="B4"/>
    </row>
    <row r="5" spans="1:11" ht="15.75" x14ac:dyDescent="0.25">
      <c r="B5"/>
      <c r="C5" s="43" t="s">
        <v>36</v>
      </c>
      <c r="D5" s="83" t="s">
        <v>292</v>
      </c>
    </row>
    <row r="6" spans="1:11" x14ac:dyDescent="0.25">
      <c r="B6"/>
    </row>
    <row r="7" spans="1:11" ht="16.5" thickBot="1" x14ac:dyDescent="0.3">
      <c r="A7" s="1" t="s">
        <v>19</v>
      </c>
      <c r="B7" s="7">
        <f ca="1">MAX(B$3:B6)+0.1</f>
        <v>7.1</v>
      </c>
      <c r="C7" s="22" t="s">
        <v>202</v>
      </c>
      <c r="D7" s="22"/>
      <c r="E7" s="22"/>
      <c r="F7" s="22"/>
      <c r="G7" s="22"/>
      <c r="H7" s="22"/>
      <c r="I7" s="22"/>
      <c r="J7" s="22"/>
      <c r="K7" s="22"/>
    </row>
    <row r="8" spans="1:11" x14ac:dyDescent="0.25">
      <c r="B8"/>
      <c r="I8" s="74"/>
    </row>
    <row r="9" spans="1:11" ht="15.75" x14ac:dyDescent="0.25">
      <c r="B9"/>
      <c r="C9" s="34" t="s">
        <v>203</v>
      </c>
      <c r="D9" s="34" t="s">
        <v>37</v>
      </c>
      <c r="E9" s="34" t="s">
        <v>38</v>
      </c>
      <c r="F9" s="34" t="s">
        <v>30</v>
      </c>
      <c r="G9" s="49" t="s">
        <v>204</v>
      </c>
      <c r="H9" s="49" t="s">
        <v>205</v>
      </c>
      <c r="I9" s="49" t="s">
        <v>206</v>
      </c>
      <c r="J9" s="49" t="s">
        <v>207</v>
      </c>
      <c r="K9" s="49" t="s">
        <v>208</v>
      </c>
    </row>
    <row r="10" spans="1:11" x14ac:dyDescent="0.25">
      <c r="B10"/>
      <c r="C10" s="18" t="s">
        <v>42</v>
      </c>
      <c r="D10" s="18" t="s">
        <v>44</v>
      </c>
      <c r="E10" s="18" t="s">
        <v>45</v>
      </c>
      <c r="F10" s="18" t="s">
        <v>46</v>
      </c>
      <c r="G10" s="62">
        <f>SUMIFS(Calc_Retail_1[Ausnet],Calc_Retail_1[[Fixed/Variable]:[Fixed/Variable]],$D10,Calc_Retail_1[[Customer type]:[Customer type]],$F10)</f>
        <v>181.75878095302619</v>
      </c>
      <c r="H10" s="62">
        <f>SUMIFS(Calc_Retail_1[Citipower],Calc_Retail_1[[Fixed/Variable]:[Fixed/Variable]],$D10,Calc_Retail_1[[Customer type]:[Customer type]],$F10)</f>
        <v>181.75878095302619</v>
      </c>
      <c r="I10" s="62">
        <f>SUMIFS(Calc_Retail_1[Jemena],Calc_Retail_1[[Fixed/Variable]:[Fixed/Variable]],$D10,Calc_Retail_1[[Customer type]:[Customer type]],$F10)</f>
        <v>181.75878095302619</v>
      </c>
      <c r="J10" s="62">
        <f>SUMIFS(Calc_Retail_1[Powercor],Calc_Retail_1[[Fixed/Variable]:[Fixed/Variable]],$D10,Calc_Retail_1[[Customer type]:[Customer type]],$F10)</f>
        <v>181.75878095302619</v>
      </c>
      <c r="K10" s="62">
        <f>SUMIFS(Calc_Retail_1[United Energy],Calc_Retail_1[[Fixed/Variable]:[Fixed/Variable]],$D10,Calc_Retail_1[[Customer type]:[Customer type]],$F10)</f>
        <v>181.75878095302619</v>
      </c>
    </row>
    <row r="11" spans="1:11" x14ac:dyDescent="0.25">
      <c r="B11"/>
      <c r="C11" s="18" t="s">
        <v>209</v>
      </c>
      <c r="D11" s="18" t="s">
        <v>44</v>
      </c>
      <c r="E11" s="18" t="s">
        <v>45</v>
      </c>
      <c r="F11" s="18" t="s">
        <v>46</v>
      </c>
      <c r="G11" s="66">
        <f>SUMIFS(Calc_OtherCosts_1[Ausnet],Calc_OtherCosts_1[[Fixed/Variable]:[Fixed/Variable]],$D11,Calc_OtherCosts_1[[Customer type]:[Customer type]],$F11)</f>
        <v>6.126692642408659</v>
      </c>
      <c r="H11" s="62">
        <f>SUMIFS(Calc_OtherCosts_1[Citipower],Calc_OtherCosts_1[[Fixed/Variable]:[Fixed/Variable]],$D11,Calc_OtherCosts_1[[Customer type]:[Customer type]],$F11)</f>
        <v>6.126692642408659</v>
      </c>
      <c r="I11" s="62">
        <f>SUMIFS(Calc_OtherCosts_1[Jemena],Calc_OtherCosts_1[[Fixed/Variable]:[Fixed/Variable]],$D11,Calc_OtherCosts_1[[Customer type]:[Customer type]],$F11)</f>
        <v>6.126692642408659</v>
      </c>
      <c r="J11" s="62">
        <f>SUMIFS(Calc_OtherCosts_1[Powercor],Calc_OtherCosts_1[[Fixed/Variable]:[Fixed/Variable]],$D11,Calc_OtherCosts_1[[Customer type]:[Customer type]],$F11)</f>
        <v>6.126692642408659</v>
      </c>
      <c r="K11" s="62">
        <f>SUMIFS(Calc_OtherCosts_1[United Energy],Calc_OtherCosts_1[[Fixed/Variable]:[Fixed/Variable]],$D11,Calc_OtherCosts_1[[Customer type]:[Customer type]],$F11)</f>
        <v>6.126692642408659</v>
      </c>
    </row>
    <row r="12" spans="1:11" x14ac:dyDescent="0.25">
      <c r="B12"/>
      <c r="C12" s="18" t="s">
        <v>210</v>
      </c>
      <c r="D12" s="18" t="s">
        <v>44</v>
      </c>
      <c r="E12" s="18" t="s">
        <v>45</v>
      </c>
      <c r="F12" s="18" t="s">
        <v>46</v>
      </c>
      <c r="G12" s="62">
        <f>SUMIFS(Calc_FiT_1[Ausnet],Calc_FiT_1[[Fixed/Variable]:[Fixed/Variable]],$D12,Calc_FiT_1[[Customer type]:[Customer type]],$F12)</f>
        <v>10.849248189087444</v>
      </c>
      <c r="H12" s="62">
        <f>SUMIFS(Calc_FiT_1[Citipower],Calc_FiT_1[[Fixed/Variable]:[Fixed/Variable]],$D12,Calc_FiT_1[[Customer type]:[Customer type]],$F12)</f>
        <v>10.849248189087444</v>
      </c>
      <c r="I12" s="62">
        <f>SUMIFS(Calc_FiT_1[Jemena],Calc_FiT_1[[Fixed/Variable]:[Fixed/Variable]],$D12,Calc_FiT_1[[Customer type]:[Customer type]],$F12)</f>
        <v>10.849248189087444</v>
      </c>
      <c r="J12" s="62">
        <f>SUMIFS(Calc_FiT_1[Powercor],Calc_FiT_1[[Fixed/Variable]:[Fixed/Variable]],$D12,Calc_FiT_1[[Customer type]:[Customer type]],$F12)</f>
        <v>10.849248189087444</v>
      </c>
      <c r="K12" s="62">
        <f>SUMIFS(Calc_FiT_1[United Energy],Calc_FiT_1[[Fixed/Variable]:[Fixed/Variable]],$D12,Calc_FiT_1[[Customer type]:[Customer type]],$F12)</f>
        <v>10.849248189087444</v>
      </c>
    </row>
    <row r="13" spans="1:11" x14ac:dyDescent="0.25">
      <c r="B13"/>
      <c r="C13" s="18" t="s">
        <v>211</v>
      </c>
      <c r="D13" s="18" t="s">
        <v>44</v>
      </c>
      <c r="E13" s="18" t="s">
        <v>45</v>
      </c>
      <c r="F13" s="18" t="s">
        <v>46</v>
      </c>
      <c r="G13" s="62">
        <f>SUMIFS(Calc_NetworkF_1[Ausnet],Calc_NetworkF_1[[Fixed/Variable]:[Fixed/Variable]],$D13,Calc_NetworkF_1[[Customer type]:[Customer type]],$F13)</f>
        <v>63.7</v>
      </c>
      <c r="H13" s="62">
        <f>SUMIFS(Calc_NetworkF_1[Citipower],Calc_NetworkF_1[[Fixed/Variable]:[Fixed/Variable]],$D13,Calc_NetworkF_1[[Customer type]:[Customer type]],$F13)</f>
        <v>59.4</v>
      </c>
      <c r="I13" s="62">
        <f>SUMIFS(Calc_NetworkF_1[Jemena],Calc_NetworkF_1[[Fixed/Variable]:[Fixed/Variable]],$D13,Calc_NetworkF_1[[Customer type]:[Customer type]],$F13)</f>
        <v>54.19</v>
      </c>
      <c r="J13" s="62">
        <f>SUMIFS(Calc_NetworkF_1[Powercor],Calc_NetworkF_1[[Fixed/Variable]:[Fixed/Variable]],$D13,Calc_NetworkF_1[[Customer type]:[Customer type]],$F13)</f>
        <v>58</v>
      </c>
      <c r="K13" s="62">
        <f>SUMIFS(Calc_NetworkF_1[United Energy],Calc_NetworkF_1[[Fixed/Variable]:[Fixed/Variable]],$D13,Calc_NetworkF_1[[Customer type]:[Customer type]],$F13)</f>
        <v>42.92</v>
      </c>
    </row>
    <row r="14" spans="1:11" x14ac:dyDescent="0.25">
      <c r="B14"/>
    </row>
    <row r="15" spans="1:11" ht="15.75" collapsed="1" x14ac:dyDescent="0.25">
      <c r="B15"/>
      <c r="C15" s="23" t="s">
        <v>212</v>
      </c>
    </row>
    <row r="16" spans="1:11" ht="15.75" hidden="1" outlineLevel="1" x14ac:dyDescent="0.25">
      <c r="B16"/>
      <c r="C16" s="70" t="s">
        <v>339</v>
      </c>
    </row>
    <row r="17" spans="2:11" hidden="1" outlineLevel="1" x14ac:dyDescent="0.25">
      <c r="B17"/>
      <c r="C17" s="18" t="s">
        <v>222</v>
      </c>
      <c r="D17" s="18" t="s">
        <v>9</v>
      </c>
      <c r="E17" s="18" t="s">
        <v>45</v>
      </c>
      <c r="F17" s="18" t="s">
        <v>31</v>
      </c>
      <c r="G17" s="50">
        <f>SUMIFS(Calc_NetworkF_1[Ausnet],Calc_NetworkF_1[[Cost item]:[Cost item]],$C16,Calc_NetworkF_1[[Customer type]:[Customer type]],$F17)</f>
        <v>111.11</v>
      </c>
      <c r="H17" s="50">
        <f>SUMIFS(Calc_NetworkF_1[Citipower],Calc_NetworkF_1[[Cost item]:[Cost item]],$C16,Calc_NetworkF_1[[Customer type]:[Customer type]],$F17)</f>
        <v>90.009</v>
      </c>
      <c r="I17" s="50">
        <f>SUMIFS(Calc_NetworkF_1[Jemena],Calc_NetworkF_1[[Cost item]:[Cost item]],$C16,Calc_NetworkF_1[[Customer type]:[Customer type]],$F17)</f>
        <v>82.195999999999998</v>
      </c>
      <c r="J17" s="50">
        <f>SUMIFS(Calc_NetworkF_1[Powercor],Calc_NetworkF_1[[Cost item]:[Cost item]],$C16,Calc_NetworkF_1[[Customer type]:[Customer type]],$F17)</f>
        <v>139.97749999999999</v>
      </c>
      <c r="K17" s="50">
        <f>SUMIFS(Calc_NetworkF_1[United Energy],Calc_NetworkF_1[[Cost item]:[Cost item]],$C16,Calc_NetworkF_1[[Customer type]:[Customer type]],$F17)</f>
        <v>80.007999999999996</v>
      </c>
    </row>
    <row r="18" spans="2:11" hidden="1" outlineLevel="1" x14ac:dyDescent="0.25">
      <c r="B18"/>
      <c r="C18" s="18" t="s">
        <v>203</v>
      </c>
      <c r="D18" s="18" t="s">
        <v>9</v>
      </c>
      <c r="E18" s="18" t="s">
        <v>45</v>
      </c>
      <c r="F18" s="18" t="s">
        <v>31</v>
      </c>
      <c r="G18" s="62">
        <f>IF(G17=0,"-",SUMIFS(Calc_Fixed_1[Ausnet],Calc_Fixed_1[Customer type],"All")+SUMIFS(Calc_Fixed_1[Ausnet],Calc_Fixed_1[Customer type],$F19))</f>
        <v>262.43472178452231</v>
      </c>
      <c r="H18" s="62">
        <f>IF(H17=0,"-",SUMIFS(Calc_Fixed_1[Citipower],Calc_Fixed_1[[Customer type]:[Customer type]],"All")+SUMIFS(Calc_Fixed_1[Citipower],Calc_Fixed_1[[Customer type]:[Customer type]],$F19))</f>
        <v>258.1347217845223</v>
      </c>
      <c r="I18" s="62">
        <f>IF(I17=0,"-",SUMIFS(Calc_Fixed_1[Jemena],Calc_Fixed_1[[Customer type]:[Customer type]],"All")+SUMIFS(Calc_Fixed_1[Jemena],Calc_Fixed_1[[Customer type]:[Customer type]],$F19))</f>
        <v>252.92472178452229</v>
      </c>
      <c r="J18" s="62">
        <f>IF(J17=0,"-",SUMIFS(Calc_Fixed_1[Powercor],Calc_Fixed_1[[Customer type]:[Customer type]],"All")+SUMIFS(Calc_Fixed_1[Powercor],Calc_Fixed_1[[Customer type]:[Customer type]],$F19))</f>
        <v>256.73472178452232</v>
      </c>
      <c r="K18" s="62">
        <f>IF(K17=0,"-",SUMIFS(Calc_Fixed_1[United Energy],Calc_Fixed_1[[Customer type]:[Customer type]],"All")+SUMIFS(Calc_Fixed_1[United Energy],Calc_Fixed_1[[Customer type]:[Customer type]],$F19))</f>
        <v>241.65472178452228</v>
      </c>
    </row>
    <row r="19" spans="2:11" hidden="1" outlineLevel="1" x14ac:dyDescent="0.25">
      <c r="B19"/>
      <c r="C19" s="18" t="s">
        <v>139</v>
      </c>
      <c r="D19" s="18" t="s">
        <v>9</v>
      </c>
      <c r="E19" s="18" t="s">
        <v>45</v>
      </c>
      <c r="F19" s="18" t="s">
        <v>31</v>
      </c>
      <c r="G19" s="62" cm="1">
        <f t="array" ref="G19">IF(G17=0,"-",(G17+G18)*Calc_ROM_1[Ausnet])</f>
        <v>22.56210119578515</v>
      </c>
      <c r="H19" s="62" cm="1">
        <f t="array" ref="H19">IF(H17=0,"-",(H17+H18)*Calc_ROM_1[Citipower])</f>
        <v>21.027880795785148</v>
      </c>
      <c r="I19" s="62" cm="1">
        <f t="array" ref="I19">IF(I17=0,"-",(I17+I18)*Calc_ROM_1[Jemena])</f>
        <v>20.241291595785146</v>
      </c>
      <c r="J19" s="62" cm="1">
        <f t="array" ref="J19">IF(J17=0,"-",(J17+J18)*Calc_ROM_1[Powercor])</f>
        <v>23.961418195785146</v>
      </c>
      <c r="K19" s="62" cm="1">
        <f t="array" ref="K19">IF(K17=0,"-",(K17+K18)*Calc_ROM_1[United Energy])</f>
        <v>19.428428395785144</v>
      </c>
    </row>
    <row r="20" spans="2:11" hidden="1" outlineLevel="1" x14ac:dyDescent="0.25">
      <c r="B20"/>
      <c r="C20" s="18" t="s">
        <v>213</v>
      </c>
      <c r="D20" s="18" t="s">
        <v>9</v>
      </c>
      <c r="E20" s="18" t="s">
        <v>45</v>
      </c>
      <c r="F20" s="18" t="s">
        <v>31</v>
      </c>
      <c r="G20" s="62">
        <f>IF(G17=0,"-",(G17+G18+G19)*GST)</f>
        <v>39.610682298030753</v>
      </c>
      <c r="H20" s="62">
        <f>IF(H17=0,"-",(H17+H18+H19)*GST)</f>
        <v>36.917160258030748</v>
      </c>
      <c r="I20" s="62">
        <f>IF(I17=0,"-",(I17+I18+I19)*GST)</f>
        <v>35.536201338030743</v>
      </c>
      <c r="J20" s="62">
        <f>IF(J17=0,"-",(J17+J18+J19)*GST)</f>
        <v>42.067363998030743</v>
      </c>
      <c r="K20" s="62">
        <f>IF(K17=0,"-",(K17+K18+K19)*GST)</f>
        <v>34.109115018030742</v>
      </c>
    </row>
    <row r="21" spans="2:11" hidden="1" outlineLevel="1" x14ac:dyDescent="0.25">
      <c r="B21"/>
      <c r="C21" s="18" t="s">
        <v>214</v>
      </c>
      <c r="D21" s="18" t="s">
        <v>9</v>
      </c>
      <c r="E21" s="18" t="s">
        <v>45</v>
      </c>
      <c r="F21" s="18" t="s">
        <v>31</v>
      </c>
      <c r="G21" s="62">
        <f>IF(G17=0,"-",G17+G18+G19+G20)</f>
        <v>435.71750527833819</v>
      </c>
      <c r="H21" s="62">
        <f t="shared" ref="H21:K21" si="0">IF(H17=0,"-",H17+H18+H19+H20)</f>
        <v>406.0887628383382</v>
      </c>
      <c r="I21" s="62">
        <f t="shared" si="0"/>
        <v>390.89821471833818</v>
      </c>
      <c r="J21" s="62">
        <f t="shared" si="0"/>
        <v>462.7410039783382</v>
      </c>
      <c r="K21" s="62">
        <f t="shared" si="0"/>
        <v>375.20026519833817</v>
      </c>
    </row>
    <row r="22" spans="2:11" hidden="1" outlineLevel="1" x14ac:dyDescent="0.25">
      <c r="B22"/>
      <c r="C22" s="18" t="str">
        <f>C16</f>
        <v>Anytime - supply</v>
      </c>
      <c r="D22" s="18" t="s">
        <v>9</v>
      </c>
      <c r="E22" s="18" t="s">
        <v>45</v>
      </c>
      <c r="F22" s="18" t="s">
        <v>31</v>
      </c>
      <c r="G22" s="63">
        <f>IF(G17=0,"-",G21/DiY)</f>
        <v>1.1937465898036663</v>
      </c>
      <c r="H22" s="63">
        <f>IF(H17=0,"-",H21/DiY)</f>
        <v>1.1125719529817484</v>
      </c>
      <c r="I22" s="63">
        <f>IF(I17=0,"-",I21/DiY)</f>
        <v>1.0709540129269539</v>
      </c>
      <c r="J22" s="63">
        <f>IF(J17=0,"-",J21/DiY)</f>
        <v>1.2677835725433924</v>
      </c>
      <c r="K22" s="63">
        <f>IF(K17=0,"-",K21/DiY)</f>
        <v>1.0279459320502415</v>
      </c>
    </row>
    <row r="23" spans="2:11" hidden="1" outlineLevel="1" x14ac:dyDescent="0.25">
      <c r="B23"/>
      <c r="G23" s="89" t="e" cm="1">
        <f t="array" ref="G23">IF(G17=0,"-",
IF($D$249=#REF!,
IF(G22=INDEX(#REF!,MATCH(Calc_Rates!$C22&amp;"_"&amp;Calc_Rates!$F22,#REF!,0),MATCH(Calc_Rates!G$9,#REF!,0)),0,1),
IF(ROUND(G22,8)=ROUND((((
SUMIFS(Calc_NetworkF_1[Ausnet],Calc_NetworkF_1[Cost item],$C16,Calc_NetworkF_1[Customer type],$F17)+
SUMIFS(Calc_Fixed_1[Ausnet],Calc_Fixed_1[Customer type],Calc_Rates!$F22)+SUMIFS(Calc_Fixed_1[Ausnet],Calc_Fixed_1[Customer type],"All"))*(1+Calc_ROM_1[Ausnet]))*(1+GST))/DiY,8),0,1)))</f>
        <v>#REF!</v>
      </c>
      <c r="H23" s="89" t="e" cm="1">
        <f t="array" ref="H23">IF(H17=0,"-",
IF($D$249=#REF!,
IF(H22=INDEX(#REF!,MATCH(Calc_Rates!$C22&amp;"_"&amp;Calc_Rates!$F22,#REF!,0),MATCH(Calc_Rates!H$9,#REF!,0)),0,1),
IF(ROUND(H22,8)=ROUND((((
SUMIFS(Calc_NetworkF_1[Citipower],Calc_NetworkF_1[Cost item],$C16,Calc_NetworkF_1[Customer type],$F17)+
SUMIFS(Calc_Fixed_1[Citipower],Calc_Fixed_1[Customer type],Calc_Rates!$F22)+SUMIFS(Calc_Fixed_1[Citipower],Calc_Fixed_1[Customer type],"All"))*(1+Calc_ROM_1[Citipower]))*(1+GST))/DiY,8),0,1)))</f>
        <v>#REF!</v>
      </c>
      <c r="I23" s="89" t="e" cm="1">
        <f t="array" ref="I23">IF(I17=0,"-",
IF($D$249=#REF!,
IF(I22=INDEX(#REF!,MATCH(Calc_Rates!$C22&amp;"_"&amp;Calc_Rates!$F22,#REF!,0),MATCH(Calc_Rates!I$9,#REF!,0)),0,1),
IF(ROUND(I22,8)=ROUND((((
SUMIFS(Calc_NetworkF_1[Jemena],Calc_NetworkF_1[Cost item],$C16,Calc_NetworkF_1[Customer type],$F17)+
SUMIFS(Calc_Fixed_1[Jemena],Calc_Fixed_1[Customer type],Calc_Rates!$F22)+SUMIFS(Calc_Fixed_1[Jemena],Calc_Fixed_1[Customer type],"All"))*(1+Calc_ROM_1[Jemena]))*(1+GST))/DiY,8),0,1)))</f>
        <v>#REF!</v>
      </c>
      <c r="J23" s="89" t="e" cm="1">
        <f t="array" ref="J23">IF(J17=0,"-",
IF($D$249=#REF!,
IF(J22=INDEX(#REF!,MATCH(Calc_Rates!$C22&amp;"_"&amp;Calc_Rates!$F22,#REF!,0),MATCH(Calc_Rates!J$9,#REF!,0)),0,1),
IF(ROUND(J22,8)=ROUND((((
SUMIFS(Calc_NetworkF_1[Powercor],Calc_NetworkF_1[[Cost item]:[Cost item]],$C16,Calc_NetworkF_1[[Customer type]:[Customer type]],$F17)+
SUMIFS(Calc_Fixed_1[Powercor],Calc_Fixed_1[[Customer type]:[Customer type]],Calc_Rates!$F22)+SUMIFS(Calc_Fixed_1[Powercor],Calc_Fixed_1[[Customer type]:[Customer type]],"All"))*(1+Calc_ROM_1[Powercor]))*(1+GST))/DiY,8),0,1)))</f>
        <v>#REF!</v>
      </c>
      <c r="K23" s="89" t="e" cm="1">
        <f t="array" ref="K23">IF(K17=0,"-",
IF($D$249=#REF!,
IF(K22=INDEX(#REF!,MATCH(Calc_Rates!$C22&amp;"_"&amp;Calc_Rates!$F22,#REF!,0),MATCH(Calc_Rates!K$9,#REF!,0)),0,1),
IF(ROUND(K22,8)=ROUND((((
SUMIFS(Calc_NetworkF_1[United Energy],Calc_NetworkF_1[[Cost item]:[Cost item]],$C16,Calc_NetworkF_1[[Customer type]:[Customer type]],$F17)+
SUMIFS(Calc_Fixed_1[United Energy],Calc_Fixed_1[[Customer type]:[Customer type]],Calc_Rates!$F22)+SUMIFS(Calc_Fixed_1[United Energy],Calc_Fixed_1[[Customer type]:[Customer type]],"All"))*(1+Calc_ROM_1[United Energy]))*(1+GST))/DiY,8),0,1)))</f>
        <v>#REF!</v>
      </c>
    </row>
    <row r="24" spans="2:11" ht="15.75" hidden="1" outlineLevel="1" x14ac:dyDescent="0.25">
      <c r="B24"/>
      <c r="C24" s="70" t="s">
        <v>340</v>
      </c>
    </row>
    <row r="25" spans="2:11" hidden="1" outlineLevel="1" x14ac:dyDescent="0.25">
      <c r="B25"/>
      <c r="C25" s="18" t="s">
        <v>222</v>
      </c>
      <c r="D25" s="18" t="s">
        <v>9</v>
      </c>
      <c r="E25" s="18" t="s">
        <v>45</v>
      </c>
      <c r="F25" s="18" t="s">
        <v>31</v>
      </c>
      <c r="G25" s="50">
        <f>SUMIFS(Calc_NetworkF_1[Ausnet],Calc_NetworkF_1[[Cost item]:[Cost item]],$C24,Calc_NetworkF_1[[Customer type]:[Customer type]],$F25)</f>
        <v>111.11</v>
      </c>
      <c r="H25" s="50">
        <f>SUMIFS(Calc_NetworkF_1[Citipower],Calc_NetworkF_1[[Cost item]:[Cost item]],$C24,Calc_NetworkF_1[[Customer type]:[Customer type]],$F25)</f>
        <v>90.009</v>
      </c>
      <c r="I25" s="50">
        <f>SUMIFS(Calc_NetworkF_1[Jemena],Calc_NetworkF_1[[Cost item]:[Cost item]],$C24,Calc_NetworkF_1[[Customer type]:[Customer type]],$F25)</f>
        <v>82.195999999999998</v>
      </c>
      <c r="J25" s="50">
        <f>SUMIFS(Calc_NetworkF_1[Powercor],Calc_NetworkF_1[[Cost item]:[Cost item]],$C24,Calc_NetworkF_1[[Customer type]:[Customer type]],$F25)</f>
        <v>139.97749999999999</v>
      </c>
      <c r="K25" s="50">
        <f>SUMIFS(Calc_NetworkF_1[United Energy],Calc_NetworkF_1[[Cost item]:[Cost item]],$C24,Calc_NetworkF_1[[Customer type]:[Customer type]],$F25)</f>
        <v>80.007999999999996</v>
      </c>
    </row>
    <row r="26" spans="2:11" hidden="1" outlineLevel="1" x14ac:dyDescent="0.25">
      <c r="B26"/>
      <c r="C26" s="18" t="s">
        <v>203</v>
      </c>
      <c r="D26" s="18" t="s">
        <v>9</v>
      </c>
      <c r="E26" s="18" t="s">
        <v>45</v>
      </c>
      <c r="F26" s="18" t="s">
        <v>31</v>
      </c>
      <c r="G26" s="62">
        <f>IF(G25=0,"-",SUMIFS(Calc_Fixed_1[Ausnet],Calc_Fixed_1[[Customer type]:[Customer type]],"All")+SUMIFS(Calc_Fixed_1[Ausnet],Calc_Fixed_1[[Customer type]:[Customer type]],$F27))</f>
        <v>262.43472178452231</v>
      </c>
      <c r="H26" s="62">
        <f>IF(H25=0,"-",SUMIFS(Calc_Fixed_1[Citipower],Calc_Fixed_1[[Customer type]:[Customer type]],"All")+SUMIFS(Calc_Fixed_1[Citipower],Calc_Fixed_1[[Customer type]:[Customer type]],$F27))</f>
        <v>258.1347217845223</v>
      </c>
      <c r="I26" s="62">
        <f>IF(I25=0,"-",SUMIFS(Calc_Fixed_1[Jemena],Calc_Fixed_1[[Customer type]:[Customer type]],"All")+SUMIFS(Calc_Fixed_1[Jemena],Calc_Fixed_1[[Customer type]:[Customer type]],$F27))</f>
        <v>252.92472178452229</v>
      </c>
      <c r="J26" s="62">
        <f>IF(J25=0,"-",SUMIFS(Calc_Fixed_1[Powercor],Calc_Fixed_1[[Customer type]:[Customer type]],"All")+SUMIFS(Calc_Fixed_1[Powercor],Calc_Fixed_1[[Customer type]:[Customer type]],$F27))</f>
        <v>256.73472178452232</v>
      </c>
      <c r="K26" s="62">
        <f>IF(K25=0,"-",SUMIFS(Calc_Fixed_1[United Energy],Calc_Fixed_1[[Customer type]:[Customer type]],"All")+SUMIFS(Calc_Fixed_1[United Energy],Calc_Fixed_1[[Customer type]:[Customer type]],$F27))</f>
        <v>241.65472178452228</v>
      </c>
    </row>
    <row r="27" spans="2:11" hidden="1" outlineLevel="1" x14ac:dyDescent="0.25">
      <c r="B27"/>
      <c r="C27" s="18" t="s">
        <v>139</v>
      </c>
      <c r="D27" s="18" t="s">
        <v>9</v>
      </c>
      <c r="E27" s="18" t="s">
        <v>45</v>
      </c>
      <c r="F27" s="18" t="s">
        <v>31</v>
      </c>
      <c r="G27" s="62" cm="1">
        <f t="array" ref="G27">IF(G25=0,"-",(G25+G26)*Calc_ROM_1[Ausnet])</f>
        <v>22.56210119578515</v>
      </c>
      <c r="H27" s="62" cm="1">
        <f t="array" ref="H27">IF(H25=0,"-",(H25+H26)*Calc_ROM_1[Citipower])</f>
        <v>21.027880795785148</v>
      </c>
      <c r="I27" s="62" cm="1">
        <f t="array" ref="I27">IF(I25=0,"-",(I25+I26)*Calc_ROM_1[Jemena])</f>
        <v>20.241291595785146</v>
      </c>
      <c r="J27" s="62" cm="1">
        <f t="array" ref="J27">IF(J25=0,"-",(J25+J26)*Calc_ROM_1[Powercor])</f>
        <v>23.961418195785146</v>
      </c>
      <c r="K27" s="62" cm="1">
        <f t="array" ref="K27">IF(K25=0,"-",(K25+K26)*Calc_ROM_1[United Energy])</f>
        <v>19.428428395785144</v>
      </c>
    </row>
    <row r="28" spans="2:11" hidden="1" outlineLevel="1" x14ac:dyDescent="0.25">
      <c r="B28"/>
      <c r="C28" s="18" t="s">
        <v>213</v>
      </c>
      <c r="D28" s="18" t="s">
        <v>9</v>
      </c>
      <c r="E28" s="18" t="s">
        <v>45</v>
      </c>
      <c r="F28" s="18" t="s">
        <v>31</v>
      </c>
      <c r="G28" s="62">
        <f>IF(G25=0,"-",(G25+G26+G27)*GST)</f>
        <v>39.610682298030753</v>
      </c>
      <c r="H28" s="62">
        <f>IF(H25=0,"-",(H25+H26+H27)*GST)</f>
        <v>36.917160258030748</v>
      </c>
      <c r="I28" s="62">
        <f>IF(I25=0,"-",(I25+I26+I27)*GST)</f>
        <v>35.536201338030743</v>
      </c>
      <c r="J28" s="62">
        <f>IF(J25=0,"-",(J25+J26+J27)*GST)</f>
        <v>42.067363998030743</v>
      </c>
      <c r="K28" s="62">
        <f>IF(K25=0,"-",(K25+K26+K27)*GST)</f>
        <v>34.109115018030742</v>
      </c>
    </row>
    <row r="29" spans="2:11" hidden="1" outlineLevel="1" x14ac:dyDescent="0.25">
      <c r="B29"/>
      <c r="C29" s="18" t="s">
        <v>214</v>
      </c>
      <c r="D29" s="18" t="s">
        <v>9</v>
      </c>
      <c r="E29" s="18" t="s">
        <v>45</v>
      </c>
      <c r="F29" s="18" t="s">
        <v>31</v>
      </c>
      <c r="G29" s="62">
        <f>IF(G25=0,"-",G25+G26+G27+G28)</f>
        <v>435.71750527833819</v>
      </c>
      <c r="H29" s="62">
        <f t="shared" ref="H29" si="1">IF(H25=0,"-",H25+H26+H27+H28)</f>
        <v>406.0887628383382</v>
      </c>
      <c r="I29" s="62">
        <f t="shared" ref="I29" si="2">IF(I25=0,"-",I25+I26+I27+I28)</f>
        <v>390.89821471833818</v>
      </c>
      <c r="J29" s="62">
        <f t="shared" ref="J29" si="3">IF(J25=0,"-",J25+J26+J27+J28)</f>
        <v>462.7410039783382</v>
      </c>
      <c r="K29" s="62">
        <f t="shared" ref="K29" si="4">IF(K25=0,"-",K25+K26+K27+K28)</f>
        <v>375.20026519833817</v>
      </c>
    </row>
    <row r="30" spans="2:11" hidden="1" outlineLevel="1" x14ac:dyDescent="0.25">
      <c r="B30"/>
      <c r="C30" s="18" t="str">
        <f>C24</f>
        <v>TOU - supply</v>
      </c>
      <c r="D30" s="18" t="s">
        <v>9</v>
      </c>
      <c r="E30" s="18" t="s">
        <v>45</v>
      </c>
      <c r="F30" s="18" t="s">
        <v>31</v>
      </c>
      <c r="G30" s="63">
        <f>IF(G25=0,"-",G29/DiY)</f>
        <v>1.1937465898036663</v>
      </c>
      <c r="H30" s="63">
        <f>IF(H25=0,"-",H29/DiY)</f>
        <v>1.1125719529817484</v>
      </c>
      <c r="I30" s="63">
        <f>IF(I25=0,"-",I29/DiY)</f>
        <v>1.0709540129269539</v>
      </c>
      <c r="J30" s="63">
        <f>IF(J25=0,"-",J29/DiY)</f>
        <v>1.2677835725433924</v>
      </c>
      <c r="K30" s="63">
        <f>IF(K25=0,"-",K29/DiY)</f>
        <v>1.0279459320502415</v>
      </c>
    </row>
    <row r="31" spans="2:11" hidden="1" outlineLevel="1" x14ac:dyDescent="0.25">
      <c r="B31"/>
      <c r="G31" s="89" t="e" cm="1">
        <f t="array" ref="G31">IF(G25=0,"-",
IF($D$249=#REF!,
IF(G30=INDEX(#REF!,MATCH(Calc_Rates!$C30&amp;"_"&amp;Calc_Rates!$F30,#REF!,0),MATCH(Calc_Rates!G$9,#REF!,0)),0,1),
IF(ROUND(G30,8)=ROUND((((
SUMIFS(Calc_NetworkF_1[Ausnet],Calc_NetworkF_1[Cost item],$C24,Calc_NetworkF_1[Customer type],$F25)+
SUMIFS(Calc_Fixed_1[Ausnet],Calc_Fixed_1[Customer type],Calc_Rates!$F30)+SUMIFS(Calc_Fixed_1[Ausnet],Calc_Fixed_1[Customer type],"All"))*(1+Calc_ROM_1[Ausnet]))*(1+GST))/DiY,8),0,1)))</f>
        <v>#REF!</v>
      </c>
      <c r="H31" s="89" t="e" cm="1">
        <f t="array" ref="H31">IF(H25=0,"-",
IF($D$249=#REF!,
IF(H30=INDEX(#REF!,MATCH(Calc_Rates!$C30&amp;"_"&amp;Calc_Rates!$F30,#REF!,0),MATCH(Calc_Rates!H$9,#REF!,0)),0,1),
IF(ROUND(H30,8)=ROUND((((
SUMIFS(Calc_NetworkF_1[Citipower],Calc_NetworkF_1[Cost item],$C24,Calc_NetworkF_1[Customer type],$F25)+
SUMIFS(Calc_Fixed_1[Citipower],Calc_Fixed_1[Customer type],Calc_Rates!$F30)+SUMIFS(Calc_Fixed_1[Citipower],Calc_Fixed_1[Customer type],"All"))*(1+Calc_ROM_1[Citipower]))*(1+GST))/DiY,8),0,1)))</f>
        <v>#REF!</v>
      </c>
      <c r="I31" s="89" t="e" cm="1">
        <f t="array" ref="I31">IF(I25=0,"-",
IF($D$249=#REF!,
IF(I30=INDEX(#REF!,MATCH(Calc_Rates!$C30&amp;"_"&amp;Calc_Rates!$F30,#REF!,0),MATCH(Calc_Rates!I$9,#REF!,0)),0,1),
IF(ROUND(I30,8)=ROUND((((
SUMIFS(Calc_NetworkF_1[Jemena],Calc_NetworkF_1[[Cost item]:[Cost item]],$C24,Calc_NetworkF_1[[Customer type]:[Customer type]],$F25)+
SUMIFS(Calc_Fixed_1[Jemena],Calc_Fixed_1[[Customer type]:[Customer type]],Calc_Rates!$F30)+SUMIFS(Calc_Fixed_1[Jemena],Calc_Fixed_1[[Customer type]:[Customer type]],"All"))*(1+Calc_ROM_1[Jemena]))*(1+GST))/DiY,8),0,1)))</f>
        <v>#REF!</v>
      </c>
      <c r="J31" s="89" t="e" cm="1">
        <f t="array" ref="J31">IF(J25=0,"-",
IF($D$249=#REF!,
IF(J30=INDEX(#REF!,MATCH(Calc_Rates!$C30&amp;"_"&amp;Calc_Rates!$F30,#REF!,0),MATCH(Calc_Rates!J$9,#REF!,0)),0,1),
IF(ROUND(J30,8)=ROUND((((
SUMIFS(Calc_NetworkF_1[Powercor],Calc_NetworkF_1[[Cost item]:[Cost item]],$C24,Calc_NetworkF_1[[Customer type]:[Customer type]],$F25)+
SUMIFS(Calc_Fixed_1[Powercor],Calc_Fixed_1[[Customer type]:[Customer type]],Calc_Rates!$F30)+SUMIFS(Calc_Fixed_1[Powercor],Calc_Fixed_1[[Customer type]:[Customer type]],"All"))*(1+Calc_ROM_1[Powercor]))*(1+GST))/DiY,8),0,1)))</f>
        <v>#REF!</v>
      </c>
      <c r="K31" s="89" t="e" cm="1">
        <f t="array" ref="K31">IF(K25=0,"-",
IF($D$249=#REF!,
IF(K30=INDEX(#REF!,MATCH(Calc_Rates!$C30&amp;"_"&amp;Calc_Rates!$F30,#REF!,0),MATCH(Calc_Rates!K$9,#REF!,0)),0,1),
IF(ROUND(K30,8)=ROUND((((
SUMIFS(Calc_NetworkF_1[United Energy],Calc_NetworkF_1[[Cost item]:[Cost item]],$C24,Calc_NetworkF_1[[Customer type]:[Customer type]],$F25)+
SUMIFS(Calc_Fixed_1[United Energy],Calc_Fixed_1[[Customer type]:[Customer type]],Calc_Rates!$F30)+SUMIFS(Calc_Fixed_1[United Energy],Calc_Fixed_1[[Customer type]:[Customer type]],"All"))*(1+Calc_ROM_1[United Energy]))*(1+GST))/DiY,8),0,1)))</f>
        <v>#REF!</v>
      </c>
    </row>
    <row r="32" spans="2:11" ht="15.75" collapsed="1" x14ac:dyDescent="0.25">
      <c r="B32"/>
      <c r="C32" s="23" t="s">
        <v>215</v>
      </c>
    </row>
    <row r="33" spans="2:11" ht="15.75" hidden="1" outlineLevel="1" x14ac:dyDescent="0.25">
      <c r="B33"/>
      <c r="C33" s="70" t="s">
        <v>339</v>
      </c>
    </row>
    <row r="34" spans="2:11" hidden="1" outlineLevel="1" x14ac:dyDescent="0.25">
      <c r="B34"/>
      <c r="C34" s="18" t="s">
        <v>222</v>
      </c>
      <c r="D34" s="18" t="s">
        <v>9</v>
      </c>
      <c r="E34" s="18" t="s">
        <v>45</v>
      </c>
      <c r="F34" s="18" t="s">
        <v>32</v>
      </c>
      <c r="G34" s="50">
        <f>SUMIFS(Calc_NetworkF_1[Ausnet],Calc_NetworkF_1[[Cost item]:[Cost item]],$C33,Calc_NetworkF_1[[Customer type]:[Customer type]],$F34)</f>
        <v>111.11</v>
      </c>
      <c r="H34" s="50">
        <f>SUMIFS(Calc_NetworkF_1[Citipower],Calc_NetworkF_1[[Cost item]:[Cost item]],$C33,Calc_NetworkF_1[[Customer type]:[Customer type]],$F34)</f>
        <v>160.01599999999999</v>
      </c>
      <c r="I34" s="50">
        <f>SUMIFS(Calc_NetworkF_1[Jemena],Calc_NetworkF_1[[Cost item]:[Cost item]],$C33,Calc_NetworkF_1[[Customer type]:[Customer type]],$F34)</f>
        <v>134.46600000000001</v>
      </c>
      <c r="J34" s="50">
        <f>SUMIFS(Calc_NetworkF_1[Powercor],Calc_NetworkF_1[[Cost item]:[Cost item]],$C33,Calc_NetworkF_1[[Customer type]:[Customer type]],$F34)</f>
        <v>179.98150000000001</v>
      </c>
      <c r="K34" s="50">
        <f>SUMIFS(Calc_NetworkF_1[United Energy],Calc_NetworkF_1[[Cost item]:[Cost item]],$C33,Calc_NetworkF_1[[Customer type]:[Customer type]],$F34)</f>
        <v>120.01199999999999</v>
      </c>
    </row>
    <row r="35" spans="2:11" hidden="1" outlineLevel="1" x14ac:dyDescent="0.25">
      <c r="B35"/>
      <c r="C35" s="18" t="s">
        <v>203</v>
      </c>
      <c r="D35" s="18" t="s">
        <v>9</v>
      </c>
      <c r="E35" s="18" t="s">
        <v>45</v>
      </c>
      <c r="F35" s="18" t="s">
        <v>32</v>
      </c>
      <c r="G35" s="62">
        <f>IF(G34=0,"-",SUMIFS(Calc_Fixed_1[Ausnet],Calc_Fixed_1[[Customer type]:[Customer type]],"All")+SUMIFS(Calc_Fixed_1[Ausnet],Calc_Fixed_1[[Customer type]:[Customer type]],$F36))</f>
        <v>262.43472178452231</v>
      </c>
      <c r="H35" s="62">
        <f>IF(H34=0,"-",SUMIFS(Calc_Fixed_1[Citipower],Calc_Fixed_1[[Customer type]:[Customer type]],"All")+SUMIFS(Calc_Fixed_1[Citipower],Calc_Fixed_1[[Customer type]:[Customer type]],$F36))</f>
        <v>258.1347217845223</v>
      </c>
      <c r="I35" s="62">
        <f>IF(I34=0,"-",SUMIFS(Calc_Fixed_1[Jemena],Calc_Fixed_1[[Customer type]:[Customer type]],"All")+SUMIFS(Calc_Fixed_1[Jemena],Calc_Fixed_1[[Customer type]:[Customer type]],$F36))</f>
        <v>252.92472178452229</v>
      </c>
      <c r="J35" s="62">
        <f>IF(J34=0,"-",SUMIFS(Calc_Fixed_1[Powercor],Calc_Fixed_1[[Customer type]:[Customer type]],"All")+SUMIFS(Calc_Fixed_1[Powercor],Calc_Fixed_1[[Customer type]:[Customer type]],$F36))</f>
        <v>256.73472178452232</v>
      </c>
      <c r="K35" s="62">
        <f>IF(K34=0,"-",SUMIFS(Calc_Fixed_1[United Energy],Calc_Fixed_1[[Customer type]:[Customer type]],"All")+SUMIFS(Calc_Fixed_1[United Energy],Calc_Fixed_1[[Customer type]:[Customer type]],$F36))</f>
        <v>241.65472178452228</v>
      </c>
    </row>
    <row r="36" spans="2:11" hidden="1" outlineLevel="1" x14ac:dyDescent="0.25">
      <c r="B36"/>
      <c r="C36" s="18" t="s">
        <v>139</v>
      </c>
      <c r="D36" s="18" t="s">
        <v>9</v>
      </c>
      <c r="E36" s="18" t="s">
        <v>45</v>
      </c>
      <c r="F36" s="18" t="s">
        <v>32</v>
      </c>
      <c r="G36" s="62" cm="1">
        <f t="array" ref="G36">IF(G34=0,"-",(G34+G35)*Calc_ROM_1[Ausnet])</f>
        <v>22.56210119578515</v>
      </c>
      <c r="H36" s="62" cm="1">
        <f t="array" ref="H36">IF(H34=0,"-",(H34+H35)*Calc_ROM_1[Citipower])</f>
        <v>25.256303595785145</v>
      </c>
      <c r="I36" s="62" cm="1">
        <f t="array" ref="I36">IF(I34=0,"-",(I34+I35)*Calc_ROM_1[Jemena])</f>
        <v>23.398399595785147</v>
      </c>
      <c r="J36" s="62" cm="1">
        <f t="array" ref="J36">IF(J34=0,"-",(J34+J35)*Calc_ROM_1[Powercor])</f>
        <v>26.377659795785149</v>
      </c>
      <c r="K36" s="62" cm="1">
        <f t="array" ref="K36">IF(K34=0,"-",(K34+K35)*Calc_ROM_1[United Energy])</f>
        <v>21.844669995785146</v>
      </c>
    </row>
    <row r="37" spans="2:11" hidden="1" outlineLevel="1" x14ac:dyDescent="0.25">
      <c r="B37"/>
      <c r="C37" s="18" t="s">
        <v>213</v>
      </c>
      <c r="D37" s="18" t="s">
        <v>9</v>
      </c>
      <c r="E37" s="18" t="s">
        <v>45</v>
      </c>
      <c r="F37" s="18" t="s">
        <v>32</v>
      </c>
      <c r="G37" s="62">
        <f>IF(G34=0,"-",(G34+G35+G36)*GST)</f>
        <v>39.610682298030753</v>
      </c>
      <c r="H37" s="62">
        <f>IF(H34=0,"-",(H34+H35+H36)*GST)</f>
        <v>44.34070253803074</v>
      </c>
      <c r="I37" s="62">
        <f>IF(I34=0,"-",(I34+I35+I36)*GST)</f>
        <v>41.078912138030745</v>
      </c>
      <c r="J37" s="62">
        <f>IF(J34=0,"-",(J34+J35+J36)*GST)</f>
        <v>46.309388158030742</v>
      </c>
      <c r="K37" s="62">
        <f>IF(K34=0,"-",(K34+K35+K36)*GST)</f>
        <v>38.351139178030742</v>
      </c>
    </row>
    <row r="38" spans="2:11" hidden="1" outlineLevel="1" x14ac:dyDescent="0.25">
      <c r="B38"/>
      <c r="C38" s="18" t="s">
        <v>214</v>
      </c>
      <c r="D38" s="18" t="s">
        <v>9</v>
      </c>
      <c r="E38" s="18" t="s">
        <v>45</v>
      </c>
      <c r="F38" s="18" t="s">
        <v>32</v>
      </c>
      <c r="G38" s="62">
        <f>IF(G34=0,"-",G34+G35+G36+G37)</f>
        <v>435.71750527833819</v>
      </c>
      <c r="H38" s="62">
        <f t="shared" ref="H38" si="5">IF(H34=0,"-",H34+H35+H36+H37)</f>
        <v>487.74772791833811</v>
      </c>
      <c r="I38" s="62">
        <f t="shared" ref="I38" si="6">IF(I34=0,"-",I34+I35+I36+I37)</f>
        <v>451.86803351833817</v>
      </c>
      <c r="J38" s="62">
        <f t="shared" ref="J38" si="7">IF(J34=0,"-",J34+J35+J36+J37)</f>
        <v>509.40326973833817</v>
      </c>
      <c r="K38" s="62">
        <f t="shared" ref="K38" si="8">IF(K34=0,"-",K34+K35+K36+K37)</f>
        <v>421.86253095833814</v>
      </c>
    </row>
    <row r="39" spans="2:11" hidden="1" outlineLevel="1" x14ac:dyDescent="0.25">
      <c r="B39"/>
      <c r="C39" s="18" t="str">
        <f>C33</f>
        <v>Anytime - supply</v>
      </c>
      <c r="D39" s="18" t="s">
        <v>9</v>
      </c>
      <c r="E39" s="18" t="s">
        <v>45</v>
      </c>
      <c r="F39" s="18" t="s">
        <v>32</v>
      </c>
      <c r="G39" s="63">
        <f>IF(G34=0,"-",G38/DiY)</f>
        <v>1.1937465898036663</v>
      </c>
      <c r="H39" s="63">
        <f>IF(H34=0,"-",H38/DiY)</f>
        <v>1.3362951449817482</v>
      </c>
      <c r="I39" s="63">
        <f>IF(I34=0,"-",I38/DiY)</f>
        <v>1.2379946123790087</v>
      </c>
      <c r="J39" s="63">
        <f>IF(J34=0,"-",J38/DiY)</f>
        <v>1.3956253965433922</v>
      </c>
      <c r="K39" s="63">
        <f>IF(K34=0,"-",K38/DiY)</f>
        <v>1.1557877560502414</v>
      </c>
    </row>
    <row r="40" spans="2:11" hidden="1" outlineLevel="1" x14ac:dyDescent="0.25">
      <c r="B40"/>
      <c r="G40" s="89" t="e" cm="1">
        <f t="array" ref="G40">IF(G34=0,"-",
IF($D$249=#REF!,
IF(G39=INDEX(#REF!,MATCH(Calc_Rates!$C39&amp;"_"&amp;Calc_Rates!$F39,#REF!,0),MATCH(Calc_Rates!G$9,#REF!,0)),0,1),
IF(ROUND(G39,8)=ROUND((((
SUMIFS(Calc_NetworkF_1[Ausnet],Calc_NetworkF_1[Cost item],$C33,Calc_NetworkF_1[Customer type],$F34)+
SUMIFS(Calc_Fixed_1[Ausnet],Calc_Fixed_1[Customer type],Calc_Rates!$F39)+SUMIFS(Calc_Fixed_1[Ausnet],Calc_Fixed_1[Customer type],"All"))*(1+Calc_ROM_1[Ausnet]))*(1+GST))/DiY,8),0,1)))</f>
        <v>#REF!</v>
      </c>
      <c r="H40" s="89" t="e" cm="1">
        <f t="array" ref="H40">IF(H34=0,"-",
IF($D$249=#REF!,
IF(H39=INDEX(#REF!,MATCH(Calc_Rates!$C39&amp;"_"&amp;Calc_Rates!$F39,#REF!,0),MATCH(Calc_Rates!H$9,#REF!,0)),0,1),
IF(ROUND(H39,8)=ROUND((((
SUMIFS(Calc_NetworkF_1[Citipower],Calc_NetworkF_1[Cost item],$C33,Calc_NetworkF_1[Customer type],$F34)+
SUMIFS(Calc_Fixed_1[Citipower],Calc_Fixed_1[Customer type],Calc_Rates!$F39)+SUMIFS(Calc_Fixed_1[Citipower],Calc_Fixed_1[Customer type],"All"))*(1+Calc_ROM_1[Citipower]))*(1+GST))/DiY,8),0,1)))</f>
        <v>#REF!</v>
      </c>
      <c r="I40" s="89" t="e" cm="1">
        <f t="array" ref="I40">IF(I34=0,"-",
IF($D$249=#REF!,
IF(I39=INDEX(#REF!,MATCH(Calc_Rates!$C39&amp;"_"&amp;Calc_Rates!$F39,#REF!,0),MATCH(Calc_Rates!I$9,#REF!,0)),0,1),
IF(ROUND(I39,8)=ROUND((((
SUMIFS(Calc_NetworkF_1[Jemena],Calc_NetworkF_1[[Cost item]:[Cost item]],$C33,Calc_NetworkF_1[[Customer type]:[Customer type]],$F34)+
SUMIFS(Calc_Fixed_1[Jemena],Calc_Fixed_1[[Customer type]:[Customer type]],Calc_Rates!$F39)+SUMIFS(Calc_Fixed_1[Jemena],Calc_Fixed_1[[Customer type]:[Customer type]],"All"))*(1+Calc_ROM_1[Jemena]))*(1+GST))/DiY,8),0,1)))</f>
        <v>#REF!</v>
      </c>
      <c r="J40" s="89" t="e" cm="1">
        <f t="array" ref="J40">IF(J34=0,"-",
IF($D$249=#REF!,
IF(J39=INDEX(#REF!,MATCH(Calc_Rates!$C39&amp;"_"&amp;Calc_Rates!$F39,#REF!,0),MATCH(Calc_Rates!J$9,#REF!,0)),0,1),
IF(ROUND(J39,8)=ROUND((((
SUMIFS(Calc_NetworkF_1[Powercor],Calc_NetworkF_1[[Cost item]:[Cost item]],$C33,Calc_NetworkF_1[[Customer type]:[Customer type]],$F34)+
SUMIFS(Calc_Fixed_1[Powercor],Calc_Fixed_1[[Customer type]:[Customer type]],Calc_Rates!$F39)+SUMIFS(Calc_Fixed_1[Powercor],Calc_Fixed_1[[Customer type]:[Customer type]],"All"))*(1+Calc_ROM_1[Powercor]))*(1+GST))/DiY,8),0,1)))</f>
        <v>#REF!</v>
      </c>
      <c r="K40" s="89" t="e" cm="1">
        <f t="array" ref="K40">IF(K34=0,"-",
IF($D$249=#REF!,
IF(K39=INDEX(#REF!,MATCH(Calc_Rates!$C39&amp;"_"&amp;Calc_Rates!$F39,#REF!,0),MATCH(Calc_Rates!K$9,#REF!,0)),0,1),
IF(ROUND(K39,8)=ROUND((((
SUMIFS(Calc_NetworkF_1[United Energy],Calc_NetworkF_1[[Cost item]:[Cost item]],$C33,Calc_NetworkF_1[[Customer type]:[Customer type]],$F34)+
SUMIFS(Calc_Fixed_1[United Energy],Calc_Fixed_1[[Customer type]:[Customer type]],Calc_Rates!$F39)+SUMIFS(Calc_Fixed_1[United Energy],Calc_Fixed_1[[Customer type]:[Customer type]],"All"))*(1+Calc_ROM_1[United Energy]))*(1+GST))/DiY,8),0,1)))</f>
        <v>#REF!</v>
      </c>
    </row>
    <row r="41" spans="2:11" ht="15.75" hidden="1" outlineLevel="1" x14ac:dyDescent="0.25">
      <c r="B41"/>
      <c r="C41" s="70" t="s">
        <v>340</v>
      </c>
    </row>
    <row r="42" spans="2:11" hidden="1" outlineLevel="1" x14ac:dyDescent="0.25">
      <c r="B42"/>
      <c r="C42" s="18" t="s">
        <v>222</v>
      </c>
      <c r="D42" s="18" t="s">
        <v>9</v>
      </c>
      <c r="E42" s="18" t="s">
        <v>45</v>
      </c>
      <c r="F42" s="18" t="s">
        <v>32</v>
      </c>
      <c r="G42" s="50">
        <f>SUMIFS(Calc_NetworkF_1[Ausnet],Calc_NetworkF_1[[Cost item]:[Cost item]],$C41,Calc_NetworkF_1[[Customer type]:[Customer type]],$F42)</f>
        <v>111.11</v>
      </c>
      <c r="H42" s="50">
        <f>SUMIFS(Calc_NetworkF_1[Citipower],Calc_NetworkF_1[[Cost item]:[Cost item]],$C41,Calc_NetworkF_1[[Customer type]:[Customer type]],$F42)</f>
        <v>160.01599999999999</v>
      </c>
      <c r="I42" s="50">
        <f>SUMIFS(Calc_NetworkF_1[Jemena],Calc_NetworkF_1[[Cost item]:[Cost item]],$C41,Calc_NetworkF_1[[Customer type]:[Customer type]],$F42)</f>
        <v>242.124</v>
      </c>
      <c r="J42" s="50">
        <f>SUMIFS(Calc_NetworkF_1[Powercor],Calc_NetworkF_1[[Cost item]:[Cost item]],$C41,Calc_NetworkF_1[[Customer type]:[Customer type]],$F42)</f>
        <v>179.98150000000001</v>
      </c>
      <c r="K42" s="50">
        <f>SUMIFS(Calc_NetworkF_1[United Energy],Calc_NetworkF_1[[Cost item]:[Cost item]],$C41,Calc_NetworkF_1[[Customer type]:[Customer type]],$F42)</f>
        <v>120.01199999999999</v>
      </c>
    </row>
    <row r="43" spans="2:11" hidden="1" outlineLevel="1" x14ac:dyDescent="0.25">
      <c r="B43"/>
      <c r="C43" s="18" t="s">
        <v>203</v>
      </c>
      <c r="D43" s="18" t="s">
        <v>9</v>
      </c>
      <c r="E43" s="18" t="s">
        <v>45</v>
      </c>
      <c r="F43" s="18" t="s">
        <v>32</v>
      </c>
      <c r="G43" s="62">
        <f>IF(G42=0,"-",SUMIFS(Calc_Fixed_1[Ausnet],Calc_Fixed_1[[Customer type]:[Customer type]],"All")+SUMIFS(Calc_Fixed_1[Ausnet],Calc_Fixed_1[[Customer type]:[Customer type]],$F44))</f>
        <v>262.43472178452231</v>
      </c>
      <c r="H43" s="62">
        <f>IF(H42=0,"-",SUMIFS(Calc_Fixed_1[Citipower],Calc_Fixed_1[[Customer type]:[Customer type]],"All")+SUMIFS(Calc_Fixed_1[Citipower],Calc_Fixed_1[[Customer type]:[Customer type]],$F44))</f>
        <v>258.1347217845223</v>
      </c>
      <c r="I43" s="62">
        <f>IF(I42=0,"-",SUMIFS(Calc_Fixed_1[Jemena],Calc_Fixed_1[[Customer type]:[Customer type]],"All")+SUMIFS(Calc_Fixed_1[Jemena],Calc_Fixed_1[[Customer type]:[Customer type]],$F44))</f>
        <v>252.92472178452229</v>
      </c>
      <c r="J43" s="62">
        <f>IF(J42=0,"-",SUMIFS(Calc_Fixed_1[Powercor],Calc_Fixed_1[[Customer type]:[Customer type]],"All")+SUMIFS(Calc_Fixed_1[Powercor],Calc_Fixed_1[[Customer type]:[Customer type]],$F44))</f>
        <v>256.73472178452232</v>
      </c>
      <c r="K43" s="62">
        <f>IF(K42=0,"-",SUMIFS(Calc_Fixed_1[United Energy],Calc_Fixed_1[[Customer type]:[Customer type]],"All")+SUMIFS(Calc_Fixed_1[United Energy],Calc_Fixed_1[[Customer type]:[Customer type]],$F44))</f>
        <v>241.65472178452228</v>
      </c>
    </row>
    <row r="44" spans="2:11" hidden="1" outlineLevel="1" x14ac:dyDescent="0.25">
      <c r="B44"/>
      <c r="C44" s="18" t="s">
        <v>139</v>
      </c>
      <c r="D44" s="18" t="s">
        <v>9</v>
      </c>
      <c r="E44" s="18" t="s">
        <v>45</v>
      </c>
      <c r="F44" s="18" t="s">
        <v>32</v>
      </c>
      <c r="G44" s="62" cm="1">
        <f t="array" ref="G44">IF(G42=0,"-",(G42+G43)*Calc_ROM_1[Ausnet])</f>
        <v>22.56210119578515</v>
      </c>
      <c r="H44" s="62" cm="1">
        <f t="array" ref="H44">IF(H42=0,"-",(H42+H43)*Calc_ROM_1[Citipower])</f>
        <v>25.256303595785145</v>
      </c>
      <c r="I44" s="62" cm="1">
        <f t="array" ref="I44">IF(I42=0,"-",(I42+I43)*Calc_ROM_1[Jemena])</f>
        <v>29.900942795785149</v>
      </c>
      <c r="J44" s="62" cm="1">
        <f t="array" ref="J44">IF(J42=0,"-",(J42+J43)*Calc_ROM_1[Powercor])</f>
        <v>26.377659795785149</v>
      </c>
      <c r="K44" s="62" cm="1">
        <f t="array" ref="K44">IF(K42=0,"-",(K42+K43)*Calc_ROM_1[United Energy])</f>
        <v>21.844669995785146</v>
      </c>
    </row>
    <row r="45" spans="2:11" hidden="1" outlineLevel="1" x14ac:dyDescent="0.25">
      <c r="B45"/>
      <c r="C45" s="18" t="s">
        <v>213</v>
      </c>
      <c r="D45" s="18" t="s">
        <v>9</v>
      </c>
      <c r="E45" s="18" t="s">
        <v>45</v>
      </c>
      <c r="F45" s="18" t="s">
        <v>32</v>
      </c>
      <c r="G45" s="62">
        <f>IF(G42=0,"-",(G42+G43+G44)*GST)</f>
        <v>39.610682298030753</v>
      </c>
      <c r="H45" s="62">
        <f>IF(H42=0,"-",(H42+H43+H44)*GST)</f>
        <v>44.34070253803074</v>
      </c>
      <c r="I45" s="62">
        <f>IF(I42=0,"-",(I42+I43+I44)*GST)</f>
        <v>52.494966458030746</v>
      </c>
      <c r="J45" s="62">
        <f>IF(J42=0,"-",(J42+J43+J44)*GST)</f>
        <v>46.309388158030742</v>
      </c>
      <c r="K45" s="62">
        <f>IF(K42=0,"-",(K42+K43+K44)*GST)</f>
        <v>38.351139178030742</v>
      </c>
    </row>
    <row r="46" spans="2:11" hidden="1" outlineLevel="1" x14ac:dyDescent="0.25">
      <c r="B46"/>
      <c r="C46" s="18" t="s">
        <v>214</v>
      </c>
      <c r="D46" s="18" t="s">
        <v>9</v>
      </c>
      <c r="E46" s="18" t="s">
        <v>45</v>
      </c>
      <c r="F46" s="18" t="s">
        <v>32</v>
      </c>
      <c r="G46" s="62">
        <f>IF(G42=0,"-",G42+G43+G44+G45)</f>
        <v>435.71750527833819</v>
      </c>
      <c r="H46" s="62">
        <f t="shared" ref="H46" si="9">IF(H42=0,"-",H42+H43+H44+H45)</f>
        <v>487.74772791833811</v>
      </c>
      <c r="I46" s="62">
        <f t="shared" ref="I46" si="10">IF(I42=0,"-",I42+I43+I44+I45)</f>
        <v>577.44463103833812</v>
      </c>
      <c r="J46" s="62">
        <f t="shared" ref="J46" si="11">IF(J42=0,"-",J42+J43+J44+J45)</f>
        <v>509.40326973833817</v>
      </c>
      <c r="K46" s="62">
        <f t="shared" ref="K46" si="12">IF(K42=0,"-",K42+K43+K44+K45)</f>
        <v>421.86253095833814</v>
      </c>
    </row>
    <row r="47" spans="2:11" hidden="1" outlineLevel="1" x14ac:dyDescent="0.25">
      <c r="B47"/>
      <c r="C47" s="18" t="str">
        <f>C41</f>
        <v>TOU - supply</v>
      </c>
      <c r="D47" s="18" t="s">
        <v>9</v>
      </c>
      <c r="E47" s="18" t="s">
        <v>45</v>
      </c>
      <c r="F47" s="18" t="s">
        <v>32</v>
      </c>
      <c r="G47" s="63">
        <f>IF(G42=0,"-",G46/DiY)</f>
        <v>1.1937465898036663</v>
      </c>
      <c r="H47" s="63">
        <f>IF(H42=0,"-",H46/DiY)</f>
        <v>1.3362951449817482</v>
      </c>
      <c r="I47" s="63">
        <f>IF(I42=0,"-",I46/DiY)</f>
        <v>1.5820400850365428</v>
      </c>
      <c r="J47" s="63">
        <f>IF(J42=0,"-",J46/DiY)</f>
        <v>1.3956253965433922</v>
      </c>
      <c r="K47" s="63">
        <f>IF(K42=0,"-",K46/DiY)</f>
        <v>1.1557877560502414</v>
      </c>
    </row>
    <row r="48" spans="2:11" hidden="1" outlineLevel="1" x14ac:dyDescent="0.25">
      <c r="B48"/>
      <c r="G48" s="89" t="e" cm="1">
        <f t="array" ref="G48">IF(G42=0,"-",
IF($D$249=#REF!,
IF(G47=INDEX(#REF!,MATCH(Calc_Rates!$C47&amp;"_"&amp;Calc_Rates!$F47,#REF!,0),MATCH(Calc_Rates!G$9,#REF!,0)),0,1),
IF(ROUND(G47,8)=ROUND((((
SUMIFS(Calc_NetworkF_1[Ausnet],Calc_NetworkF_1[Cost item],$C41,Calc_NetworkF_1[Customer type],$F42)+
SUMIFS(Calc_Fixed_1[Ausnet],Calc_Fixed_1[Customer type],Calc_Rates!$F47)+SUMIFS(Calc_Fixed_1[Ausnet],Calc_Fixed_1[Customer type],"All"))*(1+Calc_ROM_1[Ausnet]))*(1+GST))/DiY,8),0,1)))</f>
        <v>#REF!</v>
      </c>
      <c r="H48" s="89" t="e" cm="1">
        <f t="array" ref="H48">IF(H42=0,"-",
IF($D$249=#REF!,
IF(H47=INDEX(#REF!,MATCH(Calc_Rates!$C47&amp;"_"&amp;Calc_Rates!$F47,#REF!,0),MATCH(Calc_Rates!H$9,#REF!,0)),0,1),
IF(ROUND(H47,8)=ROUND((((
SUMIFS(Calc_NetworkF_1[Citipower],Calc_NetworkF_1[Cost item],$C41,Calc_NetworkF_1[Customer type],$F42)+
SUMIFS(Calc_Fixed_1[Citipower],Calc_Fixed_1[Customer type],Calc_Rates!$F47)+SUMIFS(Calc_Fixed_1[Citipower],Calc_Fixed_1[Customer type],"All"))*(1+Calc_ROM_1[Citipower]))*(1+GST))/DiY,8),0,1)))</f>
        <v>#REF!</v>
      </c>
      <c r="I48" s="89" t="e" cm="1">
        <f t="array" ref="I48">IF(I42=0,"-",
IF($D$249=#REF!,
IF(I47=INDEX(#REF!,MATCH(Calc_Rates!$C47&amp;"_"&amp;Calc_Rates!$F47,#REF!,0),MATCH(Calc_Rates!I$9,#REF!,0)),0,1),
IF(ROUND(I47,8)=ROUND((((
SUMIFS(Calc_NetworkF_1[Jemena],Calc_NetworkF_1[[Cost item]:[Cost item]],$C41,Calc_NetworkF_1[[Customer type]:[Customer type]],$F42)+
SUMIFS(Calc_Fixed_1[Jemena],Calc_Fixed_1[[Customer type]:[Customer type]],Calc_Rates!$F47)+SUMIFS(Calc_Fixed_1[Jemena],Calc_Fixed_1[[Customer type]:[Customer type]],"All"))*(1+Calc_ROM_1[Jemena]))*(1+GST))/DiY,8),0,1)))</f>
        <v>#REF!</v>
      </c>
      <c r="J48" s="89" t="e" cm="1">
        <f t="array" ref="J48">IF(J42=0,"-",
IF($D$249=#REF!,
IF(J47=INDEX(#REF!,MATCH(Calc_Rates!$C47&amp;"_"&amp;Calc_Rates!$F47,#REF!,0),MATCH(Calc_Rates!J$9,#REF!,0)),0,1),
IF(ROUND(J47,8)=ROUND((((
SUMIFS(Calc_NetworkF_1[Powercor],Calc_NetworkF_1[[Cost item]:[Cost item]],$C41,Calc_NetworkF_1[[Customer type]:[Customer type]],$F42)+
SUMIFS(Calc_Fixed_1[Powercor],Calc_Fixed_1[[Customer type]:[Customer type]],Calc_Rates!$F47)+SUMIFS(Calc_Fixed_1[Powercor],Calc_Fixed_1[[Customer type]:[Customer type]],"All"))*(1+Calc_ROM_1[Powercor]))*(1+GST))/DiY,8),0,1)))</f>
        <v>#REF!</v>
      </c>
      <c r="K48" s="89" t="e" cm="1">
        <f t="array" ref="K48">IF(K42=0,"-",
IF($D$249=#REF!,
IF(K47=INDEX(#REF!,MATCH(Calc_Rates!$C47&amp;"_"&amp;Calc_Rates!$F47,#REF!,0),MATCH(Calc_Rates!K$9,#REF!,0)),0,1),
IF(ROUND(K47,8)=ROUND((((
SUMIFS(Calc_NetworkF_1[United Energy],Calc_NetworkF_1[[Cost item]:[Cost item]],$C41,Calc_NetworkF_1[[Customer type]:[Customer type]],$F42)+
SUMIFS(Calc_Fixed_1[United Energy],Calc_Fixed_1[[Customer type]:[Customer type]],Calc_Rates!$F47)+SUMIFS(Calc_Fixed_1[United Energy],Calc_Fixed_1[[Customer type]:[Customer type]],"All"))*(1+Calc_ROM_1[United Energy]))*(1+GST))/DiY,8),0,1)))</f>
        <v>#REF!</v>
      </c>
    </row>
    <row r="49" spans="2:14" x14ac:dyDescent="0.25">
      <c r="B49"/>
    </row>
    <row r="50" spans="2:14" ht="15.75" x14ac:dyDescent="0.25">
      <c r="B50"/>
      <c r="C50" s="34" t="s">
        <v>216</v>
      </c>
      <c r="D50" s="34" t="s">
        <v>37</v>
      </c>
      <c r="E50" s="34" t="s">
        <v>38</v>
      </c>
      <c r="F50" s="34" t="s">
        <v>30</v>
      </c>
      <c r="G50" s="49" t="s">
        <v>204</v>
      </c>
      <c r="H50" s="49" t="s">
        <v>205</v>
      </c>
      <c r="I50" s="49" t="s">
        <v>206</v>
      </c>
      <c r="J50" s="49" t="s">
        <v>207</v>
      </c>
      <c r="K50" s="49" t="s">
        <v>208</v>
      </c>
    </row>
    <row r="51" spans="2:14" x14ac:dyDescent="0.25">
      <c r="B51"/>
      <c r="C51" s="18" t="s">
        <v>217</v>
      </c>
      <c r="D51" s="18" t="s">
        <v>66</v>
      </c>
      <c r="E51" s="18" t="s">
        <v>218</v>
      </c>
      <c r="F51" s="18" t="s">
        <v>46</v>
      </c>
      <c r="G51" s="69">
        <f>SUMIFS(Calc_EnviroVEU_1[Ausnet],Calc_EnviroVEU_1[[Fixed/Variable]:[Fixed/Variable]],$D51,Calc_EnviroVEU_1[[Customer type]:[Customer type]],$F51,Calc_EnviroVEU_1[[Cost item]:[Cost item]],"VEU cost")+
SUMIFS(Calc_EnviroLRET_1[Ausnet],Calc_EnviroLRET_1[[Fixed/Variable]:[Fixed/Variable]],$D51,Calc_EnviroLRET_1[[Customer type]:[Customer type]],$F51,Calc_EnviroLRET_1[[Cost item]:[Cost item]],"LRET cost")+
SUMIFS(Calc_EnviroSRES_1[Ausnet],Calc_EnviroSRES_1[[Fixed/Variable]:[Fixed/Variable]],$D51,Calc_EnviroSRES_1[[Customer type]:[Customer type]],$F51,Calc_EnviroSRES_1[[Cost item]:[Cost item]],"SRES cost")</f>
        <v>2.3197834914089437E-2</v>
      </c>
      <c r="H51" s="69">
        <f>SUMIFS(Calc_EnviroVEU_1[Citipower],Calc_EnviroVEU_1[[Fixed/Variable]:[Fixed/Variable]],$D51,Calc_EnviroVEU_1[[Customer type]:[Customer type]],$F51,Calc_EnviroVEU_1[[Cost item]:[Cost item]],"VEU cost")+
SUMIFS(Calc_EnviroLRET_1[Citipower],Calc_EnviroLRET_1[[Fixed/Variable]:[Fixed/Variable]],$D51,Calc_EnviroLRET_1[[Customer type]:[Customer type]],$F51,Calc_EnviroLRET_1[[Cost item]:[Cost item]],"LRET cost")+
SUMIFS(Calc_EnviroSRES_1[Citipower],Calc_EnviroSRES_1[[Fixed/Variable]:[Fixed/Variable]],$D51,Calc_EnviroSRES_1[[Customer type]:[Customer type]],$F51,Calc_EnviroSRES_1[[Cost item]:[Cost item]],"SRES cost")</f>
        <v>2.3197834914089437E-2</v>
      </c>
      <c r="I51" s="69">
        <f>SUMIFS(Calc_EnviroVEU_1[Jemena],Calc_EnviroVEU_1[[Fixed/Variable]:[Fixed/Variable]],$D51,Calc_EnviroVEU_1[[Customer type]:[Customer type]],$F51,Calc_EnviroVEU_1[[Cost item]:[Cost item]],"VEU cost")+
SUMIFS(Calc_EnviroLRET_1[Jemena],Calc_EnviroLRET_1[[Fixed/Variable]:[Fixed/Variable]],$D51,Calc_EnviroLRET_1[[Customer type]:[Customer type]],$F51,Calc_EnviroLRET_1[[Cost item]:[Cost item]],"LRET cost")+
SUMIFS(Calc_EnviroSRES_1[Jemena],Calc_EnviroSRES_1[[Fixed/Variable]:[Fixed/Variable]],$D51,Calc_EnviroSRES_1[[Customer type]:[Customer type]],$F51,Calc_EnviroSRES_1[[Cost item]:[Cost item]],"SRES cost")</f>
        <v>2.3197834914089437E-2</v>
      </c>
      <c r="J51" s="69">
        <f>SUMIFS(Calc_EnviroVEU_1[Powercor],Calc_EnviroVEU_1[[Fixed/Variable]:[Fixed/Variable]],$D51,Calc_EnviroVEU_1[[Customer type]:[Customer type]],$F51,Calc_EnviroVEU_1[[Cost item]:[Cost item]],"VEU cost")+
SUMIFS(Calc_EnviroLRET_1[Powercor],Calc_EnviroLRET_1[[Fixed/Variable]:[Fixed/Variable]],$D51,Calc_EnviroLRET_1[[Customer type]:[Customer type]],$F51,Calc_EnviroLRET_1[[Cost item]:[Cost item]],"LRET cost")+
SUMIFS(Calc_EnviroSRES_1[Powercor],Calc_EnviroSRES_1[[Fixed/Variable]:[Fixed/Variable]],$D51,Calc_EnviroSRES_1[[Customer type]:[Customer type]],$F51,Calc_EnviroSRES_1[[Cost item]:[Cost item]],"SRES cost")</f>
        <v>2.3197834914089437E-2</v>
      </c>
      <c r="K51" s="69">
        <f>SUMIFS(Calc_EnviroVEU_1[United Energy],Calc_EnviroVEU_1[[Fixed/Variable]:[Fixed/Variable]],$D51,Calc_EnviroVEU_1[[Customer type]:[Customer type]],$F51,Calc_EnviroVEU_1[[Cost item]:[Cost item]],"VEU cost")+
SUMIFS(Calc_EnviroLRET_1[United Energy],Calc_EnviroLRET_1[[Fixed/Variable]:[Fixed/Variable]],$D51,Calc_EnviroLRET_1[[Customer type]:[Customer type]],$F51,Calc_EnviroLRET_1[[Cost item]:[Cost item]],"LRET cost")+
SUMIFS(Calc_EnviroSRES_1[United Energy],Calc_EnviroSRES_1[[Fixed/Variable]:[Fixed/Variable]],$D51,Calc_EnviroSRES_1[[Customer type]:[Customer type]],$F51,Calc_EnviroSRES_1[[Cost item]:[Cost item]],"SRES cost")</f>
        <v>2.3197834914089437E-2</v>
      </c>
    </row>
    <row r="52" spans="2:14" x14ac:dyDescent="0.25">
      <c r="B52"/>
      <c r="C52" s="18" t="s">
        <v>209</v>
      </c>
      <c r="D52" s="18" t="s">
        <v>66</v>
      </c>
      <c r="E52" s="18" t="s">
        <v>218</v>
      </c>
      <c r="F52" s="18" t="s">
        <v>46</v>
      </c>
      <c r="G52" s="69">
        <f>SUMIFS(Calc_OtherCosts_1[Ausnet],Calc_OtherCosts_1[Fixed/Variable],$D52,Calc_OtherCosts_1[Customer type],$F52)</f>
        <v>7.3408637826745697E-4</v>
      </c>
      <c r="H52" s="69">
        <f>SUMIFS(Calc_OtherCosts_1[Citipower],Calc_OtherCosts_1[[Fixed/Variable]:[Fixed/Variable]],$D52,Calc_OtherCosts_1[[Customer type]:[Customer type]],$F52)</f>
        <v>7.3408637826745697E-4</v>
      </c>
      <c r="I52" s="69">
        <f>SUMIFS(Calc_OtherCosts_1[Jemena],Calc_OtherCosts_1[[Fixed/Variable]:[Fixed/Variable]],$D52,Calc_OtherCosts_1[[Customer type]:[Customer type]],$F52)</f>
        <v>7.3408637826745697E-4</v>
      </c>
      <c r="J52" s="69">
        <f>SUMIFS(Calc_OtherCosts_1[Powercor],Calc_OtherCosts_1[[Fixed/Variable]:[Fixed/Variable]],$D52,Calc_OtherCosts_1[[Customer type]:[Customer type]],$F52)</f>
        <v>7.3408637826745697E-4</v>
      </c>
      <c r="K52" s="69">
        <f>SUMIFS(Calc_OtherCosts_1[United Energy],Calc_OtherCosts_1[[Fixed/Variable]:[Fixed/Variable]],$D52,Calc_OtherCosts_1[[Customer type]:[Customer type]],$F52)</f>
        <v>7.3408637826745697E-4</v>
      </c>
      <c r="N52" s="68"/>
    </row>
    <row r="53" spans="2:14" x14ac:dyDescent="0.25">
      <c r="B53"/>
      <c r="C53" s="18" t="s">
        <v>219</v>
      </c>
      <c r="D53" s="18" t="s">
        <v>66</v>
      </c>
      <c r="E53" s="18" t="s">
        <v>218</v>
      </c>
      <c r="F53" s="18" t="s">
        <v>31</v>
      </c>
      <c r="G53" s="66">
        <f>SUMIFS(Calc_WholesaleRES_1[Ausnet],Calc_WholesaleRES_1[[Fixed/Variable]:[Fixed/Variable]],$D53,Calc_WholesaleRES_1[[Customer type]:[Customer type]],$F53,Calc_WholesaleRES_1[[Cost item]:[Cost item]],$C53)</f>
        <v>9.4499999999999987E-2</v>
      </c>
      <c r="H53" s="66">
        <f>SUMIFS(Calc_WholesaleRES_1[Citipower],Calc_WholesaleRES_1[[Fixed/Variable]:[Fixed/Variable]],$D53,Calc_WholesaleRES_1[[Customer type]:[Customer type]],$F53,Calc_WholesaleRES_1[[Cost item]:[Cost item]],$C53)</f>
        <v>8.931E-2</v>
      </c>
      <c r="I53" s="66">
        <f>SUMIFS(Calc_WholesaleRES_1[Jemena],Calc_WholesaleRES_1[[Fixed/Variable]:[Fixed/Variable]],$D53,Calc_WholesaleRES_1[[Customer type]:[Customer type]],$F53,Calc_WholesaleRES_1[[Cost item]:[Cost item]],$C53)</f>
        <v>9.8250000000000004E-2</v>
      </c>
      <c r="J53" s="66">
        <f>SUMIFS(Calc_WholesaleRES_1[Powercor],Calc_WholesaleRES_1[[Fixed/Variable]:[Fixed/Variable]],$D53,Calc_WholesaleRES_1[[Customer type]:[Customer type]],$F53,Calc_WholesaleRES_1[[Cost item]:[Cost item]],$C53)</f>
        <v>9.2450000000000004E-2</v>
      </c>
      <c r="K53" s="66">
        <f>SUMIFS(Calc_WholesaleRES_1[United Energy],Calc_WholesaleRES_1[[Fixed/Variable]:[Fixed/Variable]],$D53,Calc_WholesaleRES_1[[Customer type]:[Customer type]],$F53,Calc_WholesaleRES_1[[Cost item]:[Cost item]],$C53)</f>
        <v>9.8670000000000008E-2</v>
      </c>
    </row>
    <row r="54" spans="2:14" x14ac:dyDescent="0.25">
      <c r="B54"/>
      <c r="C54" s="18" t="s">
        <v>219</v>
      </c>
      <c r="D54" s="18" t="s">
        <v>66</v>
      </c>
      <c r="E54" s="18" t="s">
        <v>218</v>
      </c>
      <c r="F54" s="18" t="s">
        <v>32</v>
      </c>
      <c r="G54" s="66">
        <f>SUMIFS(Calc_WholesaleSME_1[Ausnet],Calc_WholesaleSME_1[[Fixed/Variable]:[Fixed/Variable]],$D54,Calc_WholesaleSME_1[[Customer type]:[Customer type]],$F54,Calc_WholesaleSME_1[[Cost item]:[Cost item]],$C54)</f>
        <v>8.2619999999999999E-2</v>
      </c>
      <c r="H54" s="66">
        <f>SUMIFS(Calc_WholesaleSME_1[Citipower],Calc_WholesaleSME_1[[Fixed/Variable]:[Fixed/Variable]],$D54,Calc_WholesaleSME_1[[Customer type]:[Customer type]],$F54,Calc_WholesaleSME_1[[Cost item]:[Cost item]],$C54)</f>
        <v>8.548E-2</v>
      </c>
      <c r="I54" s="66">
        <f>SUMIFS(Calc_WholesaleSME_1[Jemena],Calc_WholesaleSME_1[[Fixed/Variable]:[Fixed/Variable]],$D54,Calc_WholesaleSME_1[[Customer type]:[Customer type]],$F54,Calc_WholesaleSME_1[[Cost item]:[Cost item]],$C54)</f>
        <v>8.4870000000000001E-2</v>
      </c>
      <c r="J54" s="66">
        <f>SUMIFS(Calc_WholesaleSME_1[Powercor],Calc_WholesaleSME_1[[Fixed/Variable]:[Fixed/Variable]],$D54,Calc_WholesaleSME_1[[Customer type]:[Customer type]],$F54,Calc_WholesaleSME_1[[Cost item]:[Cost item]],$C54)</f>
        <v>8.0420000000000005E-2</v>
      </c>
      <c r="K54" s="66">
        <f>SUMIFS(Calc_WholesaleSME_1[United Energy],Calc_WholesaleSME_1[[Fixed/Variable]:[Fixed/Variable]],$D54,Calc_WholesaleSME_1[[Customer type]:[Customer type]],$F54,Calc_WholesaleSME_1[[Cost item]:[Cost item]],$C54)</f>
        <v>8.7039999999999992E-2</v>
      </c>
    </row>
    <row r="55" spans="2:14" x14ac:dyDescent="0.25">
      <c r="B55"/>
      <c r="C55" s="18" t="s">
        <v>220</v>
      </c>
      <c r="D55" s="18" t="s">
        <v>66</v>
      </c>
      <c r="E55" s="18" t="s">
        <v>218</v>
      </c>
      <c r="F55" s="18" t="s">
        <v>31</v>
      </c>
      <c r="G55" s="69">
        <f>(SUMIFS(G$51:G$54,$F$51:$F$54,"All")+SUMIFS(G$51:G$54,$F$51:$F$54,$F55))*INDEX($G$160:$K$160,1,MATCH(G$50,Calc_Losses_1[[#Headers],[Ausnet]:[United Energy]],0))</f>
        <v>7.9399415870230923E-3</v>
      </c>
      <c r="H55" s="69">
        <f>(SUMIFS(H$51:H$54,$F$51:$F$54,"All")+SUMIFS(H$51:H$54,$F$51:$F$54,$F55))*INDEX($G$160:$K$160,1,MATCH(H$50,Calc_Losses_1[[#Headers],[Ausnet]:[United Energy]],0))</f>
        <v>5.5033907959423176E-3</v>
      </c>
      <c r="I55" s="69">
        <f>(SUMIFS(I$51:I$54,$F$51:$F$54,"All")+SUMIFS(I$51:I$54,$F$51:$F$54,$F55))*INDEX($G$160:$K$160,1,MATCH(I$50,Calc_Losses_1[[#Headers],[Ausnet]:[United Energy]],0))</f>
        <v>4.5994857530669573E-3</v>
      </c>
      <c r="J55" s="69">
        <f>(SUMIFS(J$51:J$54,$F$51:$F$54,"All")+SUMIFS(J$51:J$54,$F$51:$F$54,$F55))*INDEX($G$160:$K$160,1,MATCH(J$50,Calc_Losses_1[[#Headers],[Ausnet]:[United Energy]],0))</f>
        <v>8.2726425629698827E-3</v>
      </c>
      <c r="K55" s="69">
        <f>(SUMIFS(K$51:K$54,$F$51:$F$54,"All")+SUMIFS(K$51:K$54,$F$51:$F$54,$F55))*INDEX($G$160:$K$160,1,MATCH(K$50,Calc_Losses_1[[#Headers],[Ausnet]:[United Energy]],0))</f>
        <v>6.4272069860374153E-3</v>
      </c>
    </row>
    <row r="56" spans="2:14" x14ac:dyDescent="0.25">
      <c r="B56"/>
      <c r="C56" s="18" t="s">
        <v>220</v>
      </c>
      <c r="D56" s="18" t="s">
        <v>66</v>
      </c>
      <c r="E56" s="18" t="s">
        <v>218</v>
      </c>
      <c r="F56" s="18" t="s">
        <v>32</v>
      </c>
      <c r="G56" s="69">
        <f>(SUMIFS(G$51:G$54,$F$51:$F$54,"All")+SUMIFS(G$51:G$54,$F$51:$F$54,$F56))*INDEX($G$160:$K$160,1,MATCH(G$50,Calc_Losses_1[[#Headers],[Ausnet]:[United Energy]],0))</f>
        <v>7.1434797461230942E-3</v>
      </c>
      <c r="H56" s="69">
        <f>(SUMIFS(H$51:H$54,$F$51:$F$54,"All")+SUMIFS(H$51:H$54,$F$51:$F$54,$F56))*INDEX($G$160:$K$160,1,MATCH(H$50,Calc_Losses_1[[#Headers],[Ausnet]:[United Energy]],0))</f>
        <v>5.3172584298723184E-3</v>
      </c>
      <c r="I56" s="69">
        <f>(SUMIFS(I$51:I$54,$F$51:$F$54,"All")+SUMIFS(I$51:I$54,$F$51:$F$54,$F56))*INDEX($G$160:$K$160,1,MATCH(I$50,Calc_Losses_1[[#Headers],[Ausnet]:[United Energy]],0))</f>
        <v>4.0958014213336212E-3</v>
      </c>
      <c r="J56" s="69">
        <f>(SUMIFS(J$51:J$54,$F$51:$F$54,"All")+SUMIFS(J$51:J$54,$F$51:$F$54,$F56))*INDEX($G$160:$K$160,1,MATCH(J$50,Calc_Losses_1[[#Headers],[Ausnet]:[United Energy]],0))</f>
        <v>7.4175278773948869E-3</v>
      </c>
      <c r="K56" s="69">
        <f>(SUMIFS(K$51:K$54,$F$51:$F$54,"All")+SUMIFS(K$51:K$54,$F$51:$F$54,$F56))*INDEX($G$160:$K$160,1,MATCH(K$50,Calc_Losses_1[[#Headers],[Ausnet]:[United Energy]],0))</f>
        <v>5.8175230882674123E-3</v>
      </c>
    </row>
    <row r="57" spans="2:14" x14ac:dyDescent="0.25">
      <c r="B57"/>
    </row>
    <row r="58" spans="2:14" ht="15.75" collapsed="1" x14ac:dyDescent="0.25">
      <c r="B58"/>
      <c r="C58" s="23" t="s">
        <v>221</v>
      </c>
    </row>
    <row r="59" spans="2:14" ht="15.75" hidden="1" outlineLevel="1" x14ac:dyDescent="0.25">
      <c r="B59"/>
      <c r="C59" s="1" t="s">
        <v>374</v>
      </c>
    </row>
    <row r="60" spans="2:14" ht="15.75" hidden="1" outlineLevel="1" x14ac:dyDescent="0.25">
      <c r="B60"/>
      <c r="C60" s="70" t="s">
        <v>157</v>
      </c>
    </row>
    <row r="61" spans="2:14" hidden="1" outlineLevel="1" x14ac:dyDescent="0.25">
      <c r="B61"/>
      <c r="C61" s="18" t="s">
        <v>222</v>
      </c>
      <c r="D61" s="18" t="s">
        <v>9</v>
      </c>
      <c r="E61" s="18" t="s">
        <v>218</v>
      </c>
      <c r="F61" s="18" t="s">
        <v>31</v>
      </c>
      <c r="G61" s="50">
        <f>SUMIFS(Calc_NetworkV_1[Ausnet],Calc_NetworkV_1[Cost item],$C60,Calc_NetworkV_1[Customer type],$F61)</f>
        <v>0.11450300000000001</v>
      </c>
      <c r="H61" s="50">
        <f>SUMIFS(Calc_NetworkV_1[Citipower],Calc_NetworkV_1[[Cost item]:[Cost item]],$C60,Calc_NetworkV_1[[Customer type]:[Customer type]],$F61)</f>
        <v>0</v>
      </c>
      <c r="I61" s="50">
        <f>SUMIFS(Calc_NetworkV_1[Jemena],Calc_NetworkV_1[[Cost item]:[Cost item]],$C60,Calc_NetworkV_1[[Customer type]:[Customer type]],$F61)</f>
        <v>0</v>
      </c>
      <c r="J61" s="50">
        <f>SUMIFS(Calc_NetworkV_1[Powercor],Calc_NetworkV_1[[Cost item]:[Cost item]],$C60,Calc_NetworkV_1[[Customer type]:[Customer type]],$F61)</f>
        <v>0</v>
      </c>
      <c r="K61" s="50">
        <f>SUMIFS(Calc_NetworkV_1[United Energy],Calc_NetworkV_1[[Cost item]:[Cost item]],$C60,Calc_NetworkV_1[[Customer type]:[Customer type]],$F61)</f>
        <v>0</v>
      </c>
    </row>
    <row r="62" spans="2:14" hidden="1" outlineLevel="1" x14ac:dyDescent="0.25">
      <c r="B62"/>
      <c r="C62" s="18" t="s">
        <v>216</v>
      </c>
      <c r="D62" s="18" t="s">
        <v>9</v>
      </c>
      <c r="E62" s="18" t="s">
        <v>218</v>
      </c>
      <c r="F62" s="18" t="s">
        <v>31</v>
      </c>
      <c r="G62" s="50">
        <f>SUMIFS(Calc_Variable_1[Ausnet],Calc_Variable_1[Customer type],"All")+SUMIFS(Calc_Variable_1[Ausnet],Calc_Variable_1[Customer type],$F62)</f>
        <v>0.12637186287937996</v>
      </c>
      <c r="H62" s="50">
        <f>SUMIFS(Calc_Variable_1[Citipower],Calc_Variable_1[[Customer type]:[Customer type]],"All")+SUMIFS(Calc_Variable_1[Citipower],Calc_Variable_1[[Customer type]:[Customer type]],$F62)</f>
        <v>0.11874531208829922</v>
      </c>
      <c r="I62" s="50">
        <f>SUMIFS(Calc_Variable_1[Jemena],Calc_Variable_1[[Customer type]:[Customer type]],"All")+SUMIFS(Calc_Variable_1[Jemena],Calc_Variable_1[[Customer type]:[Customer type]],$F62)</f>
        <v>0.12678140704542384</v>
      </c>
      <c r="J62" s="50">
        <f>SUMIFS(Calc_Variable_1[Powercor],Calc_Variable_1[[Customer type]:[Customer type]],"All")+SUMIFS(Calc_Variable_1[Powercor],Calc_Variable_1[[Customer type]:[Customer type]],$F62)</f>
        <v>0.12465456385532679</v>
      </c>
      <c r="K62" s="50">
        <f>SUMIFS(Calc_Variable_1[United Energy],Calc_Variable_1[[Customer type]:[Customer type]],"All")+SUMIFS(Calc_Variable_1[United Energy],Calc_Variable_1[[Customer type]:[Customer type]],$F62)</f>
        <v>0.1290291282783943</v>
      </c>
    </row>
    <row r="63" spans="2:14" hidden="1" outlineLevel="1" x14ac:dyDescent="0.25">
      <c r="B63"/>
      <c r="C63" s="18" t="s">
        <v>139</v>
      </c>
      <c r="D63" s="18" t="s">
        <v>9</v>
      </c>
      <c r="E63" s="18" t="s">
        <v>218</v>
      </c>
      <c r="F63" s="18" t="s">
        <v>31</v>
      </c>
      <c r="G63" s="62" cm="1">
        <f t="array" ref="G63">IF(G61=0,"-",
(G61+G62)*Calc_ROM_1[Ausnet])</f>
        <v>1.4548841717914551E-2</v>
      </c>
      <c r="H63" s="62" t="str" cm="1">
        <f t="array" ref="H63">IF(H61=0,"-",
(H61+H62)*Calc_ROM_1[Citipower])</f>
        <v>-</v>
      </c>
      <c r="I63" s="62" t="str" cm="1">
        <f t="array" ref="I63">IF(I61=0,"-",
(I61+I62)*Calc_ROM_1[Jemena])</f>
        <v>-</v>
      </c>
      <c r="J63" s="62" t="str" cm="1">
        <f t="array" ref="J63">IF(J61=0,"-",
(J61+J62)*Calc_ROM_1[Powercor])</f>
        <v>-</v>
      </c>
      <c r="K63" s="62" t="str" cm="1">
        <f t="array" ref="K63">IF(K61=0,"-",
(K61+K62)*Calc_ROM_1[United Energy])</f>
        <v>-</v>
      </c>
    </row>
    <row r="64" spans="2:14" hidden="1" outlineLevel="1" x14ac:dyDescent="0.25">
      <c r="B64"/>
      <c r="C64" s="18" t="s">
        <v>213</v>
      </c>
      <c r="D64" s="18" t="s">
        <v>9</v>
      </c>
      <c r="E64" s="18" t="s">
        <v>218</v>
      </c>
      <c r="F64" s="18" t="s">
        <v>31</v>
      </c>
      <c r="G64" s="62">
        <f>IF(G61=0,"-",
(G61+G62+G63)*GST)</f>
        <v>2.5542370459729454E-2</v>
      </c>
      <c r="H64" s="62" t="str">
        <f>IF(H61=0,"-",
(SUMIFS(#REF!,#REF!,$F61)+H61+H63)*GST)</f>
        <v>-</v>
      </c>
      <c r="I64" s="62" t="str">
        <f>IF(I61=0,"-",
(SUMIFS(#REF!,#REF!,$F61)+I61+I63)*GST)</f>
        <v>-</v>
      </c>
      <c r="J64" s="62" t="str">
        <f>IF(J61=0,"-",
(SUMIFS(#REF!,#REF!,$F61)+J61+J63)*GST)</f>
        <v>-</v>
      </c>
      <c r="K64" s="62" t="str">
        <f>IF(K61=0,"-",
(SUMIFS(#REF!,#REF!,$F61)+K61+K63)*GST)</f>
        <v>-</v>
      </c>
    </row>
    <row r="65" spans="2:11" hidden="1" outlineLevel="1" x14ac:dyDescent="0.25">
      <c r="B65"/>
      <c r="C65" s="18" t="str">
        <f>C60&amp;" charge"</f>
        <v>Block 1 charge</v>
      </c>
      <c r="D65" s="18" t="s">
        <v>9</v>
      </c>
      <c r="E65" s="18" t="s">
        <v>218</v>
      </c>
      <c r="F65" s="18" t="s">
        <v>31</v>
      </c>
      <c r="G65" s="63">
        <f>IF(G61=0,"-",
SUM(G61:G64))</f>
        <v>0.28096607505702398</v>
      </c>
      <c r="H65" s="63" t="str">
        <f t="shared" ref="H65:K65" si="13">IF(H61=0,"-",
SUM(H61:H64))</f>
        <v>-</v>
      </c>
      <c r="I65" s="63" t="str">
        <f t="shared" si="13"/>
        <v>-</v>
      </c>
      <c r="J65" s="63" t="str">
        <f t="shared" si="13"/>
        <v>-</v>
      </c>
      <c r="K65" s="63" t="str">
        <f t="shared" si="13"/>
        <v>-</v>
      </c>
    </row>
    <row r="66" spans="2:11" hidden="1" outlineLevel="1" x14ac:dyDescent="0.25">
      <c r="B66"/>
      <c r="G66" s="89" t="e" cm="1">
        <f t="array" ref="G66">IF($D$5=#REF!,
IF(G65=INDEX(#REF!,MATCH(IF(OR(Calc_Rates!$C65="Single rate charge",Calc_Rates!$C65="Block 1 charge",Calc_Rates!$C65="Balance charge"),"Anytime - ","TOU - ")&amp;Calc_Rates!$C65&amp;"_"&amp;Calc_Rates!$F65,#REF!,0),MATCH(Calc_Rates!G$9,#REF!,0)),0,1),
IF(G65="-","-",
IF(ROUND(G65,8)=ROUND((((
SUMIFS(Calc_Variable_1[Ausnet],Calc_Variable_1[Customer type],Calc_Rates!$F65)+
SUMIFS(Calc_Variable_1[Ausnet],Calc_Variable_1[Customer type],"All")+G61)*(1+Calc_ROM_1[Ausnet]))*(1+GST)),8),0,1)))</f>
        <v>#REF!</v>
      </c>
      <c r="H66" s="89" t="e" cm="1">
        <f t="array" ref="H66">IF($D$5=#REF!,
IF(H65=INDEX(#REF!,MATCH(IF(OR(Calc_Rates!$C65="Single rate charge",Calc_Rates!$C65="Block 1 charge",Calc_Rates!$C65="Balance charge"),"Anytime - ","TOU - ")&amp;Calc_Rates!$C65&amp;"_"&amp;Calc_Rates!$F65,#REF!,0),MATCH(Calc_Rates!H$9,#REF!,0)),0,1),
IF(H65="-","-",
IF(ROUND(H65,8)=ROUND((((
SUMIFS(Calc_Variable_1[Citipower],Calc_Variable_1[Customer type],Calc_Rates!$F65)+
SUMIFS(Calc_Variable_1[Citipower],Calc_Variable_1[Customer type],"All")+H61)*(1+Calc_ROM_1[Citipower]))*(1+GST)),8),0,1)))</f>
        <v>#REF!</v>
      </c>
      <c r="I66" s="89" t="e" cm="1">
        <f t="array" ref="I66">IF($D$5=#REF!,
IF(I65=INDEX(#REF!,MATCH(IF(OR(Calc_Rates!$C65="Single rate charge",Calc_Rates!$C65="Block 1 charge",Calc_Rates!$C65="Balance charge"),"Anytime - ","TOU - ")&amp;Calc_Rates!$C65&amp;"_"&amp;Calc_Rates!$F65,#REF!,0),MATCH(Calc_Rates!I$9,#REF!,0)),0,1),
IF(I65="-","-",
IF(ROUND(I65,8)=ROUND((((
SUMIFS(Calc_Variable_1[Jemena],Calc_Variable_1[Customer type],Calc_Rates!$F65)+
SUMIFS(Calc_Variable_1[Jemena],Calc_Variable_1[Customer type],"All")+I61)*(1+Calc_ROM_1[Jemena]))*(1+GST)),8),0,1)))</f>
        <v>#REF!</v>
      </c>
      <c r="J66" s="89" t="e" cm="1">
        <f t="array" ref="J66">IF($D$5=#REF!,
IF(J65=INDEX(#REF!,MATCH(IF(OR(Calc_Rates!$C65="Single rate charge",Calc_Rates!$C65="Block 1 charge",Calc_Rates!$C65="Balance charge"),"Anytime - ","TOU - ")&amp;Calc_Rates!$C65&amp;"_"&amp;Calc_Rates!$F65,#REF!,0),MATCH(Calc_Rates!J$9,#REF!,0)),0,1),
IF(J65="-","-",
IF(ROUND(J65,8)=ROUND((((
SUMIFS(Calc_Variable_1[Powercor],Calc_Variable_1[Customer type],Calc_Rates!$F65)+
SUMIFS(Calc_Variable_1[Powercor],Calc_Variable_1[Customer type],"All")+J61)*(1+Calc_ROM_1[Powercor]))*(1+GST)),8),0,1)))</f>
        <v>#REF!</v>
      </c>
      <c r="K66" s="89" t="e" cm="1">
        <f t="array" ref="K66">IF($D$5=#REF!,
IF(K65=INDEX(#REF!,MATCH(IF(OR(Calc_Rates!$C65="Single rate charge",Calc_Rates!$C65="Block 1 charge",Calc_Rates!$C65="Balance charge"),"Anytime - ","TOU - ")&amp;Calc_Rates!$C65&amp;"_"&amp;Calc_Rates!$F65,#REF!,0),MATCH(Calc_Rates!K$9,#REF!,0)),0,1),
IF(K65="-","-",
IF(ROUND(K65,8)=ROUND((((
SUMIFS(Calc_Variable_1[United Energy],Calc_Variable_1[[Customer type]:[Customer type]],Calc_Rates!$F65)+
SUMIFS(Calc_Variable_1[United Energy],Calc_Variable_1[[Customer type]:[Customer type]],"All")+K61)*(1+Calc_ROM_1[United Energy]))*(1+GST)),8),0,1)))</f>
        <v>#REF!</v>
      </c>
    </row>
    <row r="67" spans="2:11" ht="15.75" hidden="1" outlineLevel="1" x14ac:dyDescent="0.25">
      <c r="B67"/>
      <c r="C67" s="70" t="s">
        <v>164</v>
      </c>
    </row>
    <row r="68" spans="2:11" hidden="1" outlineLevel="1" x14ac:dyDescent="0.25">
      <c r="B68"/>
      <c r="C68" s="18" t="s">
        <v>222</v>
      </c>
      <c r="D68" s="18" t="s">
        <v>9</v>
      </c>
      <c r="E68" s="18" t="s">
        <v>218</v>
      </c>
      <c r="F68" s="18" t="s">
        <v>31</v>
      </c>
      <c r="G68" s="50">
        <f>SUMIFS(Calc_NetworkV_1[Ausnet],Calc_NetworkV_1[[Cost item]:[Cost item]],$C67,Calc_NetworkV_1[[Customer type]:[Customer type]],$F68)</f>
        <v>0.128382</v>
      </c>
      <c r="H68" s="50">
        <f>SUMIFS(Calc_NetworkV_1[Citipower],Calc_NetworkV_1[[Cost item]:[Cost item]],$C67,Calc_NetworkV_1[[Customer type]:[Customer type]],$F68)</f>
        <v>0</v>
      </c>
      <c r="I68" s="50">
        <f>SUMIFS(Calc_NetworkV_1[Jemena],Calc_NetworkV_1[[Cost item]:[Cost item]],$C67,Calc_NetworkV_1[[Customer type]:[Customer type]],$F68)</f>
        <v>0</v>
      </c>
      <c r="J68" s="50">
        <f>SUMIFS(Calc_NetworkV_1[Powercor],Calc_NetworkV_1[[Cost item]:[Cost item]],$C67,Calc_NetworkV_1[[Customer type]:[Customer type]],$F68)</f>
        <v>0</v>
      </c>
      <c r="K68" s="50">
        <f>SUMIFS(Calc_NetworkV_1[United Energy],Calc_NetworkV_1[[Cost item]:[Cost item]],$C67,Calc_NetworkV_1[[Customer type]:[Customer type]],$F68)</f>
        <v>0</v>
      </c>
    </row>
    <row r="69" spans="2:11" hidden="1" outlineLevel="1" x14ac:dyDescent="0.25">
      <c r="B69"/>
      <c r="C69" s="18" t="s">
        <v>216</v>
      </c>
      <c r="D69" s="18" t="s">
        <v>9</v>
      </c>
      <c r="E69" s="18" t="s">
        <v>218</v>
      </c>
      <c r="F69" s="18" t="s">
        <v>31</v>
      </c>
      <c r="G69" s="50">
        <f>SUMIFS(Calc_Variable_1[Ausnet],Calc_Variable_1[[Customer type]:[Customer type]],"All")+SUMIFS(Calc_Variable_1[Ausnet],Calc_Variable_1[[Customer type]:[Customer type]],$F69)</f>
        <v>0.12637186287937996</v>
      </c>
      <c r="H69" s="50">
        <f>SUMIFS(Calc_Variable_1[Citipower],Calc_Variable_1[[Customer type]:[Customer type]],"All")+SUMIFS(Calc_Variable_1[Citipower],Calc_Variable_1[[Customer type]:[Customer type]],$F69)</f>
        <v>0.11874531208829922</v>
      </c>
      <c r="I69" s="50">
        <f>SUMIFS(Calc_Variable_1[Jemena],Calc_Variable_1[[Customer type]:[Customer type]],"All")+SUMIFS(Calc_Variable_1[Jemena],Calc_Variable_1[[Customer type]:[Customer type]],$F69)</f>
        <v>0.12678140704542384</v>
      </c>
      <c r="J69" s="50">
        <f>SUMIFS(Calc_Variable_1[Powercor],Calc_Variable_1[[Customer type]:[Customer type]],"All")+SUMIFS(Calc_Variable_1[Powercor],Calc_Variable_1[[Customer type]:[Customer type]],$F69)</f>
        <v>0.12465456385532679</v>
      </c>
      <c r="K69" s="50">
        <f>SUMIFS(Calc_Variable_1[United Energy],Calc_Variable_1[[Customer type]:[Customer type]],"All")+SUMIFS(Calc_Variable_1[United Energy],Calc_Variable_1[[Customer type]:[Customer type]],$F69)</f>
        <v>0.1290291282783943</v>
      </c>
    </row>
    <row r="70" spans="2:11" hidden="1" outlineLevel="1" x14ac:dyDescent="0.25">
      <c r="B70"/>
      <c r="C70" s="18" t="s">
        <v>139</v>
      </c>
      <c r="D70" s="18" t="s">
        <v>9</v>
      </c>
      <c r="E70" s="18" t="s">
        <v>218</v>
      </c>
      <c r="F70" s="18" t="s">
        <v>31</v>
      </c>
      <c r="G70" s="62" cm="1">
        <f t="array" ref="G70">IF(G68=0,"-",
(G68+G69)*Calc_ROM_1[Ausnet])</f>
        <v>1.538713331791455E-2</v>
      </c>
      <c r="H70" s="62" t="str" cm="1">
        <f t="array" ref="H70">IF(H68=0,"-",
(H68+H69)*Calc_ROM_1[Citipower])</f>
        <v>-</v>
      </c>
      <c r="I70" s="62" t="str" cm="1">
        <f t="array" ref="I70">IF(I68=0,"-",
(I68+I69)*Calc_ROM_1[Jemena])</f>
        <v>-</v>
      </c>
      <c r="J70" s="62" t="str" cm="1">
        <f t="array" ref="J70">IF(J68=0,"-",
(J68+J69)*Calc_ROM_1[Powercor])</f>
        <v>-</v>
      </c>
      <c r="K70" s="62" t="str" cm="1">
        <f t="array" ref="K70">IF(K68=0,"-",
(K68+K69)*Calc_ROM_1[United Energy])</f>
        <v>-</v>
      </c>
    </row>
    <row r="71" spans="2:11" hidden="1" outlineLevel="1" x14ac:dyDescent="0.25">
      <c r="B71"/>
      <c r="C71" s="18" t="s">
        <v>213</v>
      </c>
      <c r="D71" s="18" t="s">
        <v>9</v>
      </c>
      <c r="E71" s="18" t="s">
        <v>218</v>
      </c>
      <c r="F71" s="18" t="s">
        <v>31</v>
      </c>
      <c r="G71" s="62">
        <f>IF(G68=0,"-",
(G68+G69+G70)*GST)</f>
        <v>2.7014099619729448E-2</v>
      </c>
      <c r="H71" s="62" t="str">
        <f>IF(H68=0,"-",
(SUMIFS(#REF!,#REF!,$F68)+H68+H70)*GST)</f>
        <v>-</v>
      </c>
      <c r="I71" s="62" t="str">
        <f>IF(I68=0,"-",
(SUMIFS(#REF!,#REF!,$F68)+I68+I70)*GST)</f>
        <v>-</v>
      </c>
      <c r="J71" s="62" t="str">
        <f>IF(J68=0,"-",
(SUMIFS(#REF!,#REF!,$F68)+J68+J70)*GST)</f>
        <v>-</v>
      </c>
      <c r="K71" s="62" t="str">
        <f>IF(K68=0,"-",
(SUMIFS(#REF!,#REF!,$F68)+K68+K70)*GST)</f>
        <v>-</v>
      </c>
    </row>
    <row r="72" spans="2:11" hidden="1" outlineLevel="1" x14ac:dyDescent="0.25">
      <c r="B72"/>
      <c r="C72" s="18" t="str">
        <f>C67&amp;" charge"</f>
        <v>Balance charge</v>
      </c>
      <c r="D72" s="18" t="s">
        <v>9</v>
      </c>
      <c r="E72" s="18" t="s">
        <v>218</v>
      </c>
      <c r="F72" s="18" t="s">
        <v>31</v>
      </c>
      <c r="G72" s="63">
        <f>IF(G68=0,"-",
SUM(G68:G71))</f>
        <v>0.29715509581702393</v>
      </c>
      <c r="H72" s="63" t="str">
        <f t="shared" ref="H72" si="14">IF(H68=0,"-",
SUM(H68:H71))</f>
        <v>-</v>
      </c>
      <c r="I72" s="63" t="str">
        <f t="shared" ref="I72" si="15">IF(I68=0,"-",
SUM(I68:I71))</f>
        <v>-</v>
      </c>
      <c r="J72" s="63" t="str">
        <f t="shared" ref="J72" si="16">IF(J68=0,"-",
SUM(J68:J71))</f>
        <v>-</v>
      </c>
      <c r="K72" s="63" t="str">
        <f t="shared" ref="K72" si="17">IF(K68=0,"-",
SUM(K68:K71))</f>
        <v>-</v>
      </c>
    </row>
    <row r="73" spans="2:11" hidden="1" outlineLevel="1" x14ac:dyDescent="0.25">
      <c r="B73"/>
      <c r="G73" s="89" t="e" cm="1">
        <f t="array" ref="G73">IF($D$5=#REF!,
IF(G72=INDEX(#REF!,MATCH(IF(OR(Calc_Rates!$C72="Single rate charge",Calc_Rates!$C72="Block 1 charge",Calc_Rates!$C72="Balance charge"),"Anytime - ","TOU - ")&amp;Calc_Rates!$C72&amp;"_"&amp;Calc_Rates!$F72,#REF!,0),MATCH(Calc_Rates!G$9,#REF!,0)),0,1),
IF(G72="-","-",
IF(ROUND(G72,8)=ROUND((((
SUMIFS(Calc_Variable_1[Ausnet],Calc_Variable_1[Customer type],Calc_Rates!$F72)+
SUMIFS(Calc_Variable_1[Ausnet],Calc_Variable_1[Customer type],"All")+G68)*(1+Calc_ROM_1[Ausnet]))*(1+GST)),8),0,1)))</f>
        <v>#REF!</v>
      </c>
      <c r="H73" s="89" t="e" cm="1">
        <f t="array" ref="H73">IF($D$5=#REF!,
IF(H72=INDEX(#REF!,MATCH(IF(OR(Calc_Rates!$C72="Single rate charge",Calc_Rates!$C72="Block 1 charge",Calc_Rates!$C72="Balance charge"),"Anytime - ","TOU - ")&amp;Calc_Rates!$C72&amp;"_"&amp;Calc_Rates!$F72,#REF!,0),MATCH(Calc_Rates!H$9,#REF!,0)),0,1),
IF(H72="-","-",
IF(ROUND(H72,8)=ROUND((((
SUMIFS(Calc_Variable_1[Citipower],Calc_Variable_1[Customer type],Calc_Rates!$F72)+
SUMIFS(Calc_Variable_1[Citipower],Calc_Variable_1[Customer type],"All")+H68)*(1+Calc_ROM_1[Citipower]))*(1+GST)),8),0,1)))</f>
        <v>#REF!</v>
      </c>
      <c r="I73" s="89" t="e" cm="1">
        <f t="array" ref="I73">IF($D$5=#REF!,
IF(I72=INDEX(#REF!,MATCH(IF(OR(Calc_Rates!$C72="Single rate charge",Calc_Rates!$C72="Block 1 charge",Calc_Rates!$C72="Balance charge"),"Anytime - ","TOU - ")&amp;Calc_Rates!$C72&amp;"_"&amp;Calc_Rates!$F72,#REF!,0),MATCH(Calc_Rates!I$9,#REF!,0)),0,1),
IF(I72="-","-",
IF(ROUND(I72,8)=ROUND((((
SUMIFS(Calc_Variable_1[Jemena],Calc_Variable_1[Customer type],Calc_Rates!$F72)+
SUMIFS(Calc_Variable_1[Jemena],Calc_Variable_1[Customer type],"All")+I68)*(1+Calc_ROM_1[Jemena]))*(1+GST)),8),0,1)))</f>
        <v>#REF!</v>
      </c>
      <c r="J73" s="89" t="e" cm="1">
        <f t="array" ref="J73">IF($D$5=#REF!,
IF(J72=INDEX(#REF!,MATCH(IF(OR(Calc_Rates!$C72="Single rate charge",Calc_Rates!$C72="Block 1 charge",Calc_Rates!$C72="Balance charge"),"Anytime - ","TOU - ")&amp;Calc_Rates!$C72&amp;"_"&amp;Calc_Rates!$F72,#REF!,0),MATCH(Calc_Rates!J$9,#REF!,0)),0,1),
IF(J72="-","-",
IF(ROUND(J72,8)=ROUND((((
SUMIFS(Calc_Variable_1[Powercor],Calc_Variable_1[[Customer type]:[Customer type]],Calc_Rates!$F72)+
SUMIFS(Calc_Variable_1[Powercor],Calc_Variable_1[[Customer type]:[Customer type]],"All")+J68)*(1+Calc_ROM_1[Powercor]))*(1+GST)),8),0,1)))</f>
        <v>#REF!</v>
      </c>
      <c r="K73" s="89" t="e" cm="1">
        <f t="array" ref="K73">IF($D$5=#REF!,
IF(K72=INDEX(#REF!,MATCH(IF(OR(Calc_Rates!$C72="Single rate charge",Calc_Rates!$C72="Block 1 charge",Calc_Rates!$C72="Balance charge"),"Anytime - ","TOU - ")&amp;Calc_Rates!$C72&amp;"_"&amp;Calc_Rates!$F72,#REF!,0),MATCH(Calc_Rates!K$9,#REF!,0)),0,1),
IF(K72="-","-",
IF(ROUND(K72,8)=ROUND((((
SUMIFS(Calc_Variable_1[United Energy],Calc_Variable_1[[Customer type]:[Customer type]],Calc_Rates!$F72)+
SUMIFS(Calc_Variable_1[United Energy],Calc_Variable_1[[Customer type]:[Customer type]],"All")+K68)*(1+Calc_ROM_1[United Energy]))*(1+GST)),8),0,1)))</f>
        <v>#REF!</v>
      </c>
    </row>
    <row r="74" spans="2:11" ht="15.75" hidden="1" outlineLevel="1" x14ac:dyDescent="0.25">
      <c r="B74"/>
      <c r="C74" s="70" t="s">
        <v>338</v>
      </c>
    </row>
    <row r="75" spans="2:11" hidden="1" outlineLevel="1" x14ac:dyDescent="0.25">
      <c r="B75"/>
      <c r="C75" s="18" t="s">
        <v>222</v>
      </c>
      <c r="D75" s="18" t="s">
        <v>9</v>
      </c>
      <c r="E75" s="18" t="s">
        <v>218</v>
      </c>
      <c r="F75" s="18" t="s">
        <v>31</v>
      </c>
      <c r="G75" s="50">
        <f>SUMIFS(Calc_NetworkV_1[Ausnet],Calc_NetworkV_1[[Cost item]:[Cost item]],$C74,Calc_NetworkV_1[[Customer type]:[Customer type]],$F75)</f>
        <v>0</v>
      </c>
      <c r="H75" s="50">
        <f>SUMIFS(Calc_NetworkV_1[Citipower],Calc_NetworkV_1[[Cost item]:[Cost item]],$C74,Calc_NetworkV_1[[Customer type]:[Customer type]],$F75)</f>
        <v>8.0500000000000002E-2</v>
      </c>
      <c r="I75" s="50">
        <f>SUMIFS(Calc_NetworkV_1[Jemena],Calc_NetworkV_1[[Cost item]:[Cost item]],$C74,Calc_NetworkV_1[[Customer type]:[Customer type]],$F75)</f>
        <v>8.6699999999999999E-2</v>
      </c>
      <c r="J75" s="50">
        <f>SUMIFS(Calc_NetworkV_1[Powercor],Calc_NetworkV_1[[Cost item]:[Cost item]],$C74,Calc_NetworkV_1[[Customer type]:[Customer type]],$F75)</f>
        <v>8.1500000000000003E-2</v>
      </c>
      <c r="K75" s="50">
        <f>SUMIFS(Calc_NetworkV_1[United Energy],Calc_NetworkV_1[[Cost item]:[Cost item]],$C74,Calc_NetworkV_1[[Customer type]:[Customer type]],$F75)</f>
        <v>7.9899999999999999E-2</v>
      </c>
    </row>
    <row r="76" spans="2:11" hidden="1" outlineLevel="1" x14ac:dyDescent="0.25">
      <c r="B76"/>
      <c r="C76" s="18" t="s">
        <v>216</v>
      </c>
      <c r="D76" s="18" t="s">
        <v>9</v>
      </c>
      <c r="E76" s="18" t="s">
        <v>218</v>
      </c>
      <c r="F76" s="18" t="s">
        <v>31</v>
      </c>
      <c r="G76" s="50">
        <f>SUMIFS(Calc_Variable_1[Ausnet],Calc_Variable_1[[Customer type]:[Customer type]],"All")+SUMIFS(Calc_Variable_1[Ausnet],Calc_Variable_1[[Customer type]:[Customer type]],$F76)</f>
        <v>0.12637186287937996</v>
      </c>
      <c r="H76" s="50">
        <f>SUMIFS(Calc_Variable_1[Citipower],Calc_Variable_1[[Customer type]:[Customer type]],"All")+SUMIFS(Calc_Variable_1[Citipower],Calc_Variable_1[[Customer type]:[Customer type]],$F76)</f>
        <v>0.11874531208829922</v>
      </c>
      <c r="I76" s="50">
        <f>SUMIFS(Calc_Variable_1[Jemena],Calc_Variable_1[[Customer type]:[Customer type]],"All")+SUMIFS(Calc_Variable_1[Jemena],Calc_Variable_1[[Customer type]:[Customer type]],$F76)</f>
        <v>0.12678140704542384</v>
      </c>
      <c r="J76" s="50">
        <f>SUMIFS(Calc_Variable_1[Powercor],Calc_Variable_1[[Customer type]:[Customer type]],"All")+SUMIFS(Calc_Variable_1[Powercor],Calc_Variable_1[[Customer type]:[Customer type]],$F76)</f>
        <v>0.12465456385532679</v>
      </c>
      <c r="K76" s="50">
        <f>SUMIFS(Calc_Variable_1[United Energy],Calc_Variable_1[[Customer type]:[Customer type]],"All")+SUMIFS(Calc_Variable_1[United Energy],Calc_Variable_1[[Customer type]:[Customer type]],$F76)</f>
        <v>0.1290291282783943</v>
      </c>
    </row>
    <row r="77" spans="2:11" hidden="1" outlineLevel="1" x14ac:dyDescent="0.25">
      <c r="B77"/>
      <c r="C77" s="18" t="s">
        <v>139</v>
      </c>
      <c r="D77" s="18" t="s">
        <v>9</v>
      </c>
      <c r="E77" s="18" t="s">
        <v>218</v>
      </c>
      <c r="F77" s="18" t="s">
        <v>31</v>
      </c>
      <c r="G77" s="62" t="str" cm="1">
        <f t="array" ref="G77">IF(G75=0,"-",
(G75+G76)*Calc_ROM_1[Ausnet])</f>
        <v>-</v>
      </c>
      <c r="H77" s="62" cm="1">
        <f t="array" ref="H77">IF(H75=0,"-",
(H75+H76)*Calc_ROM_1[Ausnet])</f>
        <v>1.2034416850133272E-2</v>
      </c>
      <c r="I77" s="62" cm="1">
        <f t="array" ref="I77">IF(I75=0,"-",
(I75+I76)*Calc_ROM_1[Ausnet])</f>
        <v>1.2894276985543601E-2</v>
      </c>
      <c r="J77" s="62" cm="1">
        <f t="array" ref="J77">IF(J75=0,"-",
(J75+J76)*Calc_ROM_1[Ausnet])</f>
        <v>1.2451735656861739E-2</v>
      </c>
      <c r="K77" s="62" cm="1">
        <f t="array" ref="K77">IF(K75=0,"-",
(K75+K76)*Calc_ROM_1[Ausnet])</f>
        <v>1.2619319348015016E-2</v>
      </c>
    </row>
    <row r="78" spans="2:11" hidden="1" outlineLevel="1" x14ac:dyDescent="0.25">
      <c r="B78"/>
      <c r="C78" s="18" t="s">
        <v>213</v>
      </c>
      <c r="D78" s="18" t="s">
        <v>9</v>
      </c>
      <c r="E78" s="18" t="s">
        <v>218</v>
      </c>
      <c r="F78" s="18" t="s">
        <v>31</v>
      </c>
      <c r="G78" s="62" t="str">
        <f>IF(G75=0,"-",
(G75+G76+G77)*GST)</f>
        <v>-</v>
      </c>
      <c r="H78" s="62">
        <f>IF(H75=0,"-",
(H75+H76+H77)*GST)</f>
        <v>2.1127972893843248E-2</v>
      </c>
      <c r="I78" s="62">
        <f>IF(I75=0,"-",
(I75+I76+I77)*GST)</f>
        <v>2.2637568403096747E-2</v>
      </c>
      <c r="J78" s="62">
        <f>IF(J75=0,"-",
(J75+J76+J77)*GST)</f>
        <v>2.1860629951218857E-2</v>
      </c>
      <c r="K78" s="62">
        <f>IF(K75=0,"-",
(K75+K76+K77)*GST)</f>
        <v>2.2154844762640933E-2</v>
      </c>
    </row>
    <row r="79" spans="2:11" hidden="1" outlineLevel="1" x14ac:dyDescent="0.25">
      <c r="B79"/>
      <c r="C79" s="18" t="str">
        <f>C74&amp;" charge"</f>
        <v>Single rate charge</v>
      </c>
      <c r="D79" s="18" t="s">
        <v>9</v>
      </c>
      <c r="E79" s="18" t="s">
        <v>218</v>
      </c>
      <c r="F79" s="18" t="s">
        <v>31</v>
      </c>
      <c r="G79" s="63" t="str">
        <f>IF(G75=0,"-",
SUM(G75:G78))</f>
        <v>-</v>
      </c>
      <c r="H79" s="63">
        <f>IF(H75=0,"-",
SUM(H75:H78))</f>
        <v>0.23240770183227571</v>
      </c>
      <c r="I79" s="63">
        <f t="shared" ref="I79:K79" si="18">IF(I75=0,"-",
SUM(I75:I78))</f>
        <v>0.24901325243406419</v>
      </c>
      <c r="J79" s="63">
        <f t="shared" si="18"/>
        <v>0.24046692946340739</v>
      </c>
      <c r="K79" s="63">
        <f t="shared" si="18"/>
        <v>0.24370329238905025</v>
      </c>
    </row>
    <row r="80" spans="2:11" hidden="1" outlineLevel="1" x14ac:dyDescent="0.25">
      <c r="B80"/>
      <c r="G80" s="89" t="e" cm="1">
        <f t="array" ref="G80">IF($D$5=#REF!,
IF(G79=INDEX(#REF!,MATCH(IF(OR(Calc_Rates!$C79="Single rate charge",Calc_Rates!$C79="Block 1 charge",Calc_Rates!$C79="Balance charge"),"Anytime - ","TOU - ")&amp;Calc_Rates!$C79&amp;"_"&amp;Calc_Rates!$F79,#REF!,0),MATCH(Calc_Rates!G$9,#REF!,0)),0,1),
IF(G79="-","-",
IF(ROUND(G79,8)=ROUND((((
SUMIFS(Calc_Variable_1[Ausnet],Calc_Variable_1[Customer type],Calc_Rates!$F79)+
SUMIFS(Calc_Variable_1[Ausnet],Calc_Variable_1[Customer type],"All")+G75)*(1+Calc_ROM_1[Ausnet]))*(1+GST)),8),0,1)))</f>
        <v>#REF!</v>
      </c>
      <c r="H80" s="89" t="e" cm="1">
        <f t="array" ref="H80">IF($D$5=#REF!,
IF(H79=INDEX(#REF!,MATCH(IF(OR(Calc_Rates!$C79="Single rate charge",Calc_Rates!$C79="Block 1 charge",Calc_Rates!$C79="Balance charge"),"Anytime - ","TOU - ")&amp;Calc_Rates!$C79&amp;"_"&amp;Calc_Rates!$F79,#REF!,0),MATCH(Calc_Rates!H$9,#REF!,0)),0,1),
IF(H79="-","-",
IF(ROUND(H79,8)=ROUND((((
SUMIFS(Calc_Variable_1[Citipower],Calc_Variable_1[Customer type],Calc_Rates!$F79)+
SUMIFS(Calc_Variable_1[Citipower],Calc_Variable_1[Customer type],"All")+H75)*(1+Calc_ROM_1[Citipower]))*(1+GST)),8),0,1)))</f>
        <v>#REF!</v>
      </c>
      <c r="I80" s="89" t="e" cm="1">
        <f t="array" ref="I80">IF($D$5=#REF!,
IF(I79=INDEX(#REF!,MATCH(IF(OR(Calc_Rates!$C79="Single rate charge",Calc_Rates!$C79="Block 1 charge",Calc_Rates!$C79="Balance charge"),"Anytime - ","TOU - ")&amp;Calc_Rates!$C79&amp;"_"&amp;Calc_Rates!$F79,#REF!,0),MATCH(Calc_Rates!I$9,#REF!,0)),0,1),
IF(I79="-","-",
IF(ROUND(I79,8)=ROUND((((
SUMIFS(Calc_Variable_1[Jemena],Calc_Variable_1[Customer type],Calc_Rates!$F79)+
SUMIFS(Calc_Variable_1[Jemena],Calc_Variable_1[Customer type],"All")+I75)*(1+Calc_ROM_1[Jemena]))*(1+GST)),8),0,1)))</f>
        <v>#REF!</v>
      </c>
      <c r="J80" s="89" t="e" cm="1">
        <f t="array" ref="J80">IF($D$5=#REF!,
IF(J79=INDEX(#REF!,MATCH(IF(OR(Calc_Rates!$C79="Single rate charge",Calc_Rates!$C79="Block 1 charge",Calc_Rates!$C79="Balance charge"),"Anytime - ","TOU - ")&amp;Calc_Rates!$C79&amp;"_"&amp;Calc_Rates!$F79,#REF!,0),MATCH(Calc_Rates!J$9,#REF!,0)),0,1),
IF(J79="-","-",
IF(ROUND(J79,8)=ROUND((((
SUMIFS(Calc_Variable_1[Powercor],Calc_Variable_1[[Customer type]:[Customer type]],Calc_Rates!$F79)+
SUMIFS(Calc_Variable_1[Powercor],Calc_Variable_1[[Customer type]:[Customer type]],"All")+J75)*(1+Calc_ROM_1[Powercor]))*(1+GST)),8),0,1)))</f>
        <v>#REF!</v>
      </c>
      <c r="K80" s="89" t="e" cm="1">
        <f t="array" ref="K80">IF($D$5=#REF!,
IF(K79=INDEX(#REF!,MATCH(IF(OR(Calc_Rates!$C79="Single rate charge",Calc_Rates!$C79="Block 1 charge",Calc_Rates!$C79="Balance charge"),"Anytime - ","TOU - ")&amp;Calc_Rates!$C79&amp;"_"&amp;Calc_Rates!$F79,#REF!,0),MATCH(Calc_Rates!K$9,#REF!,0)),0,1),
IF(K79="-","-",
IF(ROUND(K79,8)=ROUND((((
SUMIFS(Calc_Variable_1[United Energy],Calc_Variable_1[[Customer type]:[Customer type]],Calc_Rates!$F79)+
SUMIFS(Calc_Variable_1[United Energy],Calc_Variable_1[[Customer type]:[Customer type]],"All")+K75)*(1+Calc_ROM_1[United Energy]))*(1+GST)),8),0,1)))</f>
        <v>#REF!</v>
      </c>
    </row>
    <row r="81" spans="2:11" ht="15.75" hidden="1" outlineLevel="1" x14ac:dyDescent="0.25">
      <c r="B81"/>
      <c r="C81" s="120" t="s">
        <v>375</v>
      </c>
    </row>
    <row r="82" spans="2:11" ht="15.75" hidden="1" outlineLevel="1" x14ac:dyDescent="0.25">
      <c r="B82"/>
      <c r="C82" s="70" t="s">
        <v>166</v>
      </c>
    </row>
    <row r="83" spans="2:11" hidden="1" outlineLevel="1" x14ac:dyDescent="0.25">
      <c r="B83"/>
      <c r="C83" s="18" t="s">
        <v>222</v>
      </c>
      <c r="D83" s="18" t="s">
        <v>9</v>
      </c>
      <c r="E83" s="18" t="s">
        <v>218</v>
      </c>
      <c r="F83" s="18" t="s">
        <v>31</v>
      </c>
      <c r="G83" s="50">
        <f>SUMIFS(Calc_NetworkV_1[Ausnet],Calc_NetworkV_1[[Cost item]:[Cost item]],$C82,Calc_NetworkV_1[[Customer type]:[Customer type]],$F83)</f>
        <v>0.20853200000000002</v>
      </c>
      <c r="H83" s="50">
        <f>SUMIFS(Calc_NetworkV_1[Citipower],Calc_NetworkV_1[[Cost item]:[Cost item]],$C82,Calc_NetworkV_1[[Customer type]:[Customer type]],$F83)</f>
        <v>0.15939999999999999</v>
      </c>
      <c r="I83" s="50">
        <f>SUMIFS(Calc_NetworkV_1[Jemena],Calc_NetworkV_1[[Cost item]:[Cost item]],$C82,Calc_NetworkV_1[[Customer type]:[Customer type]],$F83)</f>
        <v>0.13492000000000001</v>
      </c>
      <c r="J83" s="50">
        <f>SUMIFS(Calc_NetworkV_1[Powercor],Calc_NetworkV_1[[Cost item]:[Cost item]],$C82,Calc_NetworkV_1[[Customer type]:[Customer type]],$F83)</f>
        <v>0.15869999999999998</v>
      </c>
      <c r="K83" s="50">
        <f>SUMIFS(Calc_NetworkV_1[United Energy],Calc_NetworkV_1[[Cost item]:[Cost item]],$C82,Calc_NetworkV_1[[Customer type]:[Customer type]],$F83)</f>
        <v>0.15789999999999998</v>
      </c>
    </row>
    <row r="84" spans="2:11" hidden="1" outlineLevel="1" x14ac:dyDescent="0.25">
      <c r="B84"/>
      <c r="C84" s="18" t="s">
        <v>216</v>
      </c>
      <c r="D84" s="18" t="s">
        <v>9</v>
      </c>
      <c r="E84" s="18" t="s">
        <v>218</v>
      </c>
      <c r="F84" s="18" t="s">
        <v>31</v>
      </c>
      <c r="G84" s="50">
        <f>SUMIFS(Calc_Variable_1[Ausnet],Calc_Variable_1[[Customer type]:[Customer type]],"All")+SUMIFS(Calc_Variable_1[Ausnet],Calc_Variable_1[[Customer type]:[Customer type]],$F84)</f>
        <v>0.12637186287937996</v>
      </c>
      <c r="H84" s="50">
        <f>SUMIFS(Calc_Variable_1[Citipower],Calc_Variable_1[[Customer type]:[Customer type]],"All")+SUMIFS(Calc_Variable_1[Citipower],Calc_Variable_1[[Customer type]:[Customer type]],$F84)</f>
        <v>0.11874531208829922</v>
      </c>
      <c r="I84" s="50">
        <f>SUMIFS(Calc_Variable_1[Jemena],Calc_Variable_1[[Customer type]:[Customer type]],"All")+SUMIFS(Calc_Variable_1[Jemena],Calc_Variable_1[[Customer type]:[Customer type]],$F84)</f>
        <v>0.12678140704542384</v>
      </c>
      <c r="J84" s="50">
        <f>SUMIFS(Calc_Variable_1[Powercor],Calc_Variable_1[[Customer type]:[Customer type]],"All")+SUMIFS(Calc_Variable_1[Powercor],Calc_Variable_1[[Customer type]:[Customer type]],$F84)</f>
        <v>0.12465456385532679</v>
      </c>
      <c r="K84" s="50">
        <f>SUMIFS(Calc_Variable_1[United Energy],Calc_Variable_1[[Customer type]:[Customer type]],"All")+SUMIFS(Calc_Variable_1[United Energy],Calc_Variable_1[[Customer type]:[Customer type]],$F84)</f>
        <v>0.1290291282783943</v>
      </c>
    </row>
    <row r="85" spans="2:11" hidden="1" outlineLevel="1" x14ac:dyDescent="0.25">
      <c r="B85"/>
      <c r="C85" s="18" t="s">
        <v>139</v>
      </c>
      <c r="D85" s="18" t="s">
        <v>9</v>
      </c>
      <c r="E85" s="18" t="s">
        <v>218</v>
      </c>
      <c r="F85" s="18" t="s">
        <v>31</v>
      </c>
      <c r="G85" s="62" cm="1">
        <f t="array" ref="G85">IF(G83=0,"-",
(G83+G84)*Calc_ROM_1[Ausnet])</f>
        <v>2.0228193317914554E-2</v>
      </c>
      <c r="H85" s="62" cm="1">
        <f t="array" ref="H85">IF(H83=0,"-",
(H83+H84)*Calc_ROM_1[Ausnet])</f>
        <v>1.6799976850133271E-2</v>
      </c>
      <c r="I85" s="62" cm="1">
        <f t="array" ref="I85">IF(I83=0,"-",
(I83+I84)*Calc_ROM_1[Ausnet])</f>
        <v>1.5806764985543603E-2</v>
      </c>
      <c r="J85" s="62" cm="1">
        <f t="array" ref="J85">IF(J83=0,"-",
(J83+J84)*Calc_ROM_1[Ausnet])</f>
        <v>1.7114615656861738E-2</v>
      </c>
      <c r="K85" s="62" cm="1">
        <f t="array" ref="K85">IF(K83=0,"-",
(K83+K84)*Calc_ROM_1[Ausnet])</f>
        <v>1.7330519348015015E-2</v>
      </c>
    </row>
    <row r="86" spans="2:11" hidden="1" outlineLevel="1" x14ac:dyDescent="0.25">
      <c r="B86"/>
      <c r="C86" s="18" t="s">
        <v>213</v>
      </c>
      <c r="D86" s="18" t="s">
        <v>9</v>
      </c>
      <c r="E86" s="18" t="s">
        <v>218</v>
      </c>
      <c r="F86" s="18" t="s">
        <v>31</v>
      </c>
      <c r="G86" s="62">
        <f>IF(G83=0,"-",
(G83+G84+G85)*GST)</f>
        <v>3.5513205619729454E-2</v>
      </c>
      <c r="H86" s="62">
        <f>IF(H83=0,"-",
(H83+H84+H85)*GST)</f>
        <v>2.9494528893843248E-2</v>
      </c>
      <c r="I86" s="62">
        <f>IF(I83=0,"-",
(I83+I84+I85)*GST)</f>
        <v>2.7750817203096752E-2</v>
      </c>
      <c r="J86" s="62">
        <f>IF(J83=0,"-",
(J83+J84+J85)*GST)</f>
        <v>3.004691795121885E-2</v>
      </c>
      <c r="K86" s="62">
        <f>IF(K83=0,"-",
(K83+K84+K85)*GST)</f>
        <v>3.0425964762640929E-2</v>
      </c>
    </row>
    <row r="87" spans="2:11" hidden="1" outlineLevel="1" x14ac:dyDescent="0.25">
      <c r="B87"/>
      <c r="C87" s="18" t="str">
        <f>C82&amp;" charge"</f>
        <v>Peak charge</v>
      </c>
      <c r="D87" s="18" t="s">
        <v>9</v>
      </c>
      <c r="E87" s="18" t="s">
        <v>218</v>
      </c>
      <c r="F87" s="18" t="s">
        <v>31</v>
      </c>
      <c r="G87" s="63">
        <f>IF(G83=0,"-",
SUM(G83:G86))</f>
        <v>0.39064526181702397</v>
      </c>
      <c r="H87" s="63">
        <f>IF(H83=0,"-",
SUM(H83:H86))</f>
        <v>0.32443981783227571</v>
      </c>
      <c r="I87" s="63">
        <f t="shared" ref="I87" si="19">IF(I83=0,"-",
SUM(I83:I86))</f>
        <v>0.30525898923406425</v>
      </c>
      <c r="J87" s="63">
        <f t="shared" ref="J87" si="20">IF(J83=0,"-",
SUM(J83:J86))</f>
        <v>0.33051609746340732</v>
      </c>
      <c r="K87" s="63">
        <f t="shared" ref="K87" si="21">IF(K83=0,"-",
SUM(K83:K86))</f>
        <v>0.3346856123890502</v>
      </c>
    </row>
    <row r="88" spans="2:11" hidden="1" outlineLevel="1" x14ac:dyDescent="0.25">
      <c r="B88"/>
      <c r="G88" s="89" t="e" cm="1">
        <f t="array" ref="G88">IF($D$5=#REF!,
IF(G87=INDEX(#REF!,MATCH(IF(OR(Calc_Rates!$C87="Single rate charge",Calc_Rates!$C87="Block 1 charge",Calc_Rates!$C87="Balance charge"),"Anytime - ","TOU - ")&amp;Calc_Rates!$C87&amp;"_"&amp;Calc_Rates!$F87,#REF!,0),MATCH(Calc_Rates!G$9,#REF!,0)),0,1),
IF(G87="-","-",
IF(ROUND(G87,8)=ROUND((((
SUMIFS(Calc_Variable_1[Ausnet],Calc_Variable_1[Customer type],Calc_Rates!$F87)+
SUMIFS(Calc_Variable_1[Ausnet],Calc_Variable_1[Customer type],"All")+G83)*(1+Calc_ROM_1[Ausnet]))*(1+GST)),8),0,1)))</f>
        <v>#REF!</v>
      </c>
      <c r="H88" s="89" t="e" cm="1">
        <f t="array" ref="H88">IF($D$5=#REF!,
IF(H87=INDEX(#REF!,MATCH(IF(OR(Calc_Rates!$C87="Single rate charge",Calc_Rates!$C87="Block 1 charge",Calc_Rates!$C87="Balance charge"),"Anytime - ","TOU - ")&amp;Calc_Rates!$C87&amp;"_"&amp;Calc_Rates!$F87,#REF!,0),MATCH(Calc_Rates!H$9,#REF!,0)),0,1),
IF(H87="-","-",
IF(ROUND(H87,8)=ROUND((((
SUMIFS(Calc_Variable_1[Citipower],Calc_Variable_1[Customer type],Calc_Rates!$F87)+
SUMIFS(Calc_Variable_1[Citipower],Calc_Variable_1[Customer type],"All")+H83)*(1+Calc_ROM_1[Citipower]))*(1+GST)),8),0,1)))</f>
        <v>#REF!</v>
      </c>
      <c r="I88" s="89" t="e" cm="1">
        <f t="array" ref="I88">IF($D$5=#REF!,
IF(I87=INDEX(#REF!,MATCH(IF(OR(Calc_Rates!$C87="Single rate charge",Calc_Rates!$C87="Block 1 charge",Calc_Rates!$C87="Balance charge"),"Anytime - ","TOU - ")&amp;Calc_Rates!$C87&amp;"_"&amp;Calc_Rates!$F87,#REF!,0),MATCH(Calc_Rates!I$9,#REF!,0)),0,1),
IF(I87="-","-",
IF(ROUND(I87,8)=ROUND((((
SUMIFS(Calc_Variable_1[Jemena],Calc_Variable_1[Customer type],Calc_Rates!$F87)+
SUMIFS(Calc_Variable_1[Jemena],Calc_Variable_1[Customer type],"All")+I83)*(1+Calc_ROM_1[Jemena]))*(1+GST)),8),0,1)))</f>
        <v>#REF!</v>
      </c>
      <c r="J88" s="89" t="e" cm="1">
        <f t="array" ref="J88">IF($D$5=#REF!,
IF(J87=INDEX(#REF!,MATCH(IF(OR(Calc_Rates!$C87="Single rate charge",Calc_Rates!$C87="Block 1 charge",Calc_Rates!$C87="Balance charge"),"Anytime - ","TOU - ")&amp;Calc_Rates!$C87&amp;"_"&amp;Calc_Rates!$F87,#REF!,0),MATCH(Calc_Rates!J$9,#REF!,0)),0,1),
IF(J87="-","-",
IF(ROUND(J87,8)=ROUND((((
SUMIFS(Calc_Variable_1[Powercor],Calc_Variable_1[[Customer type]:[Customer type]],Calc_Rates!$F87)+
SUMIFS(Calc_Variable_1[Powercor],Calc_Variable_1[[Customer type]:[Customer type]],"All")+J83)*(1+Calc_ROM_1[Powercor]))*(1+GST)),8),0,1)))</f>
        <v>#REF!</v>
      </c>
      <c r="K88" s="89" t="e" cm="1">
        <f t="array" ref="K88">IF($D$5=#REF!,
IF(K87=INDEX(#REF!,MATCH(IF(OR(Calc_Rates!$C87="Single rate charge",Calc_Rates!$C87="Block 1 charge",Calc_Rates!$C87="Balance charge"),"Anytime - ","TOU - ")&amp;Calc_Rates!$C87&amp;"_"&amp;Calc_Rates!$F87,#REF!,0),MATCH(Calc_Rates!K$9,#REF!,0)),0,1),
IF(K87="-","-",
IF(ROUND(K87,8)=ROUND((((
SUMIFS(Calc_Variable_1[United Energy],Calc_Variable_1[[Customer type]:[Customer type]],Calc_Rates!$F87)+
SUMIFS(Calc_Variable_1[United Energy],Calc_Variable_1[[Customer type]:[Customer type]],"All")+K83)*(1+Calc_ROM_1[United Energy]))*(1+GST)),8),0,1)))</f>
        <v>#REF!</v>
      </c>
    </row>
    <row r="89" spans="2:11" ht="15.75" hidden="1" outlineLevel="1" x14ac:dyDescent="0.25">
      <c r="B89"/>
      <c r="C89" s="70" t="s">
        <v>370</v>
      </c>
    </row>
    <row r="90" spans="2:11" hidden="1" outlineLevel="1" x14ac:dyDescent="0.25">
      <c r="B90"/>
      <c r="C90" s="18" t="s">
        <v>222</v>
      </c>
      <c r="D90" s="18" t="s">
        <v>9</v>
      </c>
      <c r="E90" s="18" t="s">
        <v>218</v>
      </c>
      <c r="F90" s="18" t="s">
        <v>31</v>
      </c>
      <c r="G90" s="50">
        <f>SUMIFS(Calc_NetworkV_1[Ausnet],Calc_NetworkV_1[[Cost item]:[Cost item]],$C89,Calc_NetworkV_1[[Customer type]:[Customer type]],$F90)</f>
        <v>4.3418999999999999E-2</v>
      </c>
      <c r="H90" s="50">
        <f>SUMIFS(Calc_NetworkV_1[Citipower],Calc_NetworkV_1[[Cost item]:[Cost item]],$C89,Calc_NetworkV_1[[Customer type]:[Customer type]],$F90)</f>
        <v>3.9800000000000002E-2</v>
      </c>
      <c r="I90" s="50">
        <f>SUMIFS(Calc_NetworkV_1[Jemena],Calc_NetworkV_1[[Cost item]:[Cost item]],$C89,Calc_NetworkV_1[[Customer type]:[Customer type]],$F90)</f>
        <v>3.8900000000000004E-2</v>
      </c>
      <c r="J90" s="50">
        <f>SUMIFS(Calc_NetworkV_1[Powercor],Calc_NetworkV_1[[Cost item]:[Cost item]],$C89,Calc_NetworkV_1[[Customer type]:[Customer type]],$F90)</f>
        <v>3.9599999999999996E-2</v>
      </c>
      <c r="K90" s="50">
        <f>SUMIFS(Calc_NetworkV_1[United Energy],Calc_NetworkV_1[[Cost item]:[Cost item]],$C89,Calc_NetworkV_1[[Customer type]:[Customer type]],$F90)</f>
        <v>3.95E-2</v>
      </c>
    </row>
    <row r="91" spans="2:11" hidden="1" outlineLevel="1" x14ac:dyDescent="0.25">
      <c r="B91"/>
      <c r="C91" s="18" t="s">
        <v>216</v>
      </c>
      <c r="D91" s="18" t="s">
        <v>9</v>
      </c>
      <c r="E91" s="18" t="s">
        <v>218</v>
      </c>
      <c r="F91" s="18" t="s">
        <v>31</v>
      </c>
      <c r="G91" s="50">
        <f>SUMIFS(Calc_Variable_1[Ausnet],Calc_Variable_1[[Customer type]:[Customer type]],"All")+SUMIFS(Calc_Variable_1[Ausnet],Calc_Variable_1[[Customer type]:[Customer type]],$F91)</f>
        <v>0.12637186287937996</v>
      </c>
      <c r="H91" s="50">
        <f>SUMIFS(Calc_Variable_1[Citipower],Calc_Variable_1[[Customer type]:[Customer type]],"All")+SUMIFS(Calc_Variable_1[Citipower],Calc_Variable_1[[Customer type]:[Customer type]],$F91)</f>
        <v>0.11874531208829922</v>
      </c>
      <c r="I91" s="50">
        <f>SUMIFS(Calc_Variable_1[Jemena],Calc_Variable_1[[Customer type]:[Customer type]],"All")+SUMIFS(Calc_Variable_1[Jemena],Calc_Variable_1[[Customer type]:[Customer type]],$F91)</f>
        <v>0.12678140704542384</v>
      </c>
      <c r="J91" s="50">
        <f>SUMIFS(Calc_Variable_1[Powercor],Calc_Variable_1[[Customer type]:[Customer type]],"All")+SUMIFS(Calc_Variable_1[Powercor],Calc_Variable_1[[Customer type]:[Customer type]],$F91)</f>
        <v>0.12465456385532679</v>
      </c>
      <c r="K91" s="50">
        <f>SUMIFS(Calc_Variable_1[United Energy],Calc_Variable_1[[Customer type]:[Customer type]],"All")+SUMIFS(Calc_Variable_1[United Energy],Calc_Variable_1[[Customer type]:[Customer type]],$F91)</f>
        <v>0.1290291282783943</v>
      </c>
    </row>
    <row r="92" spans="2:11" hidden="1" outlineLevel="1" x14ac:dyDescent="0.25">
      <c r="B92"/>
      <c r="C92" s="18" t="s">
        <v>139</v>
      </c>
      <c r="D92" s="18" t="s">
        <v>9</v>
      </c>
      <c r="E92" s="18" t="s">
        <v>218</v>
      </c>
      <c r="F92" s="18" t="s">
        <v>31</v>
      </c>
      <c r="G92" s="62" cm="1">
        <f t="array" ref="G92">IF(G90=0,"-",
(G90+G91)*Calc_ROM_1[Ausnet])</f>
        <v>1.0255368117914549E-2</v>
      </c>
      <c r="H92" s="62" cm="1">
        <f t="array" ref="H92">IF(H90=0,"-",
(H90+H91)*Calc_ROM_1[Ausnet])</f>
        <v>9.5761368501332735E-3</v>
      </c>
      <c r="I92" s="62" cm="1">
        <f t="array" ref="I92">IF(I90=0,"-",
(I90+I91)*Calc_ROM_1[Ausnet])</f>
        <v>1.00071569855436E-2</v>
      </c>
      <c r="J92" s="62" cm="1">
        <f t="array" ref="J92">IF(J90=0,"-",
(J90+J91)*Calc_ROM_1[Ausnet])</f>
        <v>9.9209756568617372E-3</v>
      </c>
      <c r="K92" s="62" cm="1">
        <f t="array" ref="K92">IF(K90=0,"-",
(K90+K91)*Calc_ROM_1[Ausnet])</f>
        <v>1.0179159348015016E-2</v>
      </c>
    </row>
    <row r="93" spans="2:11" hidden="1" outlineLevel="1" x14ac:dyDescent="0.25">
      <c r="B93"/>
      <c r="C93" s="18" t="s">
        <v>213</v>
      </c>
      <c r="D93" s="18" t="s">
        <v>9</v>
      </c>
      <c r="E93" s="18" t="s">
        <v>218</v>
      </c>
      <c r="F93" s="18" t="s">
        <v>31</v>
      </c>
      <c r="G93" s="62">
        <f>IF(G90=0,"-",
(G90+G91+G92)*GST)</f>
        <v>1.8004623099729451E-2</v>
      </c>
      <c r="H93" s="62">
        <f>IF(H90=0,"-",
(H90+H91+H92)*GST)</f>
        <v>1.6812144893843251E-2</v>
      </c>
      <c r="I93" s="62">
        <f>IF(I90=0,"-",
(I90+I91+I92)*GST)</f>
        <v>1.7568856403096744E-2</v>
      </c>
      <c r="J93" s="62">
        <f>IF(J90=0,"-",
(J90+J91+J92)*GST)</f>
        <v>1.7417553951218852E-2</v>
      </c>
      <c r="K93" s="62">
        <f>IF(K90=0,"-",
(K90+K91+K92)*GST)</f>
        <v>1.7870828762640935E-2</v>
      </c>
    </row>
    <row r="94" spans="2:11" hidden="1" outlineLevel="1" x14ac:dyDescent="0.25">
      <c r="B94"/>
      <c r="C94" s="18" t="str">
        <f>C89&amp;" charge"</f>
        <v>Off peak charge</v>
      </c>
      <c r="D94" s="18" t="s">
        <v>9</v>
      </c>
      <c r="E94" s="18" t="s">
        <v>218</v>
      </c>
      <c r="F94" s="18" t="s">
        <v>31</v>
      </c>
      <c r="G94" s="63">
        <f>IF(G90=0,"-",
SUM(G90:G93))</f>
        <v>0.19805085409702394</v>
      </c>
      <c r="H94" s="63">
        <f>IF(H90=0,"-",
SUM(H90:H93))</f>
        <v>0.18493359383227576</v>
      </c>
      <c r="I94" s="63">
        <f t="shared" ref="I94" si="22">IF(I90=0,"-",
SUM(I90:I93))</f>
        <v>0.19325742043406419</v>
      </c>
      <c r="J94" s="63">
        <f t="shared" ref="J94" si="23">IF(J90=0,"-",
SUM(J90:J93))</f>
        <v>0.19159309346340736</v>
      </c>
      <c r="K94" s="63">
        <f t="shared" ref="K94" si="24">IF(K90=0,"-",
SUM(K90:K93))</f>
        <v>0.19657911638905026</v>
      </c>
    </row>
    <row r="95" spans="2:11" hidden="1" outlineLevel="1" x14ac:dyDescent="0.25">
      <c r="B95"/>
      <c r="G95" s="89" t="e" cm="1">
        <f t="array" ref="G95">IF($D$5=#REF!,
IF(G94=INDEX(#REF!,MATCH(IF(OR(Calc_Rates!$C94="Single rate charge",Calc_Rates!$C94="Block 1 charge",Calc_Rates!$C94="Balance charge"),"Anytime - ","TOU - ")&amp;Calc_Rates!$C94&amp;"_"&amp;Calc_Rates!$F94,#REF!,0),MATCH(Calc_Rates!G$9,#REF!,0)),0,1),
IF(G94="-","-",
IF(ROUND(G94,8)=ROUND((((
SUMIFS(Calc_Variable_1[Ausnet],Calc_Variable_1[Customer type],Calc_Rates!$F94)+
SUMIFS(Calc_Variable_1[Ausnet],Calc_Variable_1[Customer type],"All")+G90)*(1+Calc_ROM_1[Ausnet]))*(1+GST)),8),0,1)))</f>
        <v>#REF!</v>
      </c>
      <c r="H95" s="89" t="e" cm="1">
        <f t="array" ref="H95">IF($D$5=#REF!,
IF(H94=INDEX(#REF!,MATCH(IF(OR(Calc_Rates!$C94="Single rate charge",Calc_Rates!$C94="Block 1 charge",Calc_Rates!$C94="Balance charge"),"Anytime - ","TOU - ")&amp;Calc_Rates!$C94&amp;"_"&amp;Calc_Rates!$F94,#REF!,0),MATCH(Calc_Rates!H$9,#REF!,0)),0,1),
IF(H94="-","-",
IF(ROUND(H94,8)=ROUND((((
SUMIFS(Calc_Variable_1[Citipower],Calc_Variable_1[Customer type],Calc_Rates!$F94)+
SUMIFS(Calc_Variable_1[Citipower],Calc_Variable_1[Customer type],"All")+H90)*(1+Calc_ROM_1[Citipower]))*(1+GST)),8),0,1)))</f>
        <v>#REF!</v>
      </c>
      <c r="I95" s="89" t="e" cm="1">
        <f t="array" ref="I95">IF($D$5=#REF!,
IF(I94=INDEX(#REF!,MATCH(IF(OR(Calc_Rates!$C94="Single rate charge",Calc_Rates!$C94="Block 1 charge",Calc_Rates!$C94="Balance charge"),"Anytime - ","TOU - ")&amp;Calc_Rates!$C94&amp;"_"&amp;Calc_Rates!$F94,#REF!,0),MATCH(Calc_Rates!I$9,#REF!,0)),0,1),
IF(I94="-","-",
IF(ROUND(I94,8)=ROUND((((
SUMIFS(Calc_Variable_1[Jemena],Calc_Variable_1[Customer type],Calc_Rates!$F94)+
SUMIFS(Calc_Variable_1[Jemena],Calc_Variable_1[Customer type],"All")+I90)*(1+Calc_ROM_1[Jemena]))*(1+GST)),8),0,1)))</f>
        <v>#REF!</v>
      </c>
      <c r="J95" s="89" t="e" cm="1">
        <f t="array" ref="J95">IF($D$5=#REF!,
IF(J94=INDEX(#REF!,MATCH(IF(OR(Calc_Rates!$C94="Single rate charge",Calc_Rates!$C94="Block 1 charge",Calc_Rates!$C94="Balance charge"),"Anytime - ","TOU - ")&amp;Calc_Rates!$C94&amp;"_"&amp;Calc_Rates!$F94,#REF!,0),MATCH(Calc_Rates!J$9,#REF!,0)),0,1),
IF(J94="-","-",
IF(ROUND(J94,8)=ROUND((((
SUMIFS(Calc_Variable_1[Powercor],Calc_Variable_1[[Customer type]:[Customer type]],Calc_Rates!$F94)+
SUMIFS(Calc_Variable_1[Powercor],Calc_Variable_1[[Customer type]:[Customer type]],"All")+J90)*(1+Calc_ROM_1[Powercor]))*(1+GST)),8),0,1)))</f>
        <v>#REF!</v>
      </c>
      <c r="K95" s="89" t="e" cm="1">
        <f t="array" ref="K95">IF($D$5=#REF!,
IF(K94=INDEX(#REF!,MATCH(IF(OR(Calc_Rates!$C94="Single rate charge",Calc_Rates!$C94="Block 1 charge",Calc_Rates!$C94="Balance charge"),"Anytime - ","TOU - ")&amp;Calc_Rates!$C94&amp;"_"&amp;Calc_Rates!$F94,#REF!,0),MATCH(Calc_Rates!K$9,#REF!,0)),0,1),
IF(K94="-","-",
IF(ROUND(K94,8)=ROUND((((
SUMIFS(Calc_Variable_1[United Energy],Calc_Variable_1[[Customer type]:[Customer type]],Calc_Rates!$F94)+
SUMIFS(Calc_Variable_1[United Energy],Calc_Variable_1[[Customer type]:[Customer type]],"All")+K90)*(1+Calc_ROM_1[United Energy]))*(1+GST)),8),0,1)))</f>
        <v>#REF!</v>
      </c>
    </row>
    <row r="96" spans="2:11" ht="15.75" hidden="1" outlineLevel="1" x14ac:dyDescent="0.25">
      <c r="B96"/>
      <c r="C96" s="70" t="s">
        <v>223</v>
      </c>
    </row>
    <row r="97" spans="2:11" hidden="1" outlineLevel="1" x14ac:dyDescent="0.25">
      <c r="B97"/>
      <c r="C97" s="18" t="s">
        <v>222</v>
      </c>
      <c r="D97" s="18" t="s">
        <v>9</v>
      </c>
      <c r="E97" s="18" t="s">
        <v>218</v>
      </c>
      <c r="F97" s="18" t="s">
        <v>31</v>
      </c>
      <c r="G97" s="50">
        <f>SUMIFS(Calc_NetworkV_1[Ausnet],Calc_NetworkV_1[[Cost item]:[Cost item]],$C96,Calc_NetworkV_1[[Customer type]:[Customer type]],$F97)</f>
        <v>4.2622999999999994E-2</v>
      </c>
      <c r="H97" s="50">
        <f>SUMIFS(Calc_NetworkV_1[Citipower],Calc_NetworkV_1[[Cost item]:[Cost item]],$C96,Calc_NetworkV_1[[Customer type]:[Customer type]],$F97)</f>
        <v>2.4700000000000003E-2</v>
      </c>
      <c r="I97" s="50">
        <f>SUMIFS(Calc_NetworkV_1[Jemena],Calc_NetworkV_1[[Cost item]:[Cost item]],$C96,Calc_NetworkV_1[[Customer type]:[Customer type]],$F97)</f>
        <v>3.5990000000000001E-2</v>
      </c>
      <c r="J97" s="50">
        <f>SUMIFS(Calc_NetworkV_1[Powercor],Calc_NetworkV_1[[Cost item]:[Cost item]],$C96,Calc_NetworkV_1[[Customer type]:[Customer type]],$F97)</f>
        <v>2.3900000000000001E-2</v>
      </c>
      <c r="K97" s="50">
        <f>SUMIFS(Calc_NetworkV_1[United Energy],Calc_NetworkV_1[[Cost item]:[Cost item]],$C96,Calc_NetworkV_1[[Customer type]:[Customer type]],$F97)</f>
        <v>2.1700000000000001E-2</v>
      </c>
    </row>
    <row r="98" spans="2:11" hidden="1" outlineLevel="1" x14ac:dyDescent="0.25">
      <c r="B98"/>
      <c r="C98" s="18" t="s">
        <v>216</v>
      </c>
      <c r="D98" s="18" t="s">
        <v>9</v>
      </c>
      <c r="E98" s="18" t="s">
        <v>218</v>
      </c>
      <c r="F98" s="18" t="s">
        <v>31</v>
      </c>
      <c r="G98" s="50">
        <f>SUMIFS(Calc_Variable_1[Ausnet],Calc_Variable_1[[Customer type]:[Customer type]],"All")+SUMIFS(Calc_Variable_1[Ausnet],Calc_Variable_1[[Customer type]:[Customer type]],$F98)</f>
        <v>0.12637186287937996</v>
      </c>
      <c r="H98" s="50">
        <f>SUMIFS(Calc_Variable_1[Citipower],Calc_Variable_1[[Customer type]:[Customer type]],"All")+SUMIFS(Calc_Variable_1[Citipower],Calc_Variable_1[[Customer type]:[Customer type]],$F98)</f>
        <v>0.11874531208829922</v>
      </c>
      <c r="I98" s="50">
        <f>SUMIFS(Calc_Variable_1[Jemena],Calc_Variable_1[[Customer type]:[Customer type]],"All")+SUMIFS(Calc_Variable_1[Jemena],Calc_Variable_1[[Customer type]:[Customer type]],$F98)</f>
        <v>0.12678140704542384</v>
      </c>
      <c r="J98" s="50">
        <f>SUMIFS(Calc_Variable_1[Powercor],Calc_Variable_1[[Customer type]:[Customer type]],"All")+SUMIFS(Calc_Variable_1[Powercor],Calc_Variable_1[[Customer type]:[Customer type]],$F98)</f>
        <v>0.12465456385532679</v>
      </c>
      <c r="K98" s="50">
        <f>SUMIFS(Calc_Variable_1[United Energy],Calc_Variable_1[[Customer type]:[Customer type]],"All")+SUMIFS(Calc_Variable_1[United Energy],Calc_Variable_1[[Customer type]:[Customer type]],$F98)</f>
        <v>0.1290291282783943</v>
      </c>
    </row>
    <row r="99" spans="2:11" hidden="1" outlineLevel="1" x14ac:dyDescent="0.25">
      <c r="B99"/>
      <c r="C99" s="18" t="s">
        <v>139</v>
      </c>
      <c r="D99" s="18" t="s">
        <v>9</v>
      </c>
      <c r="E99" s="18" t="s">
        <v>218</v>
      </c>
      <c r="F99" s="18" t="s">
        <v>31</v>
      </c>
      <c r="G99" s="62" cm="1">
        <f t="array" ref="G99">IF(G97=0,"-",
(G97+G98)*Calc_ROM_1[Ausnet])</f>
        <v>1.020728971791455E-2</v>
      </c>
      <c r="H99" s="62" cm="1">
        <f t="array" ref="H99">IF(H97=0,"-",
(H97+H98)*Calc_ROM_1[Ausnet])</f>
        <v>8.6640968501332724E-3</v>
      </c>
      <c r="I99" s="62" cm="1">
        <f t="array" ref="I99">IF(I97=0,"-",
(I97+I98)*Calc_ROM_1[Ausnet])</f>
        <v>9.8313929855435994E-3</v>
      </c>
      <c r="J99" s="62" cm="1">
        <f t="array" ref="J99">IF(J97=0,"-",
(J97+J98)*Calc_ROM_1[Ausnet])</f>
        <v>8.9726956568617379E-3</v>
      </c>
      <c r="K99" s="62" cm="1">
        <f t="array" ref="K99">IF(K97=0,"-",
(K97+K98)*Calc_ROM_1[Ausnet])</f>
        <v>9.1040393480150156E-3</v>
      </c>
    </row>
    <row r="100" spans="2:11" hidden="1" outlineLevel="1" x14ac:dyDescent="0.25">
      <c r="B100"/>
      <c r="C100" s="18" t="s">
        <v>213</v>
      </c>
      <c r="D100" s="18" t="s">
        <v>9</v>
      </c>
      <c r="E100" s="18" t="s">
        <v>218</v>
      </c>
      <c r="F100" s="18" t="s">
        <v>31</v>
      </c>
      <c r="G100" s="62">
        <f>IF(G97=0,"-",
(G97+G98+G99)*GST)</f>
        <v>1.792021525972945E-2</v>
      </c>
      <c r="H100" s="62">
        <f>IF(H97=0,"-",
(H97+H98+H99)*GST)</f>
        <v>1.521094089384325E-2</v>
      </c>
      <c r="I100" s="62">
        <f>IF(I97=0,"-",
(I97+I98+I99)*GST)</f>
        <v>1.7260280003096744E-2</v>
      </c>
      <c r="J100" s="62">
        <f>IF(J97=0,"-",
(J97+J98+J99)*GST)</f>
        <v>1.5752725951218852E-2</v>
      </c>
      <c r="K100" s="62">
        <f>IF(K97=0,"-",
(K97+K98+K99)*GST)</f>
        <v>1.598331676264093E-2</v>
      </c>
    </row>
    <row r="101" spans="2:11" hidden="1" outlineLevel="1" x14ac:dyDescent="0.25">
      <c r="B101"/>
      <c r="C101" s="18" t="str">
        <f>C96&amp;" charge"</f>
        <v>Controlled load charge</v>
      </c>
      <c r="D101" s="18" t="s">
        <v>9</v>
      </c>
      <c r="E101" s="18" t="s">
        <v>218</v>
      </c>
      <c r="F101" s="18" t="s">
        <v>31</v>
      </c>
      <c r="G101" s="63">
        <f>IF(G97=0,"-",
SUM(G97:G100))</f>
        <v>0.19712236785702394</v>
      </c>
      <c r="H101" s="63">
        <f>IF(H97=0,"-",
SUM(H97:H100))</f>
        <v>0.16732034983227576</v>
      </c>
      <c r="I101" s="63">
        <f t="shared" ref="I101" si="25">IF(I97=0,"-",
SUM(I97:I100))</f>
        <v>0.18986308003406419</v>
      </c>
      <c r="J101" s="63">
        <f t="shared" ref="J101" si="26">IF(J97=0,"-",
SUM(J97:J100))</f>
        <v>0.17327998546340737</v>
      </c>
      <c r="K101" s="63">
        <f t="shared" ref="K101" si="27">IF(K97=0,"-",
SUM(K97:K100))</f>
        <v>0.17581648438905023</v>
      </c>
    </row>
    <row r="102" spans="2:11" hidden="1" outlineLevel="1" x14ac:dyDescent="0.25">
      <c r="B102"/>
      <c r="G102" s="89" t="e" cm="1">
        <f t="array" ref="G102">IF($D$5=#REF!,
IF(G101=INDEX(#REF!,MATCH(IF(OR(Calc_Rates!$C101="Single rate charge",Calc_Rates!$C101="Block 1 charge",Calc_Rates!$C101="Balance charge"),"Anytime - ","TOU - ")&amp;Calc_Rates!$C101&amp;"_"&amp;Calc_Rates!$F101,#REF!,0),MATCH(Calc_Rates!G$9,#REF!,0)),0,1),
IF(G101="-","-",
IF(ROUND(G101,8)=ROUND((((
SUMIFS(Calc_Variable_1[Ausnet],Calc_Variable_1[Customer type],Calc_Rates!$F101)+
SUMIFS(Calc_Variable_1[Ausnet],Calc_Variable_1[Customer type],"All")+G97)*(1+Calc_ROM_1[Ausnet]))*(1+GST)),8),0,1)))</f>
        <v>#REF!</v>
      </c>
      <c r="H102" s="89" t="e" cm="1">
        <f t="array" ref="H102">IF($D$5=#REF!,
IF(H101=INDEX(#REF!,MATCH(IF(OR(Calc_Rates!$C101="Single rate charge",Calc_Rates!$C101="Block 1 charge",Calc_Rates!$C101="Balance charge"),"Anytime - ","TOU - ")&amp;Calc_Rates!$C101&amp;"_"&amp;Calc_Rates!$F101,#REF!,0),MATCH(Calc_Rates!H$9,#REF!,0)),0,1),
IF(H101="-","-",
IF(ROUND(H101,8)=ROUND((((
SUMIFS(Calc_Variable_1[Citipower],Calc_Variable_1[Customer type],Calc_Rates!$F101)+
SUMIFS(Calc_Variable_1[Citipower],Calc_Variable_1[Customer type],"All")+H97)*(1+Calc_ROM_1[Citipower]))*(1+GST)),8),0,1)))</f>
        <v>#REF!</v>
      </c>
      <c r="I102" s="89" t="e" cm="1">
        <f t="array" ref="I102">IF($D$5=#REF!,
IF(I101=INDEX(#REF!,MATCH(IF(OR(Calc_Rates!$C101="Single rate charge",Calc_Rates!$C101="Block 1 charge",Calc_Rates!$C101="Balance charge"),"Anytime - ","TOU - ")&amp;Calc_Rates!$C101&amp;"_"&amp;Calc_Rates!$F101,#REF!,0),MATCH(Calc_Rates!I$9,#REF!,0)),0,1),
IF(I101="-","-",
IF(ROUND(I101,8)=ROUND((((
SUMIFS(Calc_Variable_1[Jemena],Calc_Variable_1[Customer type],Calc_Rates!$F101)+
SUMIFS(Calc_Variable_1[Jemena],Calc_Variable_1[Customer type],"All")+I97)*(1+Calc_ROM_1[Jemena]))*(1+GST)),8),0,1)))</f>
        <v>#REF!</v>
      </c>
      <c r="J102" s="89" t="e" cm="1">
        <f t="array" ref="J102">IF($D$5=#REF!,
IF(J101=INDEX(#REF!,MATCH(IF(OR(Calc_Rates!$C101="Single rate charge",Calc_Rates!$C101="Block 1 charge",Calc_Rates!$C101="Balance charge"),"Anytime - ","TOU - ")&amp;Calc_Rates!$C101&amp;"_"&amp;Calc_Rates!$F101,#REF!,0),MATCH(Calc_Rates!J$9,#REF!,0)),0,1),
IF(J101="-","-",
IF(ROUND(J101,8)=ROUND((((
SUMIFS(Calc_Variable_1[Powercor],Calc_Variable_1[[Customer type]:[Customer type]],Calc_Rates!$F101)+
SUMIFS(Calc_Variable_1[Powercor],Calc_Variable_1[[Customer type]:[Customer type]],"All")+J97)*(1+Calc_ROM_1[Powercor]))*(1+GST)),8),0,1)))</f>
        <v>#REF!</v>
      </c>
      <c r="K102" s="89" t="e" cm="1">
        <f t="array" ref="K102">IF($D$5=#REF!,
IF(K101=INDEX(#REF!,MATCH(IF(OR(Calc_Rates!$C101="Single rate charge",Calc_Rates!$C101="Block 1 charge",Calc_Rates!$C101="Balance charge"),"Anytime - ","TOU - ")&amp;Calc_Rates!$C101&amp;"_"&amp;Calc_Rates!$F101,#REF!,0),MATCH(Calc_Rates!K$9,#REF!,0)),0,1),
IF(K101="-","-",
IF(ROUND(K101,8)=ROUND((((
SUMIFS(Calc_Variable_1[United Energy],Calc_Variable_1[[Customer type]:[Customer type]],Calc_Rates!$F101)+
SUMIFS(Calc_Variable_1[United Energy],Calc_Variable_1[[Customer type]:[Customer type]],"All")+K97)*(1+Calc_ROM_1[United Energy]))*(1+GST)),8),0,1)))</f>
        <v>#REF!</v>
      </c>
    </row>
    <row r="103" spans="2:11" ht="15.75" collapsed="1" x14ac:dyDescent="0.25">
      <c r="B103"/>
      <c r="C103" s="23" t="s">
        <v>224</v>
      </c>
    </row>
    <row r="104" spans="2:11" ht="15.75" hidden="1" outlineLevel="1" x14ac:dyDescent="0.25">
      <c r="B104"/>
      <c r="C104" s="1" t="s">
        <v>374</v>
      </c>
    </row>
    <row r="105" spans="2:11" ht="15.75" hidden="1" outlineLevel="1" x14ac:dyDescent="0.25">
      <c r="B105"/>
      <c r="C105" s="70" t="s">
        <v>157</v>
      </c>
    </row>
    <row r="106" spans="2:11" hidden="1" outlineLevel="1" x14ac:dyDescent="0.25">
      <c r="B106"/>
      <c r="C106" s="18" t="s">
        <v>222</v>
      </c>
      <c r="D106" s="18" t="s">
        <v>9</v>
      </c>
      <c r="E106" s="18" t="s">
        <v>218</v>
      </c>
      <c r="F106" s="18" t="s">
        <v>32</v>
      </c>
      <c r="G106" s="50">
        <f>SUMIFS(Calc_NetworkV_1[Ausnet],Calc_NetworkV_1[[Cost item]:[Cost item]],$C105,Calc_NetworkV_1[[Customer type]:[Customer type]],$F106)</f>
        <v>0.155386</v>
      </c>
      <c r="H106" s="50">
        <f>SUMIFS(Calc_NetworkV_1[Citipower],Calc_NetworkV_1[[Cost item]:[Cost item]],$C105,Calc_NetworkV_1[[Customer type]:[Customer type]],$F106)</f>
        <v>0</v>
      </c>
      <c r="I106" s="50">
        <f>SUMIFS(Calc_NetworkV_1[Jemena],Calc_NetworkV_1[[Cost item]:[Cost item]],$C105,Calc_NetworkV_1[[Customer type]:[Customer type]],$F106)</f>
        <v>0</v>
      </c>
      <c r="J106" s="50">
        <f>SUMIFS(Calc_NetworkV_1[Powercor],Calc_NetworkV_1[[Cost item]:[Cost item]],$C105,Calc_NetworkV_1[[Customer type]:[Customer type]],$F106)</f>
        <v>0</v>
      </c>
      <c r="K106" s="50">
        <f>SUMIFS(Calc_NetworkV_1[United Energy],Calc_NetworkV_1[[Cost item]:[Cost item]],$C105,Calc_NetworkV_1[[Customer type]:[Customer type]],$F106)</f>
        <v>0</v>
      </c>
    </row>
    <row r="107" spans="2:11" hidden="1" outlineLevel="1" x14ac:dyDescent="0.25">
      <c r="B107"/>
      <c r="C107" s="18" t="s">
        <v>216</v>
      </c>
      <c r="D107" s="18" t="s">
        <v>9</v>
      </c>
      <c r="E107" s="18" t="s">
        <v>218</v>
      </c>
      <c r="F107" s="18" t="s">
        <v>32</v>
      </c>
      <c r="G107" s="50">
        <f>SUMIFS(Calc_Variable_1[Ausnet],Calc_Variable_1[[Customer type]:[Customer type]],"All")+SUMIFS(Calc_Variable_1[Ausnet],Calc_Variable_1[[Customer type]:[Customer type]],$F107)</f>
        <v>0.11369540103847998</v>
      </c>
      <c r="H107" s="50">
        <f>SUMIFS(Calc_Variable_1[Citipower],Calc_Variable_1[[Customer type]:[Customer type]],"All")+SUMIFS(Calc_Variable_1[Citipower],Calc_Variable_1[[Customer type]:[Customer type]],$F107)</f>
        <v>0.11472917972222922</v>
      </c>
      <c r="I107" s="50">
        <f>SUMIFS(Calc_Variable_1[Jemena],Calc_Variable_1[[Customer type]:[Customer type]],"All")+SUMIFS(Calc_Variable_1[Jemena],Calc_Variable_1[[Customer type]:[Customer type]],$F107)</f>
        <v>0.11289772271369052</v>
      </c>
      <c r="J107" s="50">
        <f>SUMIFS(Calc_Variable_1[Powercor],Calc_Variable_1[[Customer type]:[Customer type]],"All")+SUMIFS(Calc_Variable_1[Powercor],Calc_Variable_1[[Customer type]:[Customer type]],$F107)</f>
        <v>0.11176944916975179</v>
      </c>
      <c r="K107" s="50">
        <f>SUMIFS(Calc_Variable_1[United Energy],Calc_Variable_1[[Customer type]:[Customer type]],"All")+SUMIFS(Calc_Variable_1[United Energy],Calc_Variable_1[[Customer type]:[Customer type]],$F107)</f>
        <v>0.1167894443806243</v>
      </c>
    </row>
    <row r="108" spans="2:11" hidden="1" outlineLevel="1" x14ac:dyDescent="0.25">
      <c r="B108"/>
      <c r="C108" s="18" t="s">
        <v>139</v>
      </c>
      <c r="D108" s="18" t="s">
        <v>9</v>
      </c>
      <c r="E108" s="18" t="s">
        <v>218</v>
      </c>
      <c r="F108" s="18" t="s">
        <v>32</v>
      </c>
      <c r="G108" s="62" cm="1">
        <f t="array" ref="G108">IF(G106=0,"-",
(G106+G107)*Calc_ROM_1[Ausnet])</f>
        <v>1.6252516622724193E-2</v>
      </c>
      <c r="H108" s="62" t="str" cm="1">
        <f t="array" ref="H108">IF(H106=0,"-",
(H106+H107)*Calc_ROM_1[Ausnet])</f>
        <v>-</v>
      </c>
      <c r="I108" s="62" t="str" cm="1">
        <f t="array" ref="I108">IF(I106=0,"-",
(I106+I107)*Calc_ROM_1[Ausnet])</f>
        <v>-</v>
      </c>
      <c r="J108" s="62" t="str" cm="1">
        <f t="array" ref="J108">IF(J106=0,"-",
(J106+J107)*Calc_ROM_1[Ausnet])</f>
        <v>-</v>
      </c>
      <c r="K108" s="62" t="str" cm="1">
        <f t="array" ref="K108">IF(K106=0,"-",
(K106+K107)*Calc_ROM_1[Ausnet])</f>
        <v>-</v>
      </c>
    </row>
    <row r="109" spans="2:11" hidden="1" outlineLevel="1" x14ac:dyDescent="0.25">
      <c r="B109"/>
      <c r="C109" s="18" t="s">
        <v>213</v>
      </c>
      <c r="D109" s="18" t="s">
        <v>9</v>
      </c>
      <c r="E109" s="18" t="s">
        <v>218</v>
      </c>
      <c r="F109" s="18" t="s">
        <v>32</v>
      </c>
      <c r="G109" s="62">
        <f>IF(G106=0,"-",
(G106+G107+G108)*GST)</f>
        <v>2.8533391766120422E-2</v>
      </c>
      <c r="H109" s="62" t="str">
        <f>IF(H106=0,"-",
(H106+H107+H108)*GST)</f>
        <v>-</v>
      </c>
      <c r="I109" s="62" t="str">
        <f>IF(I106=0,"-",
(I106+I107+I108)*GST)</f>
        <v>-</v>
      </c>
      <c r="J109" s="62" t="str">
        <f>IF(J106=0,"-",
(J106+J107+J108)*GST)</f>
        <v>-</v>
      </c>
      <c r="K109" s="62" t="str">
        <f>IF(K106=0,"-",
(K106+K107+K108)*GST)</f>
        <v>-</v>
      </c>
    </row>
    <row r="110" spans="2:11" hidden="1" outlineLevel="1" x14ac:dyDescent="0.25">
      <c r="B110"/>
      <c r="C110" s="18" t="str">
        <f>C105&amp;" charge"</f>
        <v>Block 1 charge</v>
      </c>
      <c r="D110" s="18" t="s">
        <v>9</v>
      </c>
      <c r="E110" s="18" t="s">
        <v>218</v>
      </c>
      <c r="F110" s="18" t="s">
        <v>32</v>
      </c>
      <c r="G110" s="63">
        <f>IF(G106=0,"-",
SUM(G106:G109))</f>
        <v>0.3138673094273246</v>
      </c>
      <c r="H110" s="63" t="str">
        <f>IF(H106=0,"-",
SUM(H106:H109))</f>
        <v>-</v>
      </c>
      <c r="I110" s="63" t="str">
        <f t="shared" ref="I110" si="28">IF(I106=0,"-",
SUM(I106:I109))</f>
        <v>-</v>
      </c>
      <c r="J110" s="63" t="str">
        <f t="shared" ref="J110" si="29">IF(J106=0,"-",
SUM(J106:J109))</f>
        <v>-</v>
      </c>
      <c r="K110" s="63" t="str">
        <f t="shared" ref="K110" si="30">IF(K106=0,"-",
SUM(K106:K109))</f>
        <v>-</v>
      </c>
    </row>
    <row r="111" spans="2:11" hidden="1" outlineLevel="1" x14ac:dyDescent="0.25">
      <c r="B111"/>
      <c r="G111" s="89" t="e" cm="1">
        <f t="array" ref="G111">IF($D$5=#REF!,
IF(G110=INDEX(#REF!,MATCH(IF(OR(Calc_Rates!$C110="Single rate charge",Calc_Rates!$C110="Block 1 charge",Calc_Rates!$C110="Balance charge"),"Anytime - ","TOU - ")&amp;Calc_Rates!$C110&amp;"_"&amp;Calc_Rates!$F110,#REF!,0),MATCH(Calc_Rates!G$9,#REF!,0)),0,1),
IF(G110="-","-",
IF(ROUND(G110,8)=ROUND((((
SUMIFS(Calc_Variable_1[Ausnet],Calc_Variable_1[Customer type],Calc_Rates!$F110)+
SUMIFS(Calc_Variable_1[Ausnet],Calc_Variable_1[Customer type],"All")+G106)*(1+Calc_ROM_1[Ausnet]))*(1+GST)),8),0,1)))</f>
        <v>#REF!</v>
      </c>
      <c r="H111" s="89" t="e" cm="1">
        <f t="array" ref="H111">IF($D$5=#REF!,
IF(H110=INDEX(#REF!,MATCH(IF(OR(Calc_Rates!$C110="Single rate charge",Calc_Rates!$C110="Block 1 charge",Calc_Rates!$C110="Balance charge"),"Anytime - ","TOU - ")&amp;Calc_Rates!$C110&amp;"_"&amp;Calc_Rates!$F110,#REF!,0),MATCH(Calc_Rates!H$9,#REF!,0)),0,1),
IF(H110="-","-",
IF(ROUND(H110,8)=ROUND((((
SUMIFS(Calc_Variable_1[Citipower],Calc_Variable_1[Customer type],Calc_Rates!$F110)+
SUMIFS(Calc_Variable_1[Citipower],Calc_Variable_1[Customer type],"All")+H106)*(1+Calc_ROM_1[Citipower]))*(1+GST)),8),0,1)))</f>
        <v>#REF!</v>
      </c>
      <c r="I111" s="89" t="e" cm="1">
        <f t="array" ref="I111">IF($D$5=#REF!,
IF(I110=INDEX(#REF!,MATCH(IF(OR(Calc_Rates!$C110="Single rate charge",Calc_Rates!$C110="Block 1 charge",Calc_Rates!$C110="Balance charge"),"Anytime - ","TOU - ")&amp;Calc_Rates!$C110&amp;"_"&amp;Calc_Rates!$F110,#REF!,0),MATCH(Calc_Rates!I$9,#REF!,0)),0,1),
IF(I110="-","-",
IF(ROUND(I110,8)=ROUND((((
SUMIFS(Calc_Variable_1[Jemena],Calc_Variable_1[Customer type],Calc_Rates!$F110)+
SUMIFS(Calc_Variable_1[Jemena],Calc_Variable_1[Customer type],"All")+I106)*(1+Calc_ROM_1[Jemena]))*(1+GST)),8),0,1)))</f>
        <v>#REF!</v>
      </c>
      <c r="J111" s="89" t="e" cm="1">
        <f t="array" ref="J111">IF($D$5=#REF!,
IF(J110=INDEX(#REF!,MATCH(IF(OR(Calc_Rates!$C110="Single rate charge",Calc_Rates!$C110="Block 1 charge",Calc_Rates!$C110="Balance charge"),"Anytime - ","TOU - ")&amp;Calc_Rates!$C110&amp;"_"&amp;Calc_Rates!$F110,#REF!,0),MATCH(Calc_Rates!J$9,#REF!,0)),0,1),
IF(J110="-","-",
IF(ROUND(J110,8)=ROUND((((
SUMIFS(Calc_Variable_1[Powercor],Calc_Variable_1[[Customer type]:[Customer type]],Calc_Rates!$F110)+
SUMIFS(Calc_Variable_1[Powercor],Calc_Variable_1[[Customer type]:[Customer type]],"All")+J106)*(1+Calc_ROM_1[Powercor]))*(1+GST)),8),0,1)))</f>
        <v>#REF!</v>
      </c>
      <c r="K111" s="89" t="e" cm="1">
        <f t="array" ref="K111">IF($D$5=#REF!,
IF(K110=INDEX(#REF!,MATCH(IF(OR(Calc_Rates!$C110="Single rate charge",Calc_Rates!$C110="Block 1 charge",Calc_Rates!$C110="Balance charge"),"Anytime - ","TOU - ")&amp;Calc_Rates!$C110&amp;"_"&amp;Calc_Rates!$F110,#REF!,0),MATCH(Calc_Rates!K$9,#REF!,0)),0,1),
IF(K110="-","-",
IF(ROUND(K110,8)=ROUND((((
SUMIFS(Calc_Variable_1[United Energy],Calc_Variable_1[[Customer type]:[Customer type]],Calc_Rates!$F110)+
SUMIFS(Calc_Variable_1[United Energy],Calc_Variable_1[[Customer type]:[Customer type]],"All")+K106)*(1+Calc_ROM_1[United Energy]))*(1+GST)),8),0,1)))</f>
        <v>#REF!</v>
      </c>
    </row>
    <row r="112" spans="2:11" ht="15.75" hidden="1" outlineLevel="1" x14ac:dyDescent="0.25">
      <c r="B112"/>
      <c r="C112" s="70" t="s">
        <v>164</v>
      </c>
    </row>
    <row r="113" spans="2:11" hidden="1" outlineLevel="1" x14ac:dyDescent="0.25">
      <c r="B113"/>
      <c r="C113" s="18" t="s">
        <v>222</v>
      </c>
      <c r="D113" s="18" t="s">
        <v>9</v>
      </c>
      <c r="E113" s="18" t="s">
        <v>218</v>
      </c>
      <c r="F113" s="18" t="s">
        <v>32</v>
      </c>
      <c r="G113" s="50">
        <f>SUMIFS(Calc_NetworkV_1[Ausnet],Calc_NetworkV_1[[Cost item]:[Cost item]],$C112,Calc_NetworkV_1[[Customer type]:[Customer type]],$F113)</f>
        <v>0.182667</v>
      </c>
      <c r="H113" s="50">
        <f>SUMIFS(Calc_NetworkV_1[Citipower],Calc_NetworkV_1[[Cost item]:[Cost item]],$C112,Calc_NetworkV_1[[Customer type]:[Customer type]],$F113)</f>
        <v>0</v>
      </c>
      <c r="I113" s="50">
        <f>SUMIFS(Calc_NetworkV_1[Jemena],Calc_NetworkV_1[[Cost item]:[Cost item]],$C112,Calc_NetworkV_1[[Customer type]:[Customer type]],$F113)</f>
        <v>0</v>
      </c>
      <c r="J113" s="50">
        <f>SUMIFS(Calc_NetworkV_1[Powercor],Calc_NetworkV_1[[Cost item]:[Cost item]],$C112,Calc_NetworkV_1[[Customer type]:[Customer type]],$F113)</f>
        <v>0</v>
      </c>
      <c r="K113" s="50">
        <f>SUMIFS(Calc_NetworkV_1[United Energy],Calc_NetworkV_1[[Cost item]:[Cost item]],$C112,Calc_NetworkV_1[[Customer type]:[Customer type]],$F113)</f>
        <v>0</v>
      </c>
    </row>
    <row r="114" spans="2:11" hidden="1" outlineLevel="1" x14ac:dyDescent="0.25">
      <c r="B114"/>
      <c r="C114" s="18" t="s">
        <v>216</v>
      </c>
      <c r="D114" s="18" t="s">
        <v>9</v>
      </c>
      <c r="E114" s="18" t="s">
        <v>218</v>
      </c>
      <c r="F114" s="18" t="s">
        <v>32</v>
      </c>
      <c r="G114" s="50">
        <f>SUMIFS(Calc_Variable_1[Ausnet],Calc_Variable_1[[Customer type]:[Customer type]],"All")+SUMIFS(Calc_Variable_1[Ausnet],Calc_Variable_1[[Customer type]:[Customer type]],$F114)</f>
        <v>0.11369540103847998</v>
      </c>
      <c r="H114" s="50">
        <f>SUMIFS(Calc_Variable_1[Citipower],Calc_Variable_1[[Customer type]:[Customer type]],"All")+SUMIFS(Calc_Variable_1[Citipower],Calc_Variable_1[[Customer type]:[Customer type]],$F114)</f>
        <v>0.11472917972222922</v>
      </c>
      <c r="I114" s="50">
        <f>SUMIFS(Calc_Variable_1[Jemena],Calc_Variable_1[[Customer type]:[Customer type]],"All")+SUMIFS(Calc_Variable_1[Jemena],Calc_Variable_1[[Customer type]:[Customer type]],$F114)</f>
        <v>0.11289772271369052</v>
      </c>
      <c r="J114" s="50">
        <f>SUMIFS(Calc_Variable_1[Powercor],Calc_Variable_1[[Customer type]:[Customer type]],"All")+SUMIFS(Calc_Variable_1[Powercor],Calc_Variable_1[[Customer type]:[Customer type]],$F114)</f>
        <v>0.11176944916975179</v>
      </c>
      <c r="K114" s="50">
        <f>SUMIFS(Calc_Variable_1[United Energy],Calc_Variable_1[[Customer type]:[Customer type]],"All")+SUMIFS(Calc_Variable_1[United Energy],Calc_Variable_1[[Customer type]:[Customer type]],$F114)</f>
        <v>0.1167894443806243</v>
      </c>
    </row>
    <row r="115" spans="2:11" hidden="1" outlineLevel="1" x14ac:dyDescent="0.25">
      <c r="B115"/>
      <c r="C115" s="18" t="s">
        <v>139</v>
      </c>
      <c r="D115" s="18" t="s">
        <v>9</v>
      </c>
      <c r="E115" s="18" t="s">
        <v>218</v>
      </c>
      <c r="F115" s="18" t="s">
        <v>32</v>
      </c>
      <c r="G115" s="62" cm="1">
        <f t="array" ref="G115">IF(G113=0,"-",
(G113+G114)*Calc_ROM_1[Ausnet])</f>
        <v>1.7900289022724194E-2</v>
      </c>
      <c r="H115" s="62" t="str" cm="1">
        <f t="array" ref="H115">IF(H113=0,"-",
(H113+H114)*Calc_ROM_1[Ausnet])</f>
        <v>-</v>
      </c>
      <c r="I115" s="62" t="str" cm="1">
        <f t="array" ref="I115">IF(I113=0,"-",
(I113+I114)*Calc_ROM_1[Ausnet])</f>
        <v>-</v>
      </c>
      <c r="J115" s="62" t="str" cm="1">
        <f t="array" ref="J115">IF(J113=0,"-",
(J113+J114)*Calc_ROM_1[Ausnet])</f>
        <v>-</v>
      </c>
      <c r="K115" s="62" t="str" cm="1">
        <f t="array" ref="K115">IF(K113=0,"-",
(K113+K114)*Calc_ROM_1[Ausnet])</f>
        <v>-</v>
      </c>
    </row>
    <row r="116" spans="2:11" hidden="1" outlineLevel="1" x14ac:dyDescent="0.25">
      <c r="B116"/>
      <c r="C116" s="18" t="s">
        <v>213</v>
      </c>
      <c r="D116" s="18" t="s">
        <v>9</v>
      </c>
      <c r="E116" s="18" t="s">
        <v>218</v>
      </c>
      <c r="F116" s="18" t="s">
        <v>32</v>
      </c>
      <c r="G116" s="62">
        <f>IF(G113=0,"-",
(G113+G114+G115)*GST)</f>
        <v>3.1426269006120416E-2</v>
      </c>
      <c r="H116" s="62" t="str">
        <f>IF(H113=0,"-",
(H113+H114+H115)*GST)</f>
        <v>-</v>
      </c>
      <c r="I116" s="62" t="str">
        <f>IF(I113=0,"-",
(I113+I114+I115)*GST)</f>
        <v>-</v>
      </c>
      <c r="J116" s="62" t="str">
        <f>IF(J113=0,"-",
(J113+J114+J115)*GST)</f>
        <v>-</v>
      </c>
      <c r="K116" s="62" t="str">
        <f>IF(K113=0,"-",
(K113+K114+K115)*GST)</f>
        <v>-</v>
      </c>
    </row>
    <row r="117" spans="2:11" hidden="1" outlineLevel="1" x14ac:dyDescent="0.25">
      <c r="B117"/>
      <c r="C117" s="18" t="str">
        <f>C112&amp;" charge"</f>
        <v>Balance charge</v>
      </c>
      <c r="D117" s="18" t="s">
        <v>9</v>
      </c>
      <c r="E117" s="18" t="s">
        <v>218</v>
      </c>
      <c r="F117" s="18" t="s">
        <v>32</v>
      </c>
      <c r="G117" s="63">
        <f>IF(G113=0,"-",
SUM(G113:G116))</f>
        <v>0.34568895906732455</v>
      </c>
      <c r="H117" s="63" t="str">
        <f>IF(H113=0,"-",
SUM(H113:H116))</f>
        <v>-</v>
      </c>
      <c r="I117" s="63" t="str">
        <f t="shared" ref="I117" si="31">IF(I113=0,"-",
SUM(I113:I116))</f>
        <v>-</v>
      </c>
      <c r="J117" s="63" t="str">
        <f t="shared" ref="J117" si="32">IF(J113=0,"-",
SUM(J113:J116))</f>
        <v>-</v>
      </c>
      <c r="K117" s="63" t="str">
        <f t="shared" ref="K117" si="33">IF(K113=0,"-",
SUM(K113:K116))</f>
        <v>-</v>
      </c>
    </row>
    <row r="118" spans="2:11" hidden="1" outlineLevel="1" x14ac:dyDescent="0.25">
      <c r="B118"/>
      <c r="G118" s="89" t="e" cm="1">
        <f t="array" ref="G118">IF($D$5=#REF!,
IF(G117=INDEX(#REF!,MATCH(IF(OR(Calc_Rates!$C117="Single rate charge",Calc_Rates!$C117="Block 1 charge",Calc_Rates!$C117="Balance charge"),"Anytime - ","TOU - ")&amp;Calc_Rates!$C117&amp;"_"&amp;Calc_Rates!$F117,#REF!,0),MATCH(Calc_Rates!G$9,#REF!,0)),0,1),
IF(G117="-","-",
IF(ROUND(G117,8)=ROUND((((
SUMIFS(Calc_Variable_1[Ausnet],Calc_Variable_1[Customer type],Calc_Rates!$F117)+
SUMIFS(Calc_Variable_1[Ausnet],Calc_Variable_1[Customer type],"All")+G113)*(1+Calc_ROM_1[Ausnet]))*(1+GST)),8),0,1)))</f>
        <v>#REF!</v>
      </c>
      <c r="H118" s="89" t="e" cm="1">
        <f t="array" ref="H118">IF($D$5=#REF!,
IF(H117=INDEX(#REF!,MATCH(IF(OR(Calc_Rates!$C117="Single rate charge",Calc_Rates!$C117="Block 1 charge",Calc_Rates!$C117="Balance charge"),"Anytime - ","TOU - ")&amp;Calc_Rates!$C117&amp;"_"&amp;Calc_Rates!$F117,#REF!,0),MATCH(Calc_Rates!H$9,#REF!,0)),0,1),
IF(H117="-","-",
IF(ROUND(H117,8)=ROUND((((
SUMIFS(Calc_Variable_1[Citipower],Calc_Variable_1[Customer type],Calc_Rates!$F117)+
SUMIFS(Calc_Variable_1[Citipower],Calc_Variable_1[Customer type],"All")+H113)*(1+Calc_ROM_1[Citipower]))*(1+GST)),8),0,1)))</f>
        <v>#REF!</v>
      </c>
      <c r="I118" s="89" t="e" cm="1">
        <f t="array" ref="I118">IF($D$5=#REF!,
IF(I117=INDEX(#REF!,MATCH(IF(OR(Calc_Rates!$C117="Single rate charge",Calc_Rates!$C117="Block 1 charge",Calc_Rates!$C117="Balance charge"),"Anytime - ","TOU - ")&amp;Calc_Rates!$C117&amp;"_"&amp;Calc_Rates!$F117,#REF!,0),MATCH(Calc_Rates!I$9,#REF!,0)),0,1),
IF(I117="-","-",
IF(ROUND(I117,8)=ROUND((((
SUMIFS(Calc_Variable_1[Jemena],Calc_Variable_1[Customer type],Calc_Rates!$F117)+
SUMIFS(Calc_Variable_1[Jemena],Calc_Variable_1[Customer type],"All")+I113)*(1+Calc_ROM_1[Jemena]))*(1+GST)),8),0,1)))</f>
        <v>#REF!</v>
      </c>
      <c r="J118" s="89" t="e" cm="1">
        <f t="array" ref="J118">IF($D$5=#REF!,
IF(J117=INDEX(#REF!,MATCH(IF(OR(Calc_Rates!$C117="Single rate charge",Calc_Rates!$C117="Block 1 charge",Calc_Rates!$C117="Balance charge"),"Anytime - ","TOU - ")&amp;Calc_Rates!$C117&amp;"_"&amp;Calc_Rates!$F117,#REF!,0),MATCH(Calc_Rates!J$9,#REF!,0)),0,1),
IF(J117="-","-",
IF(ROUND(J117,8)=ROUND((((
SUMIFS(Calc_Variable_1[Powercor],Calc_Variable_1[[Customer type]:[Customer type]],Calc_Rates!$F117)+
SUMIFS(Calc_Variable_1[Powercor],Calc_Variable_1[[Customer type]:[Customer type]],"All")+J113)*(1+Calc_ROM_1[Powercor]))*(1+GST)),8),0,1)))</f>
        <v>#REF!</v>
      </c>
      <c r="K118" s="89" t="e" cm="1">
        <f t="array" ref="K118">IF($D$5=#REF!,
IF(K117=INDEX(#REF!,MATCH(IF(OR(Calc_Rates!$C117="Single rate charge",Calc_Rates!$C117="Block 1 charge",Calc_Rates!$C117="Balance charge"),"Anytime - ","TOU - ")&amp;Calc_Rates!$C117&amp;"_"&amp;Calc_Rates!$F117,#REF!,0),MATCH(Calc_Rates!K$9,#REF!,0)),0,1),
IF(K117="-","-",
IF(ROUND(K117,8)=ROUND((((
SUMIFS(Calc_Variable_1[United Energy],Calc_Variable_1[[Customer type]:[Customer type]],Calc_Rates!$F117)+
SUMIFS(Calc_Variable_1[United Energy],Calc_Variable_1[[Customer type]:[Customer type]],"All")+K113)*(1+Calc_ROM_1[United Energy]))*(1+GST)),8),0,1)))</f>
        <v>#REF!</v>
      </c>
    </row>
    <row r="119" spans="2:11" ht="15.75" hidden="1" outlineLevel="1" x14ac:dyDescent="0.25">
      <c r="B119"/>
      <c r="C119" s="70" t="s">
        <v>338</v>
      </c>
    </row>
    <row r="120" spans="2:11" hidden="1" outlineLevel="1" x14ac:dyDescent="0.25">
      <c r="B120"/>
      <c r="C120" s="18" t="s">
        <v>222</v>
      </c>
      <c r="D120" s="18" t="s">
        <v>9</v>
      </c>
      <c r="E120" s="18" t="s">
        <v>218</v>
      </c>
      <c r="F120" s="18" t="s">
        <v>32</v>
      </c>
      <c r="G120" s="50">
        <f>SUMIFS(Calc_NetworkV_1[Ausnet],Calc_NetworkV_1[[Cost item]:[Cost item]],$C119,Calc_NetworkV_1[[Customer type]:[Customer type]],$F120)</f>
        <v>0</v>
      </c>
      <c r="H120" s="50">
        <f>SUMIFS(Calc_NetworkV_1[Citipower],Calc_NetworkV_1[[Cost item]:[Cost item]],$C119,Calc_NetworkV_1[[Customer type]:[Customer type]],$F120)</f>
        <v>8.2100000000000006E-2</v>
      </c>
      <c r="I120" s="50">
        <f>SUMIFS(Calc_NetworkV_1[Jemena],Calc_NetworkV_1[[Cost item]:[Cost item]],$C119,Calc_NetworkV_1[[Customer type]:[Customer type]],$F120)</f>
        <v>0.10973000000000001</v>
      </c>
      <c r="J120" s="50">
        <f>SUMIFS(Calc_NetworkV_1[Powercor],Calc_NetworkV_1[[Cost item]:[Cost item]],$C119,Calc_NetworkV_1[[Customer type]:[Customer type]],$F120)</f>
        <v>9.2899999999999996E-2</v>
      </c>
      <c r="K120" s="50">
        <f>SUMIFS(Calc_NetworkV_1[United Energy],Calc_NetworkV_1[[Cost item]:[Cost item]],$C119,Calc_NetworkV_1[[Customer type]:[Customer type]],$F120)</f>
        <v>8.7899999999999992E-2</v>
      </c>
    </row>
    <row r="121" spans="2:11" hidden="1" outlineLevel="1" x14ac:dyDescent="0.25">
      <c r="B121"/>
      <c r="C121" s="18" t="s">
        <v>216</v>
      </c>
      <c r="D121" s="18" t="s">
        <v>9</v>
      </c>
      <c r="E121" s="18" t="s">
        <v>218</v>
      </c>
      <c r="F121" s="18" t="s">
        <v>32</v>
      </c>
      <c r="G121" s="50">
        <f>SUMIFS(Calc_Variable_1[Ausnet],Calc_Variable_1[[Customer type]:[Customer type]],"All")+SUMIFS(Calc_Variable_1[Ausnet],Calc_Variable_1[[Customer type]:[Customer type]],$F121)</f>
        <v>0.11369540103847998</v>
      </c>
      <c r="H121" s="50">
        <f>SUMIFS(Calc_Variable_1[Citipower],Calc_Variable_1[[Customer type]:[Customer type]],"All")+SUMIFS(Calc_Variable_1[Citipower],Calc_Variable_1[[Customer type]:[Customer type]],$F121)</f>
        <v>0.11472917972222922</v>
      </c>
      <c r="I121" s="50">
        <f>SUMIFS(Calc_Variable_1[Jemena],Calc_Variable_1[[Customer type]:[Customer type]],"All")+SUMIFS(Calc_Variable_1[Jemena],Calc_Variable_1[[Customer type]:[Customer type]],$F121)</f>
        <v>0.11289772271369052</v>
      </c>
      <c r="J121" s="50">
        <f>SUMIFS(Calc_Variable_1[Powercor],Calc_Variable_1[[Customer type]:[Customer type]],"All")+SUMIFS(Calc_Variable_1[Powercor],Calc_Variable_1[[Customer type]:[Customer type]],$F121)</f>
        <v>0.11176944916975179</v>
      </c>
      <c r="K121" s="50">
        <f>SUMIFS(Calc_Variable_1[United Energy],Calc_Variable_1[[Customer type]:[Customer type]],"All")+SUMIFS(Calc_Variable_1[United Energy],Calc_Variable_1[[Customer type]:[Customer type]],$F121)</f>
        <v>0.1167894443806243</v>
      </c>
    </row>
    <row r="122" spans="2:11" hidden="1" outlineLevel="1" x14ac:dyDescent="0.25">
      <c r="B122"/>
      <c r="C122" s="18" t="s">
        <v>139</v>
      </c>
      <c r="D122" s="18" t="s">
        <v>9</v>
      </c>
      <c r="E122" s="18" t="s">
        <v>218</v>
      </c>
      <c r="F122" s="18" t="s">
        <v>32</v>
      </c>
      <c r="G122" s="62" t="str" cm="1">
        <f t="array" ref="G122">IF(G120=0,"-",
(G120+G121)*Calc_ROM_1[Ausnet])</f>
        <v>-</v>
      </c>
      <c r="H122" s="62" cm="1">
        <f t="array" ref="H122">IF(H120=0,"-",
(H120+H121)*Calc_ROM_1[Ausnet])</f>
        <v>1.1888482455222647E-2</v>
      </c>
      <c r="I122" s="62" cm="1">
        <f t="array" ref="I122">IF(I120=0,"-",
(I120+I121)*Calc_ROM_1[Ausnet])</f>
        <v>1.3446714451906908E-2</v>
      </c>
      <c r="J122" s="62" cm="1">
        <f t="array" ref="J122">IF(J120=0,"-",
(J120+J121)*Calc_ROM_1[Ausnet])</f>
        <v>1.2362034729853007E-2</v>
      </c>
      <c r="K122" s="62" cm="1">
        <f t="array" ref="K122">IF(K120=0,"-",
(K120+K121)*Calc_ROM_1[Ausnet])</f>
        <v>1.2363242440589709E-2</v>
      </c>
    </row>
    <row r="123" spans="2:11" hidden="1" outlineLevel="1" x14ac:dyDescent="0.25">
      <c r="B123"/>
      <c r="C123" s="18" t="s">
        <v>213</v>
      </c>
      <c r="D123" s="18" t="s">
        <v>9</v>
      </c>
      <c r="E123" s="18" t="s">
        <v>218</v>
      </c>
      <c r="F123" s="18" t="s">
        <v>32</v>
      </c>
      <c r="G123" s="62" t="str">
        <f>IF(G120=0,"-",
(G120+G121+G122)*GST)</f>
        <v>-</v>
      </c>
      <c r="H123" s="62">
        <f>IF(H120=0,"-",
(H120+H121+H122)*GST)</f>
        <v>2.087176621774519E-2</v>
      </c>
      <c r="I123" s="62">
        <f>IF(I120=0,"-",
(I120+I121+I122)*GST)</f>
        <v>2.3607443716559744E-2</v>
      </c>
      <c r="J123" s="62">
        <f>IF(J120=0,"-",
(J120+J121+J122)*GST)</f>
        <v>2.1703148389960479E-2</v>
      </c>
      <c r="K123" s="62">
        <f>IF(K120=0,"-",
(K120+K121+K122)*GST)</f>
        <v>2.1705268682121401E-2</v>
      </c>
    </row>
    <row r="124" spans="2:11" hidden="1" outlineLevel="1" x14ac:dyDescent="0.25">
      <c r="B124"/>
      <c r="C124" s="18" t="str">
        <f>C119&amp;" charge"</f>
        <v>Single rate charge</v>
      </c>
      <c r="D124" s="18" t="s">
        <v>9</v>
      </c>
      <c r="E124" s="18" t="s">
        <v>218</v>
      </c>
      <c r="F124" s="18" t="s">
        <v>32</v>
      </c>
      <c r="G124" s="63" t="str">
        <f>IF(G120=0,"-",
SUM(G120:G123))</f>
        <v>-</v>
      </c>
      <c r="H124" s="63">
        <f>IF(H120=0,"-",
SUM(H120:H123))</f>
        <v>0.22958942839519708</v>
      </c>
      <c r="I124" s="63">
        <f t="shared" ref="I124" si="34">IF(I120=0,"-",
SUM(I120:I123))</f>
        <v>0.25968188088215716</v>
      </c>
      <c r="J124" s="63">
        <f t="shared" ref="J124" si="35">IF(J120=0,"-",
SUM(J120:J123))</f>
        <v>0.23873463228956526</v>
      </c>
      <c r="K124" s="63">
        <f t="shared" ref="K124" si="36">IF(K120=0,"-",
SUM(K120:K123))</f>
        <v>0.2387579555033354</v>
      </c>
    </row>
    <row r="125" spans="2:11" hidden="1" outlineLevel="1" x14ac:dyDescent="0.25">
      <c r="B125"/>
      <c r="G125" s="89" t="e" cm="1">
        <f t="array" ref="G125">IF($D$5=#REF!,
IF(G124=INDEX(#REF!,MATCH(IF(OR(Calc_Rates!$C124="Single rate charge",Calc_Rates!$C124="Block 1 charge",Calc_Rates!$C124="Balance charge"),"Anytime - ","TOU - ")&amp;Calc_Rates!$C124&amp;"_"&amp;Calc_Rates!$F124,#REF!,0),MATCH(Calc_Rates!G$9,#REF!,0)),0,1),
IF(G124="-","-",
IF(ROUND(G124,8)=ROUND((((
SUMIFS(Calc_Variable_1[Ausnet],Calc_Variable_1[Customer type],Calc_Rates!$F124)+
SUMIFS(Calc_Variable_1[Ausnet],Calc_Variable_1[Customer type],"All")+G120)*(1+Calc_ROM_1[Ausnet]))*(1+GST)),8),0,1)))</f>
        <v>#REF!</v>
      </c>
      <c r="H125" s="89" t="e" cm="1">
        <f t="array" ref="H125">IF($D$5=#REF!,
IF(H124=INDEX(#REF!,MATCH(IF(OR(Calc_Rates!$C124="Single rate charge",Calc_Rates!$C124="Block 1 charge",Calc_Rates!$C124="Balance charge"),"Anytime - ","TOU - ")&amp;Calc_Rates!$C124&amp;"_"&amp;Calc_Rates!$F124,#REF!,0),MATCH(Calc_Rates!H$9,#REF!,0)),0,1),
IF(H124="-","-",
IF(ROUND(H124,8)=ROUND((((
SUMIFS(Calc_Variable_1[Citipower],Calc_Variable_1[Customer type],Calc_Rates!$F124)+
SUMIFS(Calc_Variable_1[Citipower],Calc_Variable_1[Customer type],"All")+H120)*(1+Calc_ROM_1[Citipower]))*(1+GST)),8),0,1)))</f>
        <v>#REF!</v>
      </c>
      <c r="I125" s="89" t="e" cm="1">
        <f t="array" ref="I125">IF($D$5=#REF!,
IF(I124=INDEX(#REF!,MATCH(IF(OR(Calc_Rates!$C124="Single rate charge",Calc_Rates!$C124="Block 1 charge",Calc_Rates!$C124="Balance charge"),"Anytime - ","TOU - ")&amp;Calc_Rates!$C124&amp;"_"&amp;Calc_Rates!$F124,#REF!,0),MATCH(Calc_Rates!I$9,#REF!,0)),0,1),
IF(I124="-","-",
IF(ROUND(I124,8)=ROUND((((
SUMIFS(Calc_Variable_1[Jemena],Calc_Variable_1[Customer type],Calc_Rates!$F124)+
SUMIFS(Calc_Variable_1[Jemena],Calc_Variable_1[Customer type],"All")+I120)*(1+Calc_ROM_1[Jemena]))*(1+GST)),8),0,1)))</f>
        <v>#REF!</v>
      </c>
      <c r="J125" s="89" t="e" cm="1">
        <f t="array" ref="J125">IF($D$5=#REF!,
IF(J124=INDEX(#REF!,MATCH(IF(OR(Calc_Rates!$C124="Single rate charge",Calc_Rates!$C124="Block 1 charge",Calc_Rates!$C124="Balance charge"),"Anytime - ","TOU - ")&amp;Calc_Rates!$C124&amp;"_"&amp;Calc_Rates!$F124,#REF!,0),MATCH(Calc_Rates!J$9,#REF!,0)),0,1),
IF(J124="-","-",
IF(ROUND(J124,8)=ROUND((((
SUMIFS(Calc_Variable_1[Powercor],Calc_Variable_1[[Customer type]:[Customer type]],Calc_Rates!$F124)+
SUMIFS(Calc_Variable_1[Powercor],Calc_Variable_1[[Customer type]:[Customer type]],"All")+J120)*(1+Calc_ROM_1[Powercor]))*(1+GST)),8),0,1)))</f>
        <v>#REF!</v>
      </c>
      <c r="K125" s="89" t="e" cm="1">
        <f t="array" ref="K125">IF($D$5=#REF!,
IF(K124=INDEX(#REF!,MATCH(IF(OR(Calc_Rates!$C124="Single rate charge",Calc_Rates!$C124="Block 1 charge",Calc_Rates!$C124="Balance charge"),"Anytime - ","TOU - ")&amp;Calc_Rates!$C124&amp;"_"&amp;Calc_Rates!$F124,#REF!,0),MATCH(Calc_Rates!K$9,#REF!,0)),0,1),
IF(K124="-","-",
IF(ROUND(K124,8)=ROUND((((
SUMIFS(Calc_Variable_1[United Energy],Calc_Variable_1[[Customer type]:[Customer type]],Calc_Rates!$F124)+
SUMIFS(Calc_Variable_1[United Energy],Calc_Variable_1[[Customer type]:[Customer type]],"All")+K120)*(1+Calc_ROM_1[United Energy]))*(1+GST)),8),0,1)))</f>
        <v>#REF!</v>
      </c>
    </row>
    <row r="126" spans="2:11" ht="15.75" hidden="1" outlineLevel="1" x14ac:dyDescent="0.25">
      <c r="B126"/>
      <c r="C126" s="120" t="s">
        <v>375</v>
      </c>
    </row>
    <row r="127" spans="2:11" ht="15.75" hidden="1" outlineLevel="1" x14ac:dyDescent="0.25">
      <c r="B127"/>
      <c r="C127" s="70" t="s">
        <v>166</v>
      </c>
    </row>
    <row r="128" spans="2:11" hidden="1" outlineLevel="1" x14ac:dyDescent="0.25">
      <c r="B128"/>
      <c r="C128" s="18" t="s">
        <v>222</v>
      </c>
      <c r="D128" s="18" t="s">
        <v>9</v>
      </c>
      <c r="E128" s="18" t="s">
        <v>218</v>
      </c>
      <c r="F128" s="18" t="s">
        <v>32</v>
      </c>
      <c r="G128" s="50">
        <f>SUMIFS(Calc_NetworkV_1[Ausnet],Calc_NetworkV_1[[Cost item]:[Cost item]],$C127,Calc_NetworkV_1[[Customer type]:[Customer type]],$F128)</f>
        <v>0.17508700000000002</v>
      </c>
      <c r="H128" s="50">
        <f>SUMIFS(Calc_NetworkV_1[Citipower],Calc_NetworkV_1[[Cost item]:[Cost item]],$C127,Calc_NetworkV_1[[Customer type]:[Customer type]],$F128)</f>
        <v>0.13019999999999998</v>
      </c>
      <c r="I128" s="50">
        <f>SUMIFS(Calc_NetworkV_1[Jemena],Calc_NetworkV_1[[Cost item]:[Cost item]],$C127,Calc_NetworkV_1[[Customer type]:[Customer type]],$F128)</f>
        <v>0.14330999999999999</v>
      </c>
      <c r="J128" s="50">
        <f>SUMIFS(Calc_NetworkV_1[Powercor],Calc_NetworkV_1[[Cost item]:[Cost item]],$C127,Calc_NetworkV_1[[Customer type]:[Customer type]],$F128)</f>
        <v>0.14749999999999999</v>
      </c>
      <c r="K128" s="50">
        <f>SUMIFS(Calc_NetworkV_1[United Energy],Calc_NetworkV_1[[Cost item]:[Cost item]],$C127,Calc_NetworkV_1[[Customer type]:[Customer type]],$F128)</f>
        <v>0.1399</v>
      </c>
    </row>
    <row r="129" spans="1:11" hidden="1" outlineLevel="1" x14ac:dyDescent="0.25">
      <c r="B129"/>
      <c r="C129" s="18" t="s">
        <v>216</v>
      </c>
      <c r="D129" s="18" t="s">
        <v>9</v>
      </c>
      <c r="E129" s="18" t="s">
        <v>218</v>
      </c>
      <c r="F129" s="18" t="s">
        <v>32</v>
      </c>
      <c r="G129" s="50">
        <f>SUMIFS(Calc_Variable_1[Ausnet],Calc_Variable_1[[Customer type]:[Customer type]],"All")+SUMIFS(Calc_Variable_1[Ausnet],Calc_Variable_1[[Customer type]:[Customer type]],$F129)</f>
        <v>0.11369540103847998</v>
      </c>
      <c r="H129" s="50">
        <f>SUMIFS(Calc_Variable_1[Citipower],Calc_Variable_1[[Customer type]:[Customer type]],"All")+SUMIFS(Calc_Variable_1[Citipower],Calc_Variable_1[[Customer type]:[Customer type]],$F129)</f>
        <v>0.11472917972222922</v>
      </c>
      <c r="I129" s="50">
        <f>SUMIFS(Calc_Variable_1[Jemena],Calc_Variable_1[[Customer type]:[Customer type]],"All")+SUMIFS(Calc_Variable_1[Jemena],Calc_Variable_1[[Customer type]:[Customer type]],$F129)</f>
        <v>0.11289772271369052</v>
      </c>
      <c r="J129" s="50">
        <f>SUMIFS(Calc_Variable_1[Powercor],Calc_Variable_1[[Customer type]:[Customer type]],"All")+SUMIFS(Calc_Variable_1[Powercor],Calc_Variable_1[[Customer type]:[Customer type]],$F129)</f>
        <v>0.11176944916975179</v>
      </c>
      <c r="K129" s="50">
        <f>SUMIFS(Calc_Variable_1[United Energy],Calc_Variable_1[[Customer type]:[Customer type]],"All")+SUMIFS(Calc_Variable_1[United Energy],Calc_Variable_1[[Customer type]:[Customer type]],$F129)</f>
        <v>0.1167894443806243</v>
      </c>
    </row>
    <row r="130" spans="1:11" hidden="1" outlineLevel="1" x14ac:dyDescent="0.25">
      <c r="B130"/>
      <c r="C130" s="18" t="s">
        <v>139</v>
      </c>
      <c r="D130" s="18" t="s">
        <v>9</v>
      </c>
      <c r="E130" s="18" t="s">
        <v>218</v>
      </c>
      <c r="F130" s="18" t="s">
        <v>32</v>
      </c>
      <c r="G130" s="62" cm="1">
        <f t="array" ref="G130">IF(G128=0,"-",
(G128+G129)*Calc_ROM_1[Ausnet])</f>
        <v>1.7442457022724192E-2</v>
      </c>
      <c r="H130" s="62" cm="1">
        <f t="array" ref="H130">IF(H128=0,"-",
(H128+H129)*Calc_ROM_1[Ausnet])</f>
        <v>1.4793722455222645E-2</v>
      </c>
      <c r="I130" s="62" cm="1">
        <f t="array" ref="I130">IF(I128=0,"-",
(I128+I129)*Calc_ROM_1[Ausnet])</f>
        <v>1.5474946451906908E-2</v>
      </c>
      <c r="J130" s="62" cm="1">
        <f t="array" ref="J130">IF(J128=0,"-",
(J128+J129)*Calc_ROM_1[Ausnet])</f>
        <v>1.5659874729853009E-2</v>
      </c>
      <c r="K130" s="62" cm="1">
        <f t="array" ref="K130">IF(K128=0,"-",
(K128+K129)*Calc_ROM_1[Ausnet])</f>
        <v>1.5504042440589708E-2</v>
      </c>
    </row>
    <row r="131" spans="1:11" hidden="1" outlineLevel="1" x14ac:dyDescent="0.25">
      <c r="B131"/>
      <c r="C131" s="18" t="s">
        <v>213</v>
      </c>
      <c r="D131" s="18" t="s">
        <v>9</v>
      </c>
      <c r="E131" s="18" t="s">
        <v>218</v>
      </c>
      <c r="F131" s="18" t="s">
        <v>32</v>
      </c>
      <c r="G131" s="62">
        <f>IF(G128=0,"-",
(G128+G129+G130)*GST)</f>
        <v>3.0622485806120422E-2</v>
      </c>
      <c r="H131" s="62">
        <f>IF(H128=0,"-",
(H128+H129+H130)*GST)</f>
        <v>2.5972290217745189E-2</v>
      </c>
      <c r="I131" s="62">
        <f>IF(I128=0,"-",
(I128+I129+I130)*GST)</f>
        <v>2.7168266916559741E-2</v>
      </c>
      <c r="J131" s="62">
        <f>IF(J128=0,"-",
(J128+J129+J130)*GST)</f>
        <v>2.7492932389960485E-2</v>
      </c>
      <c r="K131" s="62">
        <f>IF(K128=0,"-",
(K128+K129+K130)*GST)</f>
        <v>2.7219348682121405E-2</v>
      </c>
    </row>
    <row r="132" spans="1:11" hidden="1" outlineLevel="1" x14ac:dyDescent="0.25">
      <c r="B132"/>
      <c r="C132" s="18" t="str">
        <f>C127&amp;" charge"</f>
        <v>Peak charge</v>
      </c>
      <c r="D132" s="18" t="s">
        <v>9</v>
      </c>
      <c r="E132" s="18" t="s">
        <v>218</v>
      </c>
      <c r="F132" s="18" t="s">
        <v>32</v>
      </c>
      <c r="G132" s="63">
        <f>IF(G128=0,"-",
SUM(G128:G131))</f>
        <v>0.33684734386732462</v>
      </c>
      <c r="H132" s="63">
        <f>IF(H128=0,"-",
SUM(H128:H131))</f>
        <v>0.28569519239519703</v>
      </c>
      <c r="I132" s="63">
        <f t="shared" ref="I132" si="37">IF(I128=0,"-",
SUM(I128:I131))</f>
        <v>0.29885093608215718</v>
      </c>
      <c r="J132" s="63">
        <f t="shared" ref="J132" si="38">IF(J128=0,"-",
SUM(J128:J131))</f>
        <v>0.30242225628956532</v>
      </c>
      <c r="K132" s="63">
        <f t="shared" ref="K132" si="39">IF(K128=0,"-",
SUM(K128:K131))</f>
        <v>0.29941283550333542</v>
      </c>
    </row>
    <row r="133" spans="1:11" hidden="1" outlineLevel="1" x14ac:dyDescent="0.25">
      <c r="B133"/>
      <c r="G133" s="89" t="e" cm="1">
        <f t="array" ref="G133">IF($D$5=#REF!,
IF(G132=INDEX(#REF!,MATCH(IF(OR(Calc_Rates!$C132="Single rate charge",Calc_Rates!$C132="Block 1 charge",Calc_Rates!$C132="Balance charge"),"Anytime - ","TOU - ")&amp;Calc_Rates!$C132&amp;"_"&amp;Calc_Rates!$F132,#REF!,0),MATCH(Calc_Rates!G$9,#REF!,0)),0,1),
IF(G132="-","-",
IF(ROUND(G132,8)=ROUND((((
SUMIFS(Calc_Variable_1[Ausnet],Calc_Variable_1[Customer type],Calc_Rates!$F132)+
SUMIFS(Calc_Variable_1[Ausnet],Calc_Variable_1[Customer type],"All")+G128)*(1+Calc_ROM_1[Ausnet]))*(1+GST)),8),0,1)))</f>
        <v>#REF!</v>
      </c>
      <c r="H133" s="89" t="e" cm="1">
        <f t="array" ref="H133">IF($D$5=#REF!,
IF(H132=INDEX(#REF!,MATCH(IF(OR(Calc_Rates!$C132="Single rate charge",Calc_Rates!$C132="Block 1 charge",Calc_Rates!$C132="Balance charge"),"Anytime - ","TOU - ")&amp;Calc_Rates!$C132&amp;"_"&amp;Calc_Rates!$F132,#REF!,0),MATCH(Calc_Rates!H$9,#REF!,0)),0,1),
IF(H132="-","-",
IF(ROUND(H132,8)=ROUND((((
SUMIFS(Calc_Variable_1[Citipower],Calc_Variable_1[Customer type],Calc_Rates!$F132)+
SUMIFS(Calc_Variable_1[Citipower],Calc_Variable_1[Customer type],"All")+H128)*(1+Calc_ROM_1[Citipower]))*(1+GST)),8),0,1)))</f>
        <v>#REF!</v>
      </c>
      <c r="I133" s="89" t="e" cm="1">
        <f t="array" ref="I133">IF($D$5=#REF!,
IF(I132=INDEX(#REF!,MATCH(IF(OR(Calc_Rates!$C132="Single rate charge",Calc_Rates!$C132="Block 1 charge",Calc_Rates!$C132="Balance charge"),"Anytime - ","TOU - ")&amp;Calc_Rates!$C132&amp;"_"&amp;Calc_Rates!$F132,#REF!,0),MATCH(Calc_Rates!I$9,#REF!,0)),0,1),
IF(I132="-","-",
IF(ROUND(I132,8)=ROUND((((
SUMIFS(Calc_Variable_1[Jemena],Calc_Variable_1[Customer type],Calc_Rates!$F132)+
SUMIFS(Calc_Variable_1[Jemena],Calc_Variable_1[Customer type],"All")+I128)*(1+Calc_ROM_1[Jemena]))*(1+GST)),8),0,1)))</f>
        <v>#REF!</v>
      </c>
      <c r="J133" s="89" t="e" cm="1">
        <f t="array" ref="J133">IF($D$5=#REF!,
IF(J132=INDEX(#REF!,MATCH(IF(OR(Calc_Rates!$C132="Single rate charge",Calc_Rates!$C132="Block 1 charge",Calc_Rates!$C132="Balance charge"),"Anytime - ","TOU - ")&amp;Calc_Rates!$C132&amp;"_"&amp;Calc_Rates!$F132,#REF!,0),MATCH(Calc_Rates!J$9,#REF!,0)),0,1),
IF(J132="-","-",
IF(ROUND(J132,8)=ROUND((((
SUMIFS(Calc_Variable_1[Powercor],Calc_Variable_1[[Customer type]:[Customer type]],Calc_Rates!$F132)+
SUMIFS(Calc_Variable_1[Powercor],Calc_Variable_1[[Customer type]:[Customer type]],"All")+J128)*(1+Calc_ROM_1[Powercor]))*(1+GST)),8),0,1)))</f>
        <v>#REF!</v>
      </c>
      <c r="K133" s="89" t="e" cm="1">
        <f t="array" ref="K133">IF($D$5=#REF!,
IF(K132=INDEX(#REF!,MATCH(IF(OR(Calc_Rates!$C132="Single rate charge",Calc_Rates!$C132="Block 1 charge",Calc_Rates!$C132="Balance charge"),"Anytime - ","TOU - ")&amp;Calc_Rates!$C132&amp;"_"&amp;Calc_Rates!$F132,#REF!,0),MATCH(Calc_Rates!K$9,#REF!,0)),0,1),
IF(K132="-","-",
IF(ROUND(K132,8)=ROUND((((
SUMIFS(Calc_Variable_1[United Energy],Calc_Variable_1[[Customer type]:[Customer type]],Calc_Rates!$F132)+
SUMIFS(Calc_Variable_1[United Energy],Calc_Variable_1[[Customer type]:[Customer type]],"All")+K128)*(1+Calc_ROM_1[United Energy]))*(1+GST)),8),0,1)))</f>
        <v>#REF!</v>
      </c>
    </row>
    <row r="134" spans="1:11" ht="15.75" hidden="1" outlineLevel="1" x14ac:dyDescent="0.25">
      <c r="B134"/>
      <c r="C134" s="70" t="s">
        <v>370</v>
      </c>
    </row>
    <row r="135" spans="1:11" hidden="1" outlineLevel="1" x14ac:dyDescent="0.25">
      <c r="B135"/>
      <c r="C135" s="18" t="s">
        <v>222</v>
      </c>
      <c r="D135" s="18" t="s">
        <v>9</v>
      </c>
      <c r="E135" s="18" t="s">
        <v>218</v>
      </c>
      <c r="F135" s="18" t="s">
        <v>32</v>
      </c>
      <c r="G135" s="50">
        <f>SUMIFS(Calc_NetworkV_1[Ausnet],Calc_NetworkV_1[[Cost item]:[Cost item]],$C134,Calc_NetworkV_1[[Customer type]:[Customer type]],$F135)</f>
        <v>4.2655999999999999E-2</v>
      </c>
      <c r="H135" s="50">
        <f>SUMIFS(Calc_NetworkV_1[Citipower],Calc_NetworkV_1[[Cost item]:[Cost item]],$C134,Calc_NetworkV_1[[Customer type]:[Customer type]],$F135)</f>
        <v>2.8900000000000002E-2</v>
      </c>
      <c r="I135" s="50">
        <f>SUMIFS(Calc_NetworkV_1[Jemena],Calc_NetworkV_1[[Cost item]:[Cost item]],$C134,Calc_NetworkV_1[[Customer type]:[Customer type]],$F135)</f>
        <v>3.0520000000000002E-2</v>
      </c>
      <c r="J135" s="50">
        <f>SUMIFS(Calc_NetworkV_1[Powercor],Calc_NetworkV_1[[Cost item]:[Cost item]],$C134,Calc_NetworkV_1[[Customer type]:[Customer type]],$F135)</f>
        <v>3.2799999999999996E-2</v>
      </c>
      <c r="K135" s="50">
        <f>SUMIFS(Calc_NetworkV_1[United Energy],Calc_NetworkV_1[[Cost item]:[Cost item]],$C134,Calc_NetworkV_1[[Customer type]:[Customer type]],$F135)</f>
        <v>3.1099999999999999E-2</v>
      </c>
    </row>
    <row r="136" spans="1:11" hidden="1" outlineLevel="1" x14ac:dyDescent="0.25">
      <c r="B136"/>
      <c r="C136" s="18" t="s">
        <v>216</v>
      </c>
      <c r="D136" s="18" t="s">
        <v>9</v>
      </c>
      <c r="E136" s="18" t="s">
        <v>218</v>
      </c>
      <c r="F136" s="18" t="s">
        <v>32</v>
      </c>
      <c r="G136" s="50">
        <f>SUMIFS(Calc_Variable_1[Ausnet],Calc_Variable_1[[Customer type]:[Customer type]],"All")+SUMIFS(Calc_Variable_1[Ausnet],Calc_Variable_1[[Customer type]:[Customer type]],$F136)</f>
        <v>0.11369540103847998</v>
      </c>
      <c r="H136" s="50">
        <f>SUMIFS(Calc_Variable_1[Citipower],Calc_Variable_1[[Customer type]:[Customer type]],"All")+SUMIFS(Calc_Variable_1[Citipower],Calc_Variable_1[[Customer type]:[Customer type]],$F136)</f>
        <v>0.11472917972222922</v>
      </c>
      <c r="I136" s="50">
        <f>SUMIFS(Calc_Variable_1[Jemena],Calc_Variable_1[[Customer type]:[Customer type]],"All")+SUMIFS(Calc_Variable_1[Jemena],Calc_Variable_1[[Customer type]:[Customer type]],$F136)</f>
        <v>0.11289772271369052</v>
      </c>
      <c r="J136" s="50">
        <f>SUMIFS(Calc_Variable_1[Powercor],Calc_Variable_1[[Customer type]:[Customer type]],"All")+SUMIFS(Calc_Variable_1[Powercor],Calc_Variable_1[[Customer type]:[Customer type]],$F136)</f>
        <v>0.11176944916975179</v>
      </c>
      <c r="K136" s="50">
        <f>SUMIFS(Calc_Variable_1[United Energy],Calc_Variable_1[[Customer type]:[Customer type]],"All")+SUMIFS(Calc_Variable_1[United Energy],Calc_Variable_1[[Customer type]:[Customer type]],$F136)</f>
        <v>0.1167894443806243</v>
      </c>
    </row>
    <row r="137" spans="1:11" ht="15.75" hidden="1" outlineLevel="1" collapsed="1" x14ac:dyDescent="0.25">
      <c r="A137" s="1" t="s">
        <v>19</v>
      </c>
      <c r="C137" s="18" t="s">
        <v>139</v>
      </c>
      <c r="D137" s="18" t="s">
        <v>9</v>
      </c>
      <c r="E137" s="18" t="s">
        <v>218</v>
      </c>
      <c r="F137" s="18" t="s">
        <v>32</v>
      </c>
      <c r="G137" s="62" cm="1">
        <f t="array" ref="G137">IF(G135=0,"-",
(G135+G136)*Calc_ROM_1[Ausnet])</f>
        <v>9.4436246227241928E-3</v>
      </c>
      <c r="H137" s="62" cm="1">
        <f t="array" ref="H137">IF(H135=0,"-",
(H135+H136)*Calc_ROM_1[Ausnet])</f>
        <v>8.6752024552226442E-3</v>
      </c>
      <c r="I137" s="62" cm="1">
        <f t="array" ref="I137">IF(I135=0,"-",
(I135+I136)*Calc_ROM_1[Ausnet])</f>
        <v>8.6624304519069082E-3</v>
      </c>
      <c r="J137" s="62" cm="1">
        <f t="array" ref="J137">IF(J135=0,"-",
(J135+J136)*Calc_ROM_1[Ausnet])</f>
        <v>8.7319947298530078E-3</v>
      </c>
      <c r="K137" s="62" cm="1">
        <f t="array" ref="K137">IF(K135=0,"-",
(K135+K136)*Calc_ROM_1[Ausnet])</f>
        <v>8.9325224405897071E-3</v>
      </c>
    </row>
    <row r="138" spans="1:11" hidden="1" outlineLevel="1" x14ac:dyDescent="0.25">
      <c r="C138" s="18" t="s">
        <v>213</v>
      </c>
      <c r="D138" s="18" t="s">
        <v>9</v>
      </c>
      <c r="E138" s="18" t="s">
        <v>218</v>
      </c>
      <c r="F138" s="18" t="s">
        <v>32</v>
      </c>
      <c r="G138" s="62">
        <f>IF(G135=0,"-",
(G135+G136+G137)*GST)</f>
        <v>1.6579502566120421E-2</v>
      </c>
      <c r="H138" s="62">
        <f>IF(H135=0,"-",
(H135+H136+H137)*GST)</f>
        <v>1.5230438217745185E-2</v>
      </c>
      <c r="I138" s="62">
        <f>IF(I135=0,"-",
(I135+I136+I137)*GST)</f>
        <v>1.5208015316559742E-2</v>
      </c>
      <c r="J138" s="62">
        <f>IF(J135=0,"-",
(J135+J136+J137)*GST)</f>
        <v>1.5330144389960479E-2</v>
      </c>
      <c r="K138" s="62">
        <f>IF(K135=0,"-",
(K135+K136+K137)*GST)</f>
        <v>1.56821966821214E-2</v>
      </c>
    </row>
    <row r="139" spans="1:11" hidden="1" outlineLevel="1" x14ac:dyDescent="0.25">
      <c r="C139" s="18" t="str">
        <f>C134&amp;" charge"</f>
        <v>Off peak charge</v>
      </c>
      <c r="D139" s="18" t="s">
        <v>9</v>
      </c>
      <c r="E139" s="18" t="s">
        <v>218</v>
      </c>
      <c r="F139" s="18" t="s">
        <v>32</v>
      </c>
      <c r="G139" s="63">
        <f>IF(G135=0,"-",
SUM(G135:G138))</f>
        <v>0.18237452822732461</v>
      </c>
      <c r="H139" s="63">
        <f>IF(H135=0,"-",
SUM(H135:H138))</f>
        <v>0.16753482039519704</v>
      </c>
      <c r="I139" s="63">
        <f t="shared" ref="I139" si="40">IF(I135=0,"-",
SUM(I135:I138))</f>
        <v>0.16728816848215716</v>
      </c>
      <c r="J139" s="63">
        <f t="shared" ref="J139" si="41">IF(J135=0,"-",
SUM(J135:J138))</f>
        <v>0.16863158828956526</v>
      </c>
      <c r="K139" s="63">
        <f t="shared" ref="K139" si="42">IF(K135=0,"-",
SUM(K135:K138))</f>
        <v>0.17250416350333539</v>
      </c>
    </row>
    <row r="140" spans="1:11" hidden="1" outlineLevel="1" x14ac:dyDescent="0.25">
      <c r="G140" s="89" t="e" cm="1">
        <f t="array" ref="G140">IF($D$5=#REF!,
IF(G139=INDEX(#REF!,MATCH(IF(OR(Calc_Rates!$C139="Single rate charge",Calc_Rates!$C139="Block 1 charge",Calc_Rates!$C139="Balance charge"),"Anytime - ","TOU - ")&amp;Calc_Rates!$C139&amp;"_"&amp;Calc_Rates!$F139,#REF!,0),MATCH(Calc_Rates!G$9,#REF!,0)),0,1),
IF(G139="-","-",
IF(ROUND(G139,8)=ROUND((((
SUMIFS(Calc_Variable_1[Ausnet],Calc_Variable_1[Customer type],Calc_Rates!$F139)+
SUMIFS(Calc_Variable_1[Ausnet],Calc_Variable_1[Customer type],"All")+G135)*(1+Calc_ROM_1[Ausnet]))*(1+GST)),8),0,1)))</f>
        <v>#REF!</v>
      </c>
      <c r="H140" s="89" t="e" cm="1">
        <f t="array" ref="H140">IF($D$5=#REF!,
IF(H139=INDEX(#REF!,MATCH(IF(OR(Calc_Rates!$C139="Single rate charge",Calc_Rates!$C139="Block 1 charge",Calc_Rates!$C139="Balance charge"),"Anytime - ","TOU - ")&amp;Calc_Rates!$C139&amp;"_"&amp;Calc_Rates!$F139,#REF!,0),MATCH(Calc_Rates!H$9,#REF!,0)),0,1),
IF(H139="-","-",
IF(ROUND(H139,8)=ROUND((((
SUMIFS(Calc_Variable_1[Citipower],Calc_Variable_1[Customer type],Calc_Rates!$F139)+
SUMIFS(Calc_Variable_1[Citipower],Calc_Variable_1[Customer type],"All")+H135)*(1+Calc_ROM_1[Citipower]))*(1+GST)),8),0,1)))</f>
        <v>#REF!</v>
      </c>
      <c r="I140" s="89" t="e" cm="1">
        <f t="array" ref="I140">IF($D$5=#REF!,
IF(I139=INDEX(#REF!,MATCH(IF(OR(Calc_Rates!$C139="Single rate charge",Calc_Rates!$C139="Block 1 charge",Calc_Rates!$C139="Balance charge"),"Anytime - ","TOU - ")&amp;Calc_Rates!$C139&amp;"_"&amp;Calc_Rates!$F139,#REF!,0),MATCH(Calc_Rates!I$9,#REF!,0)),0,1),
IF(I139="-","-",
IF(ROUND(I139,8)=ROUND((((
SUMIFS(Calc_Variable_1[Jemena],Calc_Variable_1[Customer type],Calc_Rates!$F139)+
SUMIFS(Calc_Variable_1[Jemena],Calc_Variable_1[Customer type],"All")+I135)*(1+Calc_ROM_1[Jemena]))*(1+GST)),8),0,1)))</f>
        <v>#REF!</v>
      </c>
      <c r="J140" s="89" t="e" cm="1">
        <f t="array" ref="J140">IF($D$5=#REF!,
IF(J139=INDEX(#REF!,MATCH(IF(OR(Calc_Rates!$C139="Single rate charge",Calc_Rates!$C139="Block 1 charge",Calc_Rates!$C139="Balance charge"),"Anytime - ","TOU - ")&amp;Calc_Rates!$C139&amp;"_"&amp;Calc_Rates!$F139,#REF!,0),MATCH(Calc_Rates!J$9,#REF!,0)),0,1),
IF(J139="-","-",
IF(ROUND(J139,8)=ROUND((((
SUMIFS(Calc_Variable_1[Powercor],Calc_Variable_1[[Customer type]:[Customer type]],Calc_Rates!$F139)+
SUMIFS(Calc_Variable_1[Powercor],Calc_Variable_1[[Customer type]:[Customer type]],"All")+J135)*(1+Calc_ROM_1[Powercor]))*(1+GST)),8),0,1)))</f>
        <v>#REF!</v>
      </c>
      <c r="K140" s="89" t="e" cm="1">
        <f t="array" ref="K140">IF($D$5=#REF!,
IF(K139=INDEX(#REF!,MATCH(IF(OR(Calc_Rates!$C139="Single rate charge",Calc_Rates!$C139="Block 1 charge",Calc_Rates!$C139="Balance charge"),"Anytime - ","TOU - ")&amp;Calc_Rates!$C139&amp;"_"&amp;Calc_Rates!$F139,#REF!,0),MATCH(Calc_Rates!K$9,#REF!,0)),0,1),
IF(K139="-","-",
IF(ROUND(K139,8)=ROUND((((
SUMIFS(Calc_Variable_1[United Energy],Calc_Variable_1[[Customer type]:[Customer type]],Calc_Rates!$F139)+
SUMIFS(Calc_Variable_1[United Energy],Calc_Variable_1[[Customer type]:[Customer type]],"All")+K135)*(1+Calc_ROM_1[United Energy]))*(1+GST)),8),0,1)))</f>
        <v>#REF!</v>
      </c>
    </row>
    <row r="142" spans="1:11" ht="16.5" collapsed="1" thickBot="1" x14ac:dyDescent="0.3">
      <c r="B142" s="7">
        <f ca="1">MAX(B$3:B136)+0.1</f>
        <v>7.1999999999999993</v>
      </c>
      <c r="C142" s="22" t="s">
        <v>225</v>
      </c>
      <c r="D142" s="22"/>
      <c r="E142" s="22"/>
      <c r="F142" s="22"/>
      <c r="G142" s="22"/>
      <c r="H142" s="22"/>
      <c r="I142" s="22"/>
      <c r="J142" s="22"/>
      <c r="K142" s="22"/>
    </row>
    <row r="143" spans="1:11" hidden="1" outlineLevel="1" x14ac:dyDescent="0.25"/>
    <row r="144" spans="1:11" ht="15.75" hidden="1" outlineLevel="1" x14ac:dyDescent="0.25">
      <c r="C144" s="23" t="s">
        <v>185</v>
      </c>
    </row>
    <row r="145" spans="3:11" ht="15.75" hidden="1" outlineLevel="1" x14ac:dyDescent="0.25">
      <c r="C145" s="43" t="s">
        <v>226</v>
      </c>
      <c r="D145" s="65">
        <f>IFERROR(INDEX(Input_CPI[Indice],MATCH($D$5,Input_CPI[Decision paper],0),1),"-")</f>
        <v>116.2</v>
      </c>
    </row>
    <row r="146" spans="3:11" ht="15.75" hidden="1" outlineLevel="1" x14ac:dyDescent="0.25">
      <c r="C146" s="23"/>
    </row>
    <row r="147" spans="3:11" ht="15.75" hidden="1" outlineLevel="1" x14ac:dyDescent="0.25">
      <c r="C147" s="34" t="s">
        <v>24</v>
      </c>
      <c r="D147" s="34" t="s">
        <v>37</v>
      </c>
      <c r="E147" s="34" t="s">
        <v>38</v>
      </c>
      <c r="F147" s="34" t="s">
        <v>30</v>
      </c>
      <c r="G147" s="49" t="s">
        <v>227</v>
      </c>
      <c r="H147" s="49" t="s">
        <v>266</v>
      </c>
    </row>
    <row r="148" spans="3:11" hidden="1" outlineLevel="1" x14ac:dyDescent="0.25">
      <c r="C148" s="18" t="s">
        <v>228</v>
      </c>
      <c r="D148" s="18"/>
      <c r="E148" s="18" t="str">
        <f>INDEX(Input_ForRateCalc[Unit],MATCH(Calc_CPI_1[[#This Row],[Cost item]]&amp;" - base",Input_ForRateCalc[Cost item],0),1)</f>
        <v>$</v>
      </c>
      <c r="F148" s="18" t="str">
        <f>INDEX(Input_ForRateCalc[Customer type],MATCH(Calc_CPI_1[[#This Row],[Cost item]]&amp;" - base",Input_ForRateCalc[Cost item],0),1)</f>
        <v>All</v>
      </c>
      <c r="G148" s="45">
        <f>IFERROR(
($D$145-
INDEX(CPI[Indice],MATCH(
INDEX(Input_ForRateCalc[[F-CurrentVDO_InputDate]:[F-NextVDO_Input]],MATCH(Calc_Rates!$C148&amp;" - base",Input_ForRateCalc[Cost item],0),MATCH(Calc_Rates!$D$5&amp;" - input date",Inputs!H$8:Q$8,0)),
CPI[Period],0),1))/
INDEX(CPI[Indice],MATCH(
INDEX(Input_ForRateCalc[[F-CurrentVDO_InputDate]:[F-NextVDO_Input]],MATCH(Calc_Rates!$C148&amp;" - base",Input_ForRateCalc[Cost item],0),MATCH(Calc_Rates!$D$5&amp;" - input date",Inputs!H$8:Q$8,0)),
CPI[Period],0),1),"-")</f>
        <v>4.9683830171635052E-2</v>
      </c>
      <c r="H148" s="50">
        <f>IFERROR((G148)*
INDEX(Input_ForRateCalc[[F-CurrentVDO_InputDate]:[F-NextVDO_Input]],MATCH(Calc_Rates!$C148&amp;" - base",Input_ForRateCalc[Cost item],0),MATCH($D$5,Inputs!$H$8:$Q$8,0)),"-")</f>
        <v>6.0152213188798553</v>
      </c>
    </row>
    <row r="149" spans="3:11" hidden="1" outlineLevel="1" x14ac:dyDescent="0.25">
      <c r="C149" s="103" t="s">
        <v>50</v>
      </c>
      <c r="D149" s="18"/>
      <c r="E149" s="18" t="str">
        <f>INDEX(Input_ForRateCalc[Unit],MATCH(Calc_CPI_1[[#This Row],[Cost item]],Input_ForRateCalc[Cost item],0),1)</f>
        <v>$</v>
      </c>
      <c r="F149" s="18" t="str">
        <f>INDEX(Input_ForRateCalc[Customer type],MATCH(Calc_CPI_1[[#This Row],[Cost item]],Input_ForRateCalc[Cost item],0),1)</f>
        <v>All</v>
      </c>
      <c r="G149" s="45">
        <f>IFERROR(
($D$145-
INDEX(CPI[Indice],MATCH(
INDEX(Input_ForRateCalc[[F-CurrentVDO_InputDate]:[F-NextVDO_Input]],MATCH(Calc_Rates!$C149,Input_ForRateCalc[Cost item],0),MATCH(Calc_Rates!$D$5&amp;" - input date",Inputs!H$8:Q$8,0)),
CPI[Period],0),1))/
INDEX(CPI[Indice],MATCH(
INDEX(Input_ForRateCalc[[F-CurrentVDO_InputDate]:[F-NextVDO_Input]],MATCH(Calc_Rates!$C149,Input_ForRateCalc[Cost item],0),MATCH(Calc_Rates!$D$5&amp;" - input date",Inputs!H$8:Q$8,0)),
CPI[Period],0),1),"-")</f>
        <v>1.2195121951219561E-2</v>
      </c>
      <c r="H149" s="50">
        <f>IFERROR((G149)*
INDEX(Input_ForRateCalc[[F-CurrentVDO_InputDate]:[F-NextVDO_Input]],MATCH(Calc_Rates!$C149,Input_ForRateCalc[Cost item],0),MATCH($D$5,Inputs!$H$8:$Q$8,0)),"-")</f>
        <v>0.46341463414634332</v>
      </c>
    </row>
    <row r="150" spans="3:11" hidden="1" outlineLevel="1" x14ac:dyDescent="0.25">
      <c r="C150" s="18" t="s">
        <v>52</v>
      </c>
      <c r="D150" s="18"/>
      <c r="E150" s="18" t="str">
        <f>INDEX(Input_ForRateCalc[Unit],MATCH(Calc_CPI_1[[#This Row],[Cost item]],Input_ForRateCalc[Cost item],0),1)</f>
        <v>$</v>
      </c>
      <c r="F150" s="18" t="str">
        <f>INDEX(Input_ForRateCalc[Customer type],MATCH(Calc_CPI_1[[#This Row],[Cost item]],Input_ForRateCalc[Cost item],0),1)</f>
        <v>All</v>
      </c>
      <c r="G150" s="45">
        <f>IFERROR(
($D$145-
INDEX(CPI[Indice],MATCH(
INDEX(Input_ForRateCalc[[F-CurrentVDO_InputDate]:[F-NextVDO_Input]],MATCH(Calc_Rates!$C150,Input_ForRateCalc[Cost item],0),MATCH(Calc_Rates!$D$5&amp;" - input date",Inputs!H$8:Q$8,0)),
CPI[Period],0),1))/
INDEX(CPI[Indice],MATCH(
INDEX(Input_ForRateCalc[[F-CurrentVDO_InputDate]:[F-NextVDO_Input]],MATCH(Calc_Rates!$C150,Input_ForRateCalc[Cost item],0),MATCH(Calc_Rates!$D$5&amp;" - input date",Inputs!H$8:Q$8,0)),
CPI[Period],0),1),"-")</f>
        <v>1.5734265734265708E-2</v>
      </c>
      <c r="H150" s="50">
        <f>IFERROR((G150)*
INDEX(Input_ForRateCalc[[F-CurrentVDO_InputDate]:[F-NextVDO_Input]],MATCH(Calc_Rates!$C150,Input_ForRateCalc[Cost item],0),MATCH($D$5,Inputs!$H$8:$Q$8,0)),"-")</f>
        <v>0.16806064320445238</v>
      </c>
    </row>
    <row r="151" spans="3:11" hidden="1" outlineLevel="1" x14ac:dyDescent="0.25">
      <c r="C151" s="18" t="s">
        <v>53</v>
      </c>
      <c r="D151" s="18"/>
      <c r="E151" s="18" t="str">
        <f>INDEX(Input_ForRateCalc[Unit],MATCH(Calc_CPI_1[[#This Row],[Cost item]],Input_ForRateCalc[Cost item],0),1)</f>
        <v>$</v>
      </c>
      <c r="F151" s="18" t="str">
        <f>INDEX(Input_ForRateCalc[Customer type],MATCH(Calc_CPI_1[[#This Row],[Cost item]],Input_ForRateCalc[Cost item],0),1)</f>
        <v>All</v>
      </c>
      <c r="G151" s="45">
        <f>IFERROR(
($D$145-
INDEX(CPI[Indice],MATCH(
INDEX(Input_ForRateCalc[[F-CurrentVDO_InputDate]:[F-NextVDO_Input]],MATCH(Calc_Rates!$C151,Input_ForRateCalc[Cost item],0),MATCH(Calc_Rates!$D$5&amp;" - input date",Inputs!H$8:Q$8,0)),
CPI[Period],0),1))/
INDEX(CPI[Indice],MATCH(
INDEX(Input_ForRateCalc[[F-CurrentVDO_InputDate]:[F-NextVDO_Input]],MATCH(Calc_Rates!$C151,Input_ForRateCalc[Cost item],0),MATCH(Calc_Rates!$D$5&amp;" - input date",Inputs!H$8:Q$8,0)),
CPI[Period],0),1),"-")</f>
        <v>1.2195121951219561E-2</v>
      </c>
      <c r="H151" s="50">
        <f>IFERROR((G151)*
INDEX(Input_ForRateCalc[[F-CurrentVDO_InputDate]:[F-NextVDO_Input]],MATCH(Calc_Rates!$C151,Input_ForRateCalc[Cost item],0),MATCH($D$5,Inputs!$H$8:$Q$8,0)),"-")</f>
        <v>2.0408837969874402E-2</v>
      </c>
    </row>
    <row r="152" spans="3:11" hidden="1" outlineLevel="1" x14ac:dyDescent="0.25">
      <c r="C152" s="48" t="s">
        <v>432</v>
      </c>
      <c r="D152" s="18"/>
      <c r="E152" s="18" t="str">
        <f>INDEX(Input_ForRateCalc[Unit],MATCH(Calc_CPI_1[[#This Row],[Cost item]],Input_ForRateCalc[Cost item],0),1)</f>
        <v>$/week</v>
      </c>
      <c r="F152" s="18" t="str">
        <f>INDEX(Input_ForRateCalc[Customer type],MATCH(Calc_CPI_1[[#This Row],[Cost item]],Input_ForRateCalc[Cost item],0),1)</f>
        <v>All</v>
      </c>
      <c r="G152" s="45">
        <f>IFERROR(
($D$145-
INDEX(CPI[Indice],MATCH(
INDEX(Input_ForRateCalc[[F-CurrentVDO_InputDate]:[F-NextVDO_Input]],MATCH(Calc_Rates!$C152,Input_ForRateCalc[Cost item],0),MATCH(Calc_Rates!$D$5&amp;" - input date",Inputs!H$8:Q$8,0)),
CPI[Period],0),1))/
INDEX(CPI[Indice],MATCH(
INDEX(Input_ForRateCalc[[F-CurrentVDO_InputDate]:[F-NextVDO_Input]],MATCH(Calc_Rates!$C152,Input_ForRateCalc[Cost item],0),MATCH(Calc_Rates!$D$5&amp;" - input date",Inputs!H$8:Q$8,0)),
CPI[Period],0),1),"-")</f>
        <v>1.5734265734265708E-2</v>
      </c>
      <c r="H152" s="50">
        <f>IFERROR((G152)*
INDEX(Input_ForRateCalc[[F-CurrentVDO_InputDate]:[F-NextVDO_Input]],MATCH(Calc_Rates!$C152,Input_ForRateCalc[Cost item],0),MATCH($D$5,Inputs!$H$8:$Q$8,0)),"-")</f>
        <v>1.8645104895104864E-4</v>
      </c>
    </row>
    <row r="153" spans="3:11" hidden="1" outlineLevel="1" x14ac:dyDescent="0.25">
      <c r="C153" s="35" t="s">
        <v>56</v>
      </c>
      <c r="D153" s="18"/>
      <c r="E153" s="18" t="str">
        <f>INDEX(Input_ForRateCalc[Unit],MATCH(Calc_CPI_1[[#This Row],[Cost item]],Input_ForRateCalc[Cost item],0),1)</f>
        <v>$/week</v>
      </c>
      <c r="F153" s="18" t="str">
        <f>INDEX(Input_ForRateCalc[Customer type],MATCH(Calc_CPI_1[[#This Row],[Cost item]],Input_ForRateCalc[Cost item],0),1)</f>
        <v>All</v>
      </c>
      <c r="G153" s="45">
        <f>IFERROR(
($D$145-
INDEX(CPI[Indice],MATCH(
INDEX(Input_ForRateCalc[[F-CurrentVDO_InputDate]:[F-NextVDO_Input]],MATCH(Calc_Rates!$C153,Input_ForRateCalc[Cost item],0),MATCH(Calc_Rates!$D$5&amp;" - input date",Inputs!H$8:Q$8,0)),
CPI[Period],0),1))/
INDEX(CPI[Indice],MATCH(
INDEX(Input_ForRateCalc[[F-CurrentVDO_InputDate]:[F-NextVDO_Input]],MATCH(Calc_Rates!$C153,Input_ForRateCalc[Cost item],0),MATCH(Calc_Rates!$D$5&amp;" - input date",Inputs!H$8:Q$8,0)),
CPI[Period],0),1),"-")</f>
        <v>1.5734265734265708E-2</v>
      </c>
      <c r="H153" s="50">
        <f>IFERROR((G153)*
INDEX(Input_ForRateCalc[[F-CurrentVDO_InputDate]:[F-NextVDO_Input]],MATCH(Calc_Rates!$C153,Input_ForRateCalc[Cost item],0),MATCH($D$5,Inputs!$H$8:$Q$8,0)),"-")</f>
        <v>4.0122377622377555E-4</v>
      </c>
    </row>
    <row r="154" spans="3:11" hidden="1" outlineLevel="1" x14ac:dyDescent="0.25">
      <c r="C154" s="35" t="s">
        <v>96</v>
      </c>
      <c r="D154" s="35"/>
      <c r="E154" s="18" t="str">
        <f>INDEX(Input_ForRateCalc[Unit],MATCH(Calc_CPI_1[[#This Row],[Cost item]],Input_ForRateCalc[Cost item],0),1)</f>
        <v>$/MWh</v>
      </c>
      <c r="F154" s="18" t="str">
        <f>INDEX(Input_ForRateCalc[Customer type],MATCH(Calc_CPI_1[[#This Row],[Cost item]],Input_ForRateCalc[Cost item],0),1)</f>
        <v>All</v>
      </c>
      <c r="G154" s="45">
        <f>IFERROR(
($D$145-
INDEX(CPI[Indice],MATCH(
INDEX(Input_ForRateCalc[[F-CurrentVDO_InputDate]:[F-NextVDO_Input]],MATCH(Calc_Rates!$C154,Input_ForRateCalc[Cost item],0),MATCH(Calc_Rates!$D$5&amp;" - input date",Inputs!H$8:Q$8,0)),
CPI[Period],0),1))/
INDEX(CPI[Indice],MATCH(
INDEX(Input_ForRateCalc[[F-CurrentVDO_InputDate]:[F-NextVDO_Input]],MATCH(Calc_Rates!$C154,Input_ForRateCalc[Cost item],0),MATCH(Calc_Rates!$D$5&amp;" - input date",Inputs!H$8:Q$8,0)),
CPI[Period],0),1),"-")</f>
        <v>1.5734265734265708E-2</v>
      </c>
      <c r="H154" s="50">
        <f>IFERROR((G154)*
INDEX(Input_ForRateCalc[[F-CurrentVDO_InputDate]:[F-NextVDO_Input]],MATCH(Calc_Rates!$C154,Input_ForRateCalc[Cost item],0),MATCH($D$5,Inputs!$H$8:$Q$8,0)),"-")</f>
        <v>5.7902097902097806E-3</v>
      </c>
    </row>
    <row r="155" spans="3:11" hidden="1" outlineLevel="1" x14ac:dyDescent="0.25"/>
    <row r="156" spans="3:11" ht="15.75" hidden="1" outlineLevel="1" x14ac:dyDescent="0.25">
      <c r="C156" s="23" t="s">
        <v>220</v>
      </c>
    </row>
    <row r="157" spans="3:11" ht="15.75" hidden="1" outlineLevel="1" x14ac:dyDescent="0.25">
      <c r="C157" s="34" t="s">
        <v>24</v>
      </c>
      <c r="D157" s="34" t="s">
        <v>37</v>
      </c>
      <c r="E157" s="34" t="s">
        <v>38</v>
      </c>
      <c r="F157" s="34" t="s">
        <v>30</v>
      </c>
      <c r="G157" s="49" t="s">
        <v>204</v>
      </c>
      <c r="H157" s="49" t="s">
        <v>205</v>
      </c>
      <c r="I157" s="49" t="s">
        <v>206</v>
      </c>
      <c r="J157" s="49" t="s">
        <v>207</v>
      </c>
      <c r="K157" s="49" t="s">
        <v>208</v>
      </c>
    </row>
    <row r="158" spans="3:11" hidden="1" outlineLevel="1" x14ac:dyDescent="0.25">
      <c r="C158" s="18" t="s">
        <v>229</v>
      </c>
      <c r="D158" s="18" t="s">
        <v>9</v>
      </c>
      <c r="E158" s="18" t="s">
        <v>140</v>
      </c>
      <c r="F158" s="18" t="s">
        <v>46</v>
      </c>
      <c r="G158" s="73" cm="1">
        <f t="array" ref="G158">IFERROR(INDEX(Input_ForRateCalc[[F-CurrentVDO_InputDate]:[F-NextVDO_Input]],MATCH(Calc_Losses_1[[#This Row],[Cost item]:[Cost item]]&amp;" - "&amp;Calc_Losses_1[[#Headers],[Ausnet]],Input_ForRateCalc[[Cost item]:[Cost item]],0),MATCH($D$5,Inputs!$H$8:$Q$8,0)),"-")</f>
        <v>0.99914999999999998</v>
      </c>
      <c r="H158" s="73" cm="1">
        <f t="array" ref="H158">IFERROR(INDEX(Input_ForRateCalc[[F-CurrentVDO_InputDate]:[F-NextVDO_Input]],MATCH(Calc_Losses_1[[#This Row],[Cost item]:[Cost item]]&amp;" - "&amp;Calc_Losses_1[[#Headers],[Citipower]],Input_ForRateCalc[[Cost item]:[Cost item]],0),MATCH($D$5,Inputs!$H$8:$Q$8,0)),"-")</f>
        <v>0.99780999999999997</v>
      </c>
      <c r="I158" s="73" cm="1">
        <f t="array" ref="I158">IFERROR(INDEX(Input_ForRateCalc[[F-CurrentVDO_InputDate]:[F-NextVDO_Input]],MATCH(Calc_Losses_1[[#This Row],[Cost item]:[Cost item]]&amp;" - "&amp;Calc_Losses_1[[#Headers],[Jemena]],Input_ForRateCalc[[Cost item]:[Cost item]],0),MATCH($D$5,Inputs!$H$8:$Q$8,0)),"-")</f>
        <v>0.99831111111111126</v>
      </c>
      <c r="J158" s="73" cm="1">
        <f t="array" ref="J158">IFERROR(INDEX(Input_ForRateCalc[[F-CurrentVDO_InputDate]:[F-NextVDO_Input]],MATCH(Calc_Losses_1[[#This Row],[Cost item]:[Cost item]]&amp;" - "&amp;Calc_Losses_1[[#Headers],[Powercor]],Input_ForRateCalc[[Cost item]:[Cost item]],0),MATCH($D$5,Inputs!$H$8:$Q$8,0)),"-")</f>
        <v>0.98904090909090892</v>
      </c>
      <c r="K158" s="73" cm="1">
        <f t="array" ref="K158">IFERROR(INDEX(Input_ForRateCalc[[F-CurrentVDO_InputDate]:[F-NextVDO_Input]],MATCH(Calc_Losses_1[[#This Row],[Cost item]:[Cost item]]&amp;" - "&amp;Calc_Losses_1[[#Headers],[United Energy]],Input_ForRateCalc[[Cost item]:[Cost item]],0),MATCH($D$5,Inputs!$H$8:$Q$8,0)),"-")</f>
        <v>0.99633000000000005</v>
      </c>
    </row>
    <row r="159" spans="3:11" hidden="1" outlineLevel="1" x14ac:dyDescent="0.25">
      <c r="C159" s="18" t="s">
        <v>230</v>
      </c>
      <c r="D159" s="18" t="s">
        <v>9</v>
      </c>
      <c r="E159" s="18" t="s">
        <v>140</v>
      </c>
      <c r="F159" s="18" t="s">
        <v>46</v>
      </c>
      <c r="G159" s="73" cm="1">
        <f t="array" ref="G159">IFERROR(INDEX(Input_ForRateCalc[[F-CurrentVDO_InputDate]:[F-NextVDO_Input]],MATCH(Calc_Losses_1[[#This Row],[Cost item]:[Cost item]]&amp;" - "&amp;Calc_Losses_1[[#Headers],[Ausnet]],Input_ForRateCalc[[Cost item]:[Cost item]],0),MATCH($D$5,Inputs!$H$8:$Q$8,0)),"-")</f>
        <v>1.06795</v>
      </c>
      <c r="H159" s="73" cm="1">
        <f t="array" ref="H159">IFERROR(INDEX(Input_ForRateCalc[[F-CurrentVDO_InputDate]:[F-NextVDO_Input]],MATCH(Calc_Losses_1[[#This Row],[Cost item]:[Cost item]]&amp;" - "&amp;Calc_Losses_1[[#Headers],[Citipower]],Input_ForRateCalc[[Cost item]:[Cost item]],0),MATCH($D$5,Inputs!$H$8:$Q$8,0)),"-")</f>
        <v>1.0508999999999999</v>
      </c>
      <c r="I159" s="73" cm="1">
        <f t="array" ref="I159">IFERROR(INDEX(Input_ForRateCalc[[F-CurrentVDO_InputDate]:[F-NextVDO_Input]],MATCH(Calc_Losses_1[[#This Row],[Cost item]:[Cost item]]&amp;" - "&amp;Calc_Losses_1[[#Headers],[Jemena]],Input_ForRateCalc[[Cost item]:[Cost item]],0),MATCH($D$5,Inputs!$H$8:$Q$8,0)),"-")</f>
        <v>1.0394000000000001</v>
      </c>
      <c r="J159" s="73" cm="1">
        <f t="array" ref="J159">IFERROR(INDEX(Input_ForRateCalc[[F-CurrentVDO_InputDate]:[F-NextVDO_Input]],MATCH(Calc_Losses_1[[#This Row],[Cost item]:[Cost item]]&amp;" - "&amp;Calc_Losses_1[[#Headers],[Powercor]],Input_ForRateCalc[[Cost item]:[Cost item]],0),MATCH($D$5,Inputs!$H$8:$Q$8,0)),"-")</f>
        <v>1.0829499999999999</v>
      </c>
      <c r="K159" s="73" cm="1">
        <f t="array" ref="K159">IFERROR(INDEX(Input_ForRateCalc[[F-CurrentVDO_InputDate]:[F-NextVDO_Input]],MATCH(Calc_Losses_1[[#This Row],[Cost item]:[Cost item]]&amp;" - "&amp;Calc_Losses_1[[#Headers],[United Energy]],Input_ForRateCalc[[Cost item]:[Cost item]],0),MATCH($D$5,Inputs!$H$8:$Q$8,0)),"-")</f>
        <v>1.0563</v>
      </c>
    </row>
    <row r="160" spans="3:11" hidden="1" outlineLevel="1" x14ac:dyDescent="0.25">
      <c r="C160" s="35" t="s">
        <v>231</v>
      </c>
      <c r="D160" s="18" t="s">
        <v>9</v>
      </c>
      <c r="E160" s="35" t="s">
        <v>140</v>
      </c>
      <c r="F160" s="18" t="s">
        <v>46</v>
      </c>
      <c r="G160" s="171">
        <f>(G158*G159)-1</f>
        <v>6.7042242499999904E-2</v>
      </c>
      <c r="H160" s="171">
        <f t="shared" ref="H160:K160" si="43">(H158*H159)-1</f>
        <v>4.8598528999999946E-2</v>
      </c>
      <c r="I160" s="171">
        <f t="shared" si="43"/>
        <v>3.7644568888889118E-2</v>
      </c>
      <c r="J160" s="171">
        <f t="shared" si="43"/>
        <v>7.1081852499999654E-2</v>
      </c>
      <c r="K160" s="171">
        <f t="shared" si="43"/>
        <v>5.2423379000000159E-2</v>
      </c>
    </row>
    <row r="161" spans="1:11" hidden="1" outlineLevel="1" x14ac:dyDescent="0.25">
      <c r="B161"/>
    </row>
    <row r="162" spans="1:11" ht="15.75" hidden="1" outlineLevel="1" collapsed="1" x14ac:dyDescent="0.25">
      <c r="A162" s="1" t="s">
        <v>19</v>
      </c>
      <c r="C162" s="23" t="s">
        <v>139</v>
      </c>
    </row>
    <row r="163" spans="1:11" ht="15.75" hidden="1" outlineLevel="1" x14ac:dyDescent="0.25">
      <c r="C163" s="34" t="s">
        <v>24</v>
      </c>
      <c r="D163" s="34" t="s">
        <v>37</v>
      </c>
      <c r="E163" s="34" t="s">
        <v>38</v>
      </c>
      <c r="F163" s="34" t="s">
        <v>30</v>
      </c>
      <c r="G163" s="49" t="s">
        <v>204</v>
      </c>
      <c r="H163" s="49" t="s">
        <v>205</v>
      </c>
      <c r="I163" s="49" t="s">
        <v>206</v>
      </c>
      <c r="J163" s="49" t="s">
        <v>207</v>
      </c>
      <c r="K163" s="49" t="s">
        <v>208</v>
      </c>
    </row>
    <row r="164" spans="1:11" hidden="1" outlineLevel="1" x14ac:dyDescent="0.25">
      <c r="C164" s="18" t="s">
        <v>139</v>
      </c>
      <c r="D164" s="18" t="s">
        <v>9</v>
      </c>
      <c r="E164" s="18" t="s">
        <v>140</v>
      </c>
      <c r="F164" s="18" t="s">
        <v>46</v>
      </c>
      <c r="G164" s="73" cm="1">
        <f t="array" ref="G164">IFERROR(INDEX(Input_ForRateCalc[[F-CurrentVDO_InputDate]:[F-NextVDO_Input]],MATCH(Calc_ROM_1[[#This Row],[Cost item]:[Cost item]],Input_ForRateCalc[[Cost item]:[Cost item]],0),MATCH($D$5,Inputs!$H$8:$Q$8,0)),"-")</f>
        <v>6.0400000000000002E-2</v>
      </c>
      <c r="H164" s="73" cm="1">
        <f t="array" ref="H164">IFERROR(INDEX(Input_ForRateCalc[[F-CurrentVDO_InputDate]:[F-NextVDO_Input]],MATCH(Calc_ROM_1[[#This Row],[Cost item]:[Cost item]],Input_ForRateCalc[[Cost item]:[Cost item]],0),MATCH($D$5,Inputs!$H$8:$Q$8,0)),"-")</f>
        <v>6.0400000000000002E-2</v>
      </c>
      <c r="I164" s="73" cm="1">
        <f t="array" ref="I164">IFERROR(INDEX(Input_ForRateCalc[[F-CurrentVDO_InputDate]:[F-NextVDO_Input]],MATCH(Calc_ROM_1[[#This Row],[Cost item]:[Cost item]],Input_ForRateCalc[[Cost item]:[Cost item]],0),MATCH($D$5,Inputs!$H$8:$Q$8,0)),"-")</f>
        <v>6.0400000000000002E-2</v>
      </c>
      <c r="J164" s="73" cm="1">
        <f t="array" ref="J164">IFERROR(INDEX(Input_ForRateCalc[[F-CurrentVDO_InputDate]:[F-NextVDO_Input]],MATCH(Calc_ROM_1[[#This Row],[Cost item]:[Cost item]],Input_ForRateCalc[[Cost item]:[Cost item]],0),MATCH($D$5,Inputs!$H$8:$Q$8,0)),"-")</f>
        <v>6.0400000000000002E-2</v>
      </c>
      <c r="K164" s="73" cm="1">
        <f t="array" ref="K164">IFERROR(INDEX(Input_ForRateCalc[[F-CurrentVDO_InputDate]:[F-NextVDO_Input]],MATCH(Calc_ROM_1[[#This Row],[Cost item]:[Cost item]],Input_ForRateCalc[[Cost item]:[Cost item]],0),MATCH($D$5,Inputs!$H$8:$Q$8,0)),"-")</f>
        <v>6.0400000000000002E-2</v>
      </c>
    </row>
    <row r="165" spans="1:11" x14ac:dyDescent="0.25">
      <c r="B165"/>
    </row>
    <row r="166" spans="1:11" x14ac:dyDescent="0.25">
      <c r="C166" s="115"/>
      <c r="D166" s="115"/>
      <c r="E166" s="117"/>
      <c r="F166" s="115"/>
      <c r="G166" s="115"/>
      <c r="H166" s="115"/>
      <c r="I166" s="115"/>
      <c r="J166" s="115"/>
      <c r="K166" s="115"/>
    </row>
    <row r="167" spans="1:11" ht="16.5" collapsed="1" thickBot="1" x14ac:dyDescent="0.3">
      <c r="B167" s="7">
        <f ca="1">MAX(B$3:B166)+0.1</f>
        <v>7.2999999999999989</v>
      </c>
      <c r="C167" s="22" t="s">
        <v>232</v>
      </c>
      <c r="D167" s="22"/>
      <c r="E167" s="22"/>
      <c r="F167" s="22"/>
      <c r="G167" s="22"/>
      <c r="H167" s="22"/>
      <c r="I167" s="22"/>
      <c r="J167" s="22"/>
      <c r="K167" s="22"/>
    </row>
    <row r="168" spans="1:11" hidden="1" outlineLevel="1" x14ac:dyDescent="0.25"/>
    <row r="169" spans="1:11" ht="15.75" hidden="1" outlineLevel="1" collapsed="1" x14ac:dyDescent="0.25">
      <c r="A169" s="1" t="s">
        <v>19</v>
      </c>
      <c r="C169" s="34" t="s">
        <v>24</v>
      </c>
      <c r="D169" s="34" t="s">
        <v>37</v>
      </c>
      <c r="E169" s="34" t="s">
        <v>38</v>
      </c>
      <c r="F169" s="34" t="s">
        <v>30</v>
      </c>
      <c r="G169" s="49" t="s">
        <v>204</v>
      </c>
      <c r="H169" s="49" t="s">
        <v>205</v>
      </c>
      <c r="I169" s="49" t="s">
        <v>206</v>
      </c>
      <c r="J169" s="49" t="s">
        <v>207</v>
      </c>
      <c r="K169" s="49" t="s">
        <v>208</v>
      </c>
    </row>
    <row r="170" spans="1:11" hidden="1" outlineLevel="1" x14ac:dyDescent="0.25">
      <c r="C170" s="18" t="s">
        <v>228</v>
      </c>
      <c r="D170" s="18" t="s">
        <v>44</v>
      </c>
      <c r="E170" s="18" t="s">
        <v>45</v>
      </c>
      <c r="F170" s="18" t="s">
        <v>46</v>
      </c>
      <c r="G170" s="50" cm="1">
        <f t="array" ref="G170">IFERROR(
IFERROR(INDEX(Calc_CPI_1[[CPI uplift factor]:[CPI uplift factor]],MATCH($C170,Calc_CPI_1[[Cost item]:[Cost item]],0),1),0)+
INDEX(Input_ForRateCalc[[F-CurrentVDO_InputDate]:[F-NextVDO_Input]],MATCH(Calc_Retail_1[[#This Row],[Cost item]:[Cost item]]&amp;" - base",Input_ForRateCalc[[Cost item]:[Cost item]],0),MATCH($D$5,Inputs!$H$8:$Q$8,0))+
INDEX(Input_ForRateCalc[[F-CurrentVDO_InputDate]:[F-NextVDO_Input]],MATCH(Calc_Retail_1[[#This Row],[Cost item]:[Cost item]]&amp;" - 5 min settlement allowance",Input_ForRateCalc[[Cost item]:[Cost item]],0),MATCH($D$5,Inputs!$H$8:$Q$8,0))+
INDEX(Input_ForRateCalc[[F-CurrentVDO_InputDate]:[F-NextVDO_Input]],MATCH(Calc_Retail_1[[#This Row],[Cost item]:[Cost item]]&amp;" - regulatory cost allowance",Input_ForRateCalc[[Cost item]:[Cost item]],0),MATCH($D$5,Inputs!$H$8:$Q$8,0))+
INDEX(Input_ForRateCalc[[F-CurrentVDO_InputDate]:[F-NextVDO_Input]],MATCH(Calc_Retail_1[[#This Row],[Cost item]:[Cost item]]&amp;" - bad debt allowance",Input_ForRateCalc[[Cost item]:[Cost item]],0),MATCH($D$5,Inputs!$H$8:$Q$8,0)),"-")</f>
        <v>143.29536631887984</v>
      </c>
      <c r="H170" s="50" cm="1">
        <f t="array" ref="H170">IFERROR(
IFERROR(INDEX(Calc_CPI_1[[CPI uplift factor]:[CPI uplift factor]],MATCH($C170,Calc_CPI_1[[Cost item]:[Cost item]],0),1),0)+
INDEX(Input_ForRateCalc[[F-CurrentVDO_InputDate]:[F-NextVDO_Input]],MATCH(Calc_Retail_1[[#This Row],[Cost item]:[Cost item]]&amp;" - base",Input_ForRateCalc[[Cost item]:[Cost item]],0),MATCH($D$5,Inputs!$H$8:$Q$8,0))+
INDEX(Input_ForRateCalc[[F-CurrentVDO_InputDate]:[F-NextVDO_Input]],MATCH(Calc_Retail_1[[#This Row],[Cost item]:[Cost item]]&amp;" - 5 min settlement allowance",Input_ForRateCalc[[Cost item]:[Cost item]],0),MATCH($D$5,Inputs!$H$8:$Q$8,0))+
INDEX(Input_ForRateCalc[[F-CurrentVDO_InputDate]:[F-NextVDO_Input]],MATCH(Calc_Retail_1[[#This Row],[Cost item]:[Cost item]]&amp;" - regulatory cost allowance",Input_ForRateCalc[[Cost item]:[Cost item]],0),MATCH($D$5,Inputs!$H$8:$Q$8,0))+
INDEX(Input_ForRateCalc[[F-CurrentVDO_InputDate]:[F-NextVDO_Input]],MATCH(Calc_Retail_1[[#This Row],[Cost item]:[Cost item]]&amp;" - bad debt allowance",Input_ForRateCalc[[Cost item]:[Cost item]],0),MATCH($D$5,Inputs!$H$8:$Q$8,0)),"-")</f>
        <v>143.29536631887984</v>
      </c>
      <c r="I170" s="50" cm="1">
        <f t="array" ref="I170">IFERROR(
IFERROR(INDEX(Calc_CPI_1[[CPI uplift factor]:[CPI uplift factor]],MATCH($C170,Calc_CPI_1[[Cost item]:[Cost item]],0),1),0)+
INDEX(Input_ForRateCalc[[F-CurrentVDO_InputDate]:[F-NextVDO_Input]],MATCH(Calc_Retail_1[[#This Row],[Cost item]:[Cost item]]&amp;" - base",Input_ForRateCalc[[Cost item]:[Cost item]],0),MATCH($D$5,Inputs!$H$8:$Q$8,0))+
INDEX(Input_ForRateCalc[[F-CurrentVDO_InputDate]:[F-NextVDO_Input]],MATCH(Calc_Retail_1[[#This Row],[Cost item]:[Cost item]]&amp;" - 5 min settlement allowance",Input_ForRateCalc[[Cost item]:[Cost item]],0),MATCH($D$5,Inputs!$H$8:$Q$8,0))+
INDEX(Input_ForRateCalc[[F-CurrentVDO_InputDate]:[F-NextVDO_Input]],MATCH(Calc_Retail_1[[#This Row],[Cost item]:[Cost item]]&amp;" - regulatory cost allowance",Input_ForRateCalc[[Cost item]:[Cost item]],0),MATCH($D$5,Inputs!$H$8:$Q$8,0))+
INDEX(Input_ForRateCalc[[F-CurrentVDO_InputDate]:[F-NextVDO_Input]],MATCH(Calc_Retail_1[[#This Row],[Cost item]:[Cost item]]&amp;" - bad debt allowance",Input_ForRateCalc[[Cost item]:[Cost item]],0),MATCH($D$5,Inputs!$H$8:$Q$8,0)),"-")</f>
        <v>143.29536631887984</v>
      </c>
      <c r="J170" s="50" cm="1">
        <f t="array" ref="J170">IFERROR(
IFERROR(INDEX(Calc_CPI_1[[CPI uplift factor]:[CPI uplift factor]],MATCH($C170,Calc_CPI_1[[Cost item]:[Cost item]],0),1),0)+
INDEX(Input_ForRateCalc[[F-CurrentVDO_InputDate]:[F-NextVDO_Input]],MATCH(Calc_Retail_1[[#This Row],[Cost item]:[Cost item]]&amp;" - base",Input_ForRateCalc[[Cost item]:[Cost item]],0),MATCH($D$5,Inputs!$H$8:$Q$8,0))+
INDEX(Input_ForRateCalc[[F-CurrentVDO_InputDate]:[F-NextVDO_Input]],MATCH(Calc_Retail_1[[#This Row],[Cost item]:[Cost item]]&amp;" - 5 min settlement allowance",Input_ForRateCalc[[Cost item]:[Cost item]],0),MATCH($D$5,Inputs!$H$8:$Q$8,0))+
INDEX(Input_ForRateCalc[[F-CurrentVDO_InputDate]:[F-NextVDO_Input]],MATCH(Calc_Retail_1[[#This Row],[Cost item]:[Cost item]]&amp;" - regulatory cost allowance",Input_ForRateCalc[[Cost item]:[Cost item]],0),MATCH($D$5,Inputs!$H$8:$Q$8,0))+
INDEX(Input_ForRateCalc[[F-CurrentVDO_InputDate]:[F-NextVDO_Input]],MATCH(Calc_Retail_1[[#This Row],[Cost item]:[Cost item]]&amp;" - bad debt allowance",Input_ForRateCalc[[Cost item]:[Cost item]],0),MATCH($D$5,Inputs!$H$8:$Q$8,0)),"-")</f>
        <v>143.29536631887984</v>
      </c>
      <c r="K170" s="50" cm="1">
        <f t="array" ref="K170">IFERROR(
IFERROR(INDEX(Calc_CPI_1[[CPI uplift factor]:[CPI uplift factor]],MATCH($C170,Calc_CPI_1[[Cost item]:[Cost item]],0),1),0)+
INDEX(Input_ForRateCalc[[F-CurrentVDO_InputDate]:[F-NextVDO_Input]],MATCH(Calc_Retail_1[[#This Row],[Cost item]:[Cost item]]&amp;" - base",Input_ForRateCalc[[Cost item]:[Cost item]],0),MATCH($D$5,Inputs!$H$8:$Q$8,0))+
INDEX(Input_ForRateCalc[[F-CurrentVDO_InputDate]:[F-NextVDO_Input]],MATCH(Calc_Retail_1[[#This Row],[Cost item]:[Cost item]]&amp;" - 5 min settlement allowance",Input_ForRateCalc[[Cost item]:[Cost item]],0),MATCH($D$5,Inputs!$H$8:$Q$8,0))+
INDEX(Input_ForRateCalc[[F-CurrentVDO_InputDate]:[F-NextVDO_Input]],MATCH(Calc_Retail_1[[#This Row],[Cost item]:[Cost item]]&amp;" - regulatory cost allowance",Input_ForRateCalc[[Cost item]:[Cost item]],0),MATCH($D$5,Inputs!$H$8:$Q$8,0))+
INDEX(Input_ForRateCalc[[F-CurrentVDO_InputDate]:[F-NextVDO_Input]],MATCH(Calc_Retail_1[[#This Row],[Cost item]:[Cost item]]&amp;" - bad debt allowance",Input_ForRateCalc[[Cost item]:[Cost item]],0),MATCH($D$5,Inputs!$H$8:$Q$8,0)),"-")</f>
        <v>143.29536631887984</v>
      </c>
    </row>
    <row r="171" spans="1:11" hidden="1" outlineLevel="1" x14ac:dyDescent="0.25">
      <c r="C171" s="35" t="s">
        <v>50</v>
      </c>
      <c r="D171" s="35" t="s">
        <v>44</v>
      </c>
      <c r="E171" s="18" t="s">
        <v>45</v>
      </c>
      <c r="F171" s="18" t="s">
        <v>46</v>
      </c>
      <c r="G171" s="50" cm="1">
        <f t="array" ref="G171">IFERROR(
IFERROR(INDEX(Calc_CPI_1[[CPI uplift factor]:[CPI uplift factor]],MATCH($C171,Calc_CPI_1[[Cost item]:[Cost item]],0),1),0)+
INDEX(Input_ForRateCalc[[F-CurrentVDO_InputDate]:[F-NextVDO_Input]],MATCH(Calc_Retail_1[[#This Row],[Cost item]:[Cost item]],Input_ForRateCalc[[Cost item]:[Cost item]],0),MATCH($D$5,Inputs!$H$8:$Q$8,0)),"-")</f>
        <v>38.463414634146346</v>
      </c>
      <c r="H171" s="50" cm="1">
        <f t="array" ref="H171">IFERROR(
IFERROR(INDEX(Calc_CPI_1[[CPI uplift factor]:[CPI uplift factor]],MATCH($C171,Calc_CPI_1[[Cost item]:[Cost item]],0),1),0)+
INDEX(Input_ForRateCalc[[F-CurrentVDO_InputDate]:[F-NextVDO_Input]],MATCH(Calc_Retail_1[[#This Row],[Cost item]:[Cost item]],Input_ForRateCalc[[Cost item]:[Cost item]],0),MATCH($D$5,Inputs!$H$8:$Q$8,0)),"-")</f>
        <v>38.463414634146346</v>
      </c>
      <c r="I171" s="50" cm="1">
        <f t="array" ref="I171">IFERROR(
IFERROR(INDEX(Calc_CPI_1[[CPI uplift factor]:[CPI uplift factor]],MATCH($C171,Calc_CPI_1[[Cost item]:[Cost item]],0),1),0)+
INDEX(Input_ForRateCalc[[F-CurrentVDO_InputDate]:[F-NextVDO_Input]],MATCH(Calc_Retail_1[[#This Row],[Cost item]:[Cost item]],Input_ForRateCalc[[Cost item]:[Cost item]],0),MATCH($D$5,Inputs!$H$8:$Q$8,0)),"-")</f>
        <v>38.463414634146346</v>
      </c>
      <c r="J171" s="50" cm="1">
        <f t="array" ref="J171">IFERROR(
IFERROR(INDEX(Calc_CPI_1[[CPI uplift factor]:[CPI uplift factor]],MATCH($C171,Calc_CPI_1[[Cost item]:[Cost item]],0),1),0)+
INDEX(Input_ForRateCalc[[F-CurrentVDO_InputDate]:[F-NextVDO_Input]],MATCH(Calc_Retail_1[[#This Row],[Cost item]:[Cost item]],Input_ForRateCalc[[Cost item]:[Cost item]],0),MATCH($D$5,Inputs!$H$8:$Q$8,0)),"-")</f>
        <v>38.463414634146346</v>
      </c>
      <c r="K171" s="50" cm="1">
        <f t="array" ref="K171">IFERROR(
IFERROR(INDEX(Calc_CPI_1[[CPI uplift factor]:[CPI uplift factor]],MATCH($C171,Calc_CPI_1[[Cost item]:[Cost item]],0),1),0)+
INDEX(Input_ForRateCalc[[F-CurrentVDO_InputDate]:[F-NextVDO_Input]],MATCH(Calc_Retail_1[[#This Row],[Cost item]:[Cost item]],Input_ForRateCalc[[Cost item]:[Cost item]],0),MATCH($D$5,Inputs!$H$8:$Q$8,0)),"-")</f>
        <v>38.463414634146346</v>
      </c>
    </row>
    <row r="173" spans="1:11" ht="16.5" collapsed="1" thickBot="1" x14ac:dyDescent="0.3">
      <c r="B173" s="7">
        <f ca="1">MAX(B$3:B172)+0.1</f>
        <v>7.3999999999999986</v>
      </c>
      <c r="C173" s="22" t="s">
        <v>209</v>
      </c>
      <c r="D173" s="22"/>
      <c r="E173" s="22"/>
      <c r="F173" s="22"/>
      <c r="G173" s="22"/>
      <c r="H173" s="22"/>
      <c r="I173" s="22"/>
      <c r="J173" s="22"/>
      <c r="K173" s="22"/>
    </row>
    <row r="174" spans="1:11" hidden="1" outlineLevel="1" x14ac:dyDescent="0.25"/>
    <row r="175" spans="1:11" ht="15.75" hidden="1" outlineLevel="1" x14ac:dyDescent="0.25">
      <c r="C175" s="34" t="s">
        <v>24</v>
      </c>
      <c r="D175" s="34" t="s">
        <v>37</v>
      </c>
      <c r="E175" s="34" t="s">
        <v>38</v>
      </c>
      <c r="F175" s="34" t="s">
        <v>30</v>
      </c>
      <c r="G175" s="49" t="s">
        <v>204</v>
      </c>
      <c r="H175" s="49" t="s">
        <v>205</v>
      </c>
      <c r="I175" s="49" t="s">
        <v>206</v>
      </c>
      <c r="J175" s="49" t="s">
        <v>207</v>
      </c>
      <c r="K175" s="49" t="s">
        <v>208</v>
      </c>
    </row>
    <row r="176" spans="1:11" hidden="1" outlineLevel="1" x14ac:dyDescent="0.25">
      <c r="C176" s="18" t="s">
        <v>53</v>
      </c>
      <c r="D176" s="18" t="s">
        <v>44</v>
      </c>
      <c r="E176" s="18" t="s">
        <v>45</v>
      </c>
      <c r="F176" s="18" t="s">
        <v>46</v>
      </c>
      <c r="G176" s="50" cm="1">
        <f t="array" ref="G176">IFERROR(
IFERROR(INDEX(Calc_CPI_1[CPI uplift factor],MATCH($C176,Calc_CPI_1[Cost item],0),1),0)+
INDEX(Input_ForRateCalc[[F-CurrentVDO_InputDate]:[F-NextVDO_Input]],MATCH(Calc_OtherCosts_1[[#This Row],[Cost item]],Input_ForRateCalc[Cost item],0),MATCH($D$5,Inputs!$H$8:$Q$8,0)),"-")</f>
        <v>1.6939335514995686</v>
      </c>
      <c r="H176" s="50" cm="1">
        <f t="array" ref="H176">IFERROR(
IFERROR(INDEX(Calc_CPI_1[[CPI uplift factor]:[CPI uplift factor]],MATCH($C176,Calc_CPI_1[[Cost item]:[Cost item]],0),1),0)+
INDEX(Input_ForRateCalc[[F-CurrentVDO_InputDate]:[F-NextVDO_Input]],MATCH(Calc_OtherCosts_1[[#This Row],[Cost item]:[Cost item]],Input_ForRateCalc[[Cost item]:[Cost item]],0),MATCH($D$5,Inputs!$H$8:$Q$8,0)),"-")</f>
        <v>1.6939335514995686</v>
      </c>
      <c r="I176" s="50" cm="1">
        <f t="array" ref="I176">IFERROR(
IFERROR(INDEX(Calc_CPI_1[[CPI uplift factor]:[CPI uplift factor]],MATCH($C176,Calc_CPI_1[[Cost item]:[Cost item]],0),1),0)+
INDEX(Input_ForRateCalc[[F-CurrentVDO_InputDate]:[F-NextVDO_Input]],MATCH(Calc_OtherCosts_1[[#This Row],[Cost item]:[Cost item]],Input_ForRateCalc[[Cost item]:[Cost item]],0),MATCH($D$5,Inputs!$H$8:$Q$8,0)),"-")</f>
        <v>1.6939335514995686</v>
      </c>
      <c r="J176" s="50" cm="1">
        <f t="array" ref="J176">IFERROR(
IFERROR(INDEX(Calc_CPI_1[[CPI uplift factor]:[CPI uplift factor]],MATCH($C176,Calc_CPI_1[[Cost item]:[Cost item]],0),1),0)+
INDEX(Input_ForRateCalc[[F-CurrentVDO_InputDate]:[F-NextVDO_Input]],MATCH(Calc_OtherCosts_1[[#This Row],[Cost item]:[Cost item]],Input_ForRateCalc[[Cost item]:[Cost item]],0),MATCH($D$5,Inputs!$H$8:$Q$8,0)),"-")</f>
        <v>1.6939335514995686</v>
      </c>
      <c r="K176" s="50" cm="1">
        <f t="array" ref="K176">IFERROR(
IFERROR(INDEX(Calc_CPI_1[[CPI uplift factor]:[CPI uplift factor]],MATCH($C176,Calc_CPI_1[[Cost item]:[Cost item]],0),1),0)+
INDEX(Input_ForRateCalc[[F-CurrentVDO_InputDate]:[F-NextVDO_Input]],MATCH(Calc_OtherCosts_1[[#This Row],[Cost item]:[Cost item]],Input_ForRateCalc[[Cost item]:[Cost item]],0),MATCH($D$5,Inputs!$H$8:$Q$8,0)),"-")</f>
        <v>1.6939335514995686</v>
      </c>
    </row>
    <row r="177" spans="1:11" hidden="1" outlineLevel="1" x14ac:dyDescent="0.25">
      <c r="C177" s="18" t="s">
        <v>54</v>
      </c>
      <c r="D177" s="18" t="s">
        <v>44</v>
      </c>
      <c r="E177" s="18" t="s">
        <v>45</v>
      </c>
      <c r="F177" s="18" t="s">
        <v>46</v>
      </c>
      <c r="G177" s="50" cm="1">
        <f t="array" ref="G177">IFERROR(
IFERROR(INDEX(Calc_CPI_1[[CPI uplift factor]:[CPI uplift factor]],MATCH($C177,Calc_CPI_1[[Cost item]:[Cost item]],0),1),0)+
INDEX(Input_ForRateCalc[[F-CurrentVDO_InputDate]:[F-NextVDO_Input]],MATCH(Calc_OtherCosts_1[[#This Row],[Cost item]:[Cost item]],Input_ForRateCalc[[Cost item]:[Cost item]],0),MATCH($D$5,Inputs!$H$8:$Q$8,0)),"-")</f>
        <v>2.46</v>
      </c>
      <c r="H177" s="50" cm="1">
        <f t="array" ref="H177">IFERROR(
IFERROR(INDEX(Calc_CPI_1[[CPI uplift factor]:[CPI uplift factor]],MATCH($C177,Calc_CPI_1[[Cost item]:[Cost item]],0),1),0)+
INDEX(Input_ForRateCalc[[F-CurrentVDO_InputDate]:[F-NextVDO_Input]],MATCH(Calc_OtherCosts_1[[#This Row],[Cost item]:[Cost item]],Input_ForRateCalc[[Cost item]:[Cost item]],0),MATCH($D$5,Inputs!$H$8:$Q$8,0)),"-")</f>
        <v>2.46</v>
      </c>
      <c r="I177" s="50" cm="1">
        <f t="array" ref="I177">IFERROR(
IFERROR(INDEX(Calc_CPI_1[[CPI uplift factor]:[CPI uplift factor]],MATCH($C177,Calc_CPI_1[[Cost item]:[Cost item]],0),1),0)+
INDEX(Input_ForRateCalc[[F-CurrentVDO_InputDate]:[F-NextVDO_Input]],MATCH(Calc_OtherCosts_1[[#This Row],[Cost item]:[Cost item]],Input_ForRateCalc[[Cost item]:[Cost item]],0),MATCH($D$5,Inputs!$H$8:$Q$8,0)),"-")</f>
        <v>2.46</v>
      </c>
      <c r="J177" s="50" cm="1">
        <f t="array" ref="J177">IFERROR(
IFERROR(INDEX(Calc_CPI_1[[CPI uplift factor]:[CPI uplift factor]],MATCH($C177,Calc_CPI_1[[Cost item]:[Cost item]],0),1),0)+
INDEX(Input_ForRateCalc[[F-CurrentVDO_InputDate]:[F-NextVDO_Input]],MATCH(Calc_OtherCosts_1[[#This Row],[Cost item]:[Cost item]],Input_ForRateCalc[[Cost item]:[Cost item]],0),MATCH($D$5,Inputs!$H$8:$Q$8,0)),"-")</f>
        <v>2.46</v>
      </c>
      <c r="K177" s="50" cm="1">
        <f t="array" ref="K177">IFERROR(
IFERROR(INDEX(Calc_CPI_1[[CPI uplift factor]:[CPI uplift factor]],MATCH($C177,Calc_CPI_1[[Cost item]:[Cost item]],0),1),0)+
INDEX(Input_ForRateCalc[[F-CurrentVDO_InputDate]:[F-NextVDO_Input]],MATCH(Calc_OtherCosts_1[[#This Row],[Cost item]:[Cost item]],Input_ForRateCalc[[Cost item]:[Cost item]],0),MATCH($D$5,Inputs!$H$8:$Q$8,0)),"-")</f>
        <v>2.46</v>
      </c>
    </row>
    <row r="178" spans="1:11" hidden="1" outlineLevel="1" x14ac:dyDescent="0.25">
      <c r="C178" s="48" t="s">
        <v>432</v>
      </c>
      <c r="D178" s="18" t="s">
        <v>44</v>
      </c>
      <c r="E178" s="18" t="s">
        <v>55</v>
      </c>
      <c r="F178" s="18" t="s">
        <v>46</v>
      </c>
      <c r="G178" s="50" cm="1">
        <f t="array" ref="G178">IFERROR(
(IFERROR(INDEX(Calc_CPI_1[[CPI uplift factor]:[CPI uplift factor]],MATCH($C178,Calc_CPI_1[[Cost item]:[Cost item]],0),1),0)+
INDEX(Input_ForRateCalc[[F-CurrentVDO_InputDate]:[F-NextVDO_Input]],MATCH(Calc_OtherCosts_1[[#This Row],[Cost item]:[Cost item]],Input_ForRateCalc[[Cost item]:[Cost item]],0),MATCH($D$5,Inputs!$H$8:$Q$8,0)))*WiY,"-")</f>
        <v>0.62589545454545448</v>
      </c>
      <c r="H178" s="50" cm="1">
        <f t="array" ref="H178">IFERROR(
(IFERROR(INDEX(Calc_CPI_1[[CPI uplift factor]:[CPI uplift factor]],MATCH($C178,Calc_CPI_1[[Cost item]:[Cost item]],0),1),0)+
INDEX(Input_ForRateCalc[[F-CurrentVDO_InputDate]:[F-NextVDO_Input]],MATCH(Calc_OtherCosts_1[[#This Row],[Cost item]:[Cost item]],Input_ForRateCalc[[Cost item]:[Cost item]],0),MATCH($D$5,Inputs!$H$8:$Q$8,0)))*WiY,"-")</f>
        <v>0.62589545454545448</v>
      </c>
      <c r="I178" s="50" cm="1">
        <f t="array" ref="I178">IFERROR(
(IFERROR(INDEX(Calc_CPI_1[[CPI uplift factor]:[CPI uplift factor]],MATCH($C178,Calc_CPI_1[[Cost item]:[Cost item]],0),1),0)+
INDEX(Input_ForRateCalc[[F-CurrentVDO_InputDate]:[F-NextVDO_Input]],MATCH(Calc_OtherCosts_1[[#This Row],[Cost item]:[Cost item]],Input_ForRateCalc[[Cost item]:[Cost item]],0),MATCH($D$5,Inputs!$H$8:$Q$8,0)))*WiY,"-")</f>
        <v>0.62589545454545448</v>
      </c>
      <c r="J178" s="50" cm="1">
        <f t="array" ref="J178">IFERROR(
(IFERROR(INDEX(Calc_CPI_1[[CPI uplift factor]:[CPI uplift factor]],MATCH($C178,Calc_CPI_1[[Cost item]:[Cost item]],0),1),0)+
INDEX(Input_ForRateCalc[[F-CurrentVDO_InputDate]:[F-NextVDO_Input]],MATCH(Calc_OtherCosts_1[[#This Row],[Cost item]:[Cost item]],Input_ForRateCalc[[Cost item]:[Cost item]],0),MATCH($D$5,Inputs!$H$8:$Q$8,0)))*WiY,"-")</f>
        <v>0.62589545454545448</v>
      </c>
      <c r="K178" s="50" cm="1">
        <f t="array" ref="K178">IFERROR(
(IFERROR(INDEX(Calc_CPI_1[[CPI uplift factor]:[CPI uplift factor]],MATCH($C178,Calc_CPI_1[[Cost item]:[Cost item]],0),1),0)+
INDEX(Input_ForRateCalc[[F-CurrentVDO_InputDate]:[F-NextVDO_Input]],MATCH(Calc_OtherCosts_1[[#This Row],[Cost item]:[Cost item]],Input_ForRateCalc[[Cost item]:[Cost item]],0),MATCH($D$5,Inputs!$H$8:$Q$8,0)))*WiY,"-")</f>
        <v>0.62589545454545448</v>
      </c>
    </row>
    <row r="179" spans="1:11" hidden="1" outlineLevel="1" x14ac:dyDescent="0.25">
      <c r="C179" s="18" t="s">
        <v>56</v>
      </c>
      <c r="D179" s="18" t="s">
        <v>44</v>
      </c>
      <c r="E179" s="18" t="s">
        <v>55</v>
      </c>
      <c r="F179" s="18" t="s">
        <v>46</v>
      </c>
      <c r="G179" s="50" cm="1">
        <f t="array" ref="G179">IFERROR(
(IFERROR(INDEX(Calc_CPI_1[CPI uplift factor],MATCH($C179,Calc_CPI_1[Cost item],0),1),0)+
INDEX(Input_ForRateCalc[[F-CurrentVDO_InputDate]:[F-NextVDO_Input]],MATCH(Calc_OtherCosts_1[[#This Row],[Cost item]],Input_ForRateCalc[Cost item],0),MATCH($D$5,Inputs!$H$8:$Q$8,0)))*WiY,"-")</f>
        <v>1.3468636363636362</v>
      </c>
      <c r="H179" s="50" cm="1">
        <f t="array" ref="H179">IFERROR(
(IFERROR(INDEX(Calc_CPI_1[[CPI uplift factor]:[CPI uplift factor]],MATCH($C179,Calc_CPI_1[[Cost item]:[Cost item]],0),1),0)+
INDEX(Input_ForRateCalc[[F-CurrentVDO_InputDate]:[F-NextVDO_Input]],MATCH(Calc_OtherCosts_1[[#This Row],[Cost item]:[Cost item]],Input_ForRateCalc[[Cost item]:[Cost item]],0),MATCH($D$5,Inputs!$H$8:$Q$8,0)))*WiY,"-")</f>
        <v>1.3468636363636362</v>
      </c>
      <c r="I179" s="50" cm="1">
        <f t="array" ref="I179">IFERROR(
(IFERROR(INDEX(Calc_CPI_1[[CPI uplift factor]:[CPI uplift factor]],MATCH($C179,Calc_CPI_1[[Cost item]:[Cost item]],0),1),0)+
INDEX(Input_ForRateCalc[[F-CurrentVDO_InputDate]:[F-NextVDO_Input]],MATCH(Calc_OtherCosts_1[[#This Row],[Cost item]:[Cost item]],Input_ForRateCalc[[Cost item]:[Cost item]],0),MATCH($D$5,Inputs!$H$8:$Q$8,0)))*WiY,"-")</f>
        <v>1.3468636363636362</v>
      </c>
      <c r="J179" s="50" cm="1">
        <f t="array" ref="J179">IFERROR(
(IFERROR(INDEX(Calc_CPI_1[[CPI uplift factor]:[CPI uplift factor]],MATCH($C179,Calc_CPI_1[[Cost item]:[Cost item]],0),1),0)+
INDEX(Input_ForRateCalc[[F-CurrentVDO_InputDate]:[F-NextVDO_Input]],MATCH(Calc_OtherCosts_1[[#This Row],[Cost item]:[Cost item]],Input_ForRateCalc[[Cost item]:[Cost item]],0),MATCH($D$5,Inputs!$H$8:$Q$8,0)))*WiY,"-")</f>
        <v>1.3468636363636362</v>
      </c>
      <c r="K179" s="50" cm="1">
        <f t="array" ref="K179">IFERROR(
(IFERROR(INDEX(Calc_CPI_1[[CPI uplift factor]:[CPI uplift factor]],MATCH($C179,Calc_CPI_1[[Cost item]:[Cost item]],0),1),0)+
INDEX(Input_ForRateCalc[[F-CurrentVDO_InputDate]:[F-NextVDO_Input]],MATCH(Calc_OtherCosts_1[[#This Row],[Cost item]:[Cost item]],Input_ForRateCalc[[Cost item]:[Cost item]],0),MATCH($D$5,Inputs!$H$8:$Q$8,0)))*WiY,"-")</f>
        <v>1.3468636363636362</v>
      </c>
    </row>
    <row r="180" spans="1:11" ht="15.75" hidden="1" outlineLevel="1" collapsed="1" x14ac:dyDescent="0.25">
      <c r="A180" s="1" t="s">
        <v>19</v>
      </c>
      <c r="C180" s="18" t="s">
        <v>96</v>
      </c>
      <c r="D180" s="18" t="s">
        <v>66</v>
      </c>
      <c r="E180" s="18" t="s">
        <v>218</v>
      </c>
      <c r="F180" s="18" t="s">
        <v>46</v>
      </c>
      <c r="G180" s="50" cm="1">
        <f t="array" ref="G180">IFERROR(
(IFERROR(INDEX(Calc_CPI_1[CPI uplift factor],MATCH($C180,Calc_CPI_1[Cost item],0),1),0)+
INDEX(Input_ForRateCalc[[F-CurrentVDO_InputDate]:[F-NextVDO_Input]],MATCH(Calc_OtherCosts_1[[#This Row],[Cost item]],Input_ForRateCalc[Cost item],0),MATCH($D$5,Inputs!$H$8:$Q$8,0)))/1000,"-")</f>
        <v>3.7379020979020976E-4</v>
      </c>
      <c r="H180" s="50" cm="1">
        <f t="array" ref="H180">IFERROR(
(IFERROR(INDEX(Calc_CPI_1[[CPI uplift factor]:[CPI uplift factor]],MATCH($C180,Calc_CPI_1[[Cost item]:[Cost item]],0),1),0)+
INDEX(Input_ForRateCalc[[F-CurrentVDO_InputDate]:[F-NextVDO_Input]],MATCH(Calc_OtherCosts_1[[#This Row],[Cost item]:[Cost item]],Input_ForRateCalc[[Cost item]:[Cost item]],0),MATCH($D$5,Inputs!$H$8:$Q$8,0)))/1000,"-")</f>
        <v>3.7379020979020976E-4</v>
      </c>
      <c r="I180" s="50" cm="1">
        <f t="array" ref="I180">IFERROR(
(IFERROR(INDEX(Calc_CPI_1[[CPI uplift factor]:[CPI uplift factor]],MATCH($C180,Calc_CPI_1[[Cost item]:[Cost item]],0),1),0)+
INDEX(Input_ForRateCalc[[F-CurrentVDO_InputDate]:[F-NextVDO_Input]],MATCH(Calc_OtherCosts_1[[#This Row],[Cost item]:[Cost item]],Input_ForRateCalc[[Cost item]:[Cost item]],0),MATCH($D$5,Inputs!$H$8:$Q$8,0)))/1000,"-")</f>
        <v>3.7379020979020976E-4</v>
      </c>
      <c r="J180" s="50" cm="1">
        <f t="array" ref="J180">IFERROR(
(IFERROR(INDEX(Calc_CPI_1[[CPI uplift factor]:[CPI uplift factor]],MATCH($C180,Calc_CPI_1[[Cost item]:[Cost item]],0),1),0)+
INDEX(Input_ForRateCalc[[F-CurrentVDO_InputDate]:[F-NextVDO_Input]],MATCH(Calc_OtherCosts_1[[#This Row],[Cost item]:[Cost item]],Input_ForRateCalc[[Cost item]:[Cost item]],0),MATCH($D$5,Inputs!$H$8:$Q$8,0)))/1000,"-")</f>
        <v>3.7379020979020976E-4</v>
      </c>
      <c r="K180" s="50" cm="1">
        <f t="array" ref="K180">IFERROR(
(IFERROR(INDEX(Calc_CPI_1[[CPI uplift factor]:[CPI uplift factor]],MATCH($C180,Calc_CPI_1[[Cost item]:[Cost item]],0),1),0)+
INDEX(Input_ForRateCalc[[F-CurrentVDO_InputDate]:[F-NextVDO_Input]],MATCH(Calc_OtherCosts_1[[#This Row],[Cost item]:[Cost item]],Input_ForRateCalc[[Cost item]:[Cost item]],0),MATCH($D$5,Inputs!$H$8:$Q$8,0)))/1000,"-")</f>
        <v>3.7379020979020976E-4</v>
      </c>
    </row>
    <row r="181" spans="1:11" hidden="1" outlineLevel="1" x14ac:dyDescent="0.25">
      <c r="C181" s="18" t="s">
        <v>98</v>
      </c>
      <c r="D181" s="18" t="s">
        <v>66</v>
      </c>
      <c r="E181" s="18" t="s">
        <v>218</v>
      </c>
      <c r="F181" s="18" t="s">
        <v>46</v>
      </c>
      <c r="G181" s="50" cm="1">
        <f t="array" ref="G181">IFERROR(
(IFERROR(INDEX(Calc_CPI_1[[CPI uplift factor]:[CPI uplift factor]],MATCH($C181,Calc_CPI_1[[Cost item]:[Cost item]],0),1),0)+
INDEX(Input_ForRateCalc[[F-CurrentVDO_InputDate]:[F-NextVDO_Input]],MATCH(Calc_OtherCosts_1[[#This Row],[Cost item]:[Cost item]],Input_ForRateCalc[[Cost item]:[Cost item]],0),MATCH($D$5,Inputs!$H$8:$Q$8,0)))/1000,"-")</f>
        <v>0</v>
      </c>
      <c r="H181" s="50" cm="1">
        <f t="array" ref="H181">IFERROR(
(IFERROR(INDEX(Calc_CPI_1[[CPI uplift factor]:[CPI uplift factor]],MATCH($C181,Calc_CPI_1[[Cost item]:[Cost item]],0),1),0)+
INDEX(Input_ForRateCalc[[F-CurrentVDO_InputDate]:[F-NextVDO_Input]],MATCH(Calc_OtherCosts_1[[#This Row],[Cost item]:[Cost item]],Input_ForRateCalc[[Cost item]:[Cost item]],0),MATCH($D$5,Inputs!$H$8:$Q$8,0)))/1000,"-")</f>
        <v>0</v>
      </c>
      <c r="I181" s="50" cm="1">
        <f t="array" ref="I181">IFERROR(
(IFERROR(INDEX(Calc_CPI_1[[CPI uplift factor]:[CPI uplift factor]],MATCH($C181,Calc_CPI_1[[Cost item]:[Cost item]],0),1),0)+
INDEX(Input_ForRateCalc[[F-CurrentVDO_InputDate]:[F-NextVDO_Input]],MATCH(Calc_OtherCosts_1[[#This Row],[Cost item]:[Cost item]],Input_ForRateCalc[[Cost item]:[Cost item]],0),MATCH($D$5,Inputs!$H$8:$Q$8,0)))/1000,"-")</f>
        <v>0</v>
      </c>
      <c r="J181" s="50" cm="1">
        <f t="array" ref="J181">IFERROR(
(IFERROR(INDEX(Calc_CPI_1[[CPI uplift factor]:[CPI uplift factor]],MATCH($C181,Calc_CPI_1[[Cost item]:[Cost item]],0),1),0)+
INDEX(Input_ForRateCalc[[F-CurrentVDO_InputDate]:[F-NextVDO_Input]],MATCH(Calc_OtherCosts_1[[#This Row],[Cost item]:[Cost item]],Input_ForRateCalc[[Cost item]:[Cost item]],0),MATCH($D$5,Inputs!$H$8:$Q$8,0)))/1000,"-")</f>
        <v>0</v>
      </c>
      <c r="K181" s="50" cm="1">
        <f t="array" ref="K181">IFERROR(
(IFERROR(INDEX(Calc_CPI_1[[CPI uplift factor]:[CPI uplift factor]],MATCH($C181,Calc_CPI_1[[Cost item]:[Cost item]],0),1),0)+
INDEX(Input_ForRateCalc[[F-CurrentVDO_InputDate]:[F-NextVDO_Input]],MATCH(Calc_OtherCosts_1[[#This Row],[Cost item]:[Cost item]],Input_ForRateCalc[[Cost item]:[Cost item]],0),MATCH($D$5,Inputs!$H$8:$Q$8,0)))/1000,"-")</f>
        <v>0</v>
      </c>
    </row>
    <row r="182" spans="1:11" hidden="1" outlineLevel="1" x14ac:dyDescent="0.25">
      <c r="C182" s="35" t="s">
        <v>99</v>
      </c>
      <c r="D182" s="35" t="s">
        <v>66</v>
      </c>
      <c r="E182" s="18" t="s">
        <v>218</v>
      </c>
      <c r="F182" s="18" t="s">
        <v>46</v>
      </c>
      <c r="G182" s="50" cm="1">
        <f t="array" ref="G182">IFERROR(
(IFERROR(INDEX(Calc_CPI_1[[CPI uplift factor]:[CPI uplift factor]],MATCH($C182,Calc_CPI_1[[Cost item]:[Cost item]],0),1),0)+
INDEX(Input_ForRateCalc[[F-CurrentVDO_InputDate]:[F-NextVDO_Input]],MATCH(Calc_OtherCosts_1[[#This Row],[Cost item]:[Cost item]],Input_ForRateCalc[[Cost item]:[Cost item]],0),MATCH($D$5,Inputs!$H$8:$Q$8,0)))/1000,"-")</f>
        <v>3.602961684772472E-4</v>
      </c>
      <c r="H182" s="50" cm="1">
        <f t="array" ref="H182">IFERROR(
(IFERROR(INDEX(Calc_CPI_1[[CPI uplift factor]:[CPI uplift factor]],MATCH($C182,Calc_CPI_1[[Cost item]:[Cost item]],0),1),0)+
INDEX(Input_ForRateCalc[[F-CurrentVDO_InputDate]:[F-NextVDO_Input]],MATCH(Calc_OtherCosts_1[[#This Row],[Cost item]:[Cost item]],Input_ForRateCalc[[Cost item]:[Cost item]],0),MATCH($D$5,Inputs!$H$8:$Q$8,0)))/1000,"-")</f>
        <v>3.602961684772472E-4</v>
      </c>
      <c r="I182" s="50" cm="1">
        <f t="array" ref="I182">IFERROR(
(IFERROR(INDEX(Calc_CPI_1[[CPI uplift factor]:[CPI uplift factor]],MATCH($C182,Calc_CPI_1[[Cost item]:[Cost item]],0),1),0)+
INDEX(Input_ForRateCalc[[F-CurrentVDO_InputDate]:[F-NextVDO_Input]],MATCH(Calc_OtherCosts_1[[#This Row],[Cost item]:[Cost item]],Input_ForRateCalc[[Cost item]:[Cost item]],0),MATCH($D$5,Inputs!$H$8:$Q$8,0)))/1000,"-")</f>
        <v>3.602961684772472E-4</v>
      </c>
      <c r="J182" s="50" cm="1">
        <f t="array" ref="J182">IFERROR(
(IFERROR(INDEX(Calc_CPI_1[[CPI uplift factor]:[CPI uplift factor]],MATCH($C182,Calc_CPI_1[[Cost item]:[Cost item]],0),1),0)+
INDEX(Input_ForRateCalc[[F-CurrentVDO_InputDate]:[F-NextVDO_Input]],MATCH(Calc_OtherCosts_1[[#This Row],[Cost item]:[Cost item]],Input_ForRateCalc[[Cost item]:[Cost item]],0),MATCH($D$5,Inputs!$H$8:$Q$8,0)))/1000,"-")</f>
        <v>3.602961684772472E-4</v>
      </c>
      <c r="K182" s="50" cm="1">
        <f t="array" ref="K182">IFERROR(
(IFERROR(INDEX(Calc_CPI_1[[CPI uplift factor]:[CPI uplift factor]],MATCH($C182,Calc_CPI_1[[Cost item]:[Cost item]],0),1),0)+
INDEX(Input_ForRateCalc[[F-CurrentVDO_InputDate]:[F-NextVDO_Input]],MATCH(Calc_OtherCosts_1[[#This Row],[Cost item]:[Cost item]],Input_ForRateCalc[[Cost item]:[Cost item]],0),MATCH($D$5,Inputs!$H$8:$Q$8,0)))/1000,"-")</f>
        <v>3.602961684772472E-4</v>
      </c>
    </row>
    <row r="184" spans="1:11" ht="16.5" collapsed="1" thickBot="1" x14ac:dyDescent="0.3">
      <c r="B184" s="7">
        <f ca="1">MAX(B$3:B183)+0.1</f>
        <v>7.4999999999999982</v>
      </c>
      <c r="C184" s="22" t="s">
        <v>57</v>
      </c>
      <c r="D184" s="22"/>
      <c r="E184" s="22"/>
      <c r="F184" s="22"/>
      <c r="G184" s="22"/>
      <c r="H184" s="22"/>
      <c r="I184" s="22"/>
      <c r="J184" s="22"/>
      <c r="K184" s="22"/>
    </row>
    <row r="185" spans="1:11" hidden="1" outlineLevel="1" x14ac:dyDescent="0.25"/>
    <row r="186" spans="1:11" ht="15.75" hidden="1" outlineLevel="1" x14ac:dyDescent="0.25">
      <c r="C186" s="23" t="s">
        <v>233</v>
      </c>
    </row>
    <row r="187" spans="1:11" ht="15.75" hidden="1" outlineLevel="1" x14ac:dyDescent="0.25">
      <c r="C187" s="34" t="s">
        <v>24</v>
      </c>
      <c r="D187" s="34" t="s">
        <v>37</v>
      </c>
      <c r="E187" s="34" t="s">
        <v>38</v>
      </c>
      <c r="F187" s="34" t="s">
        <v>30</v>
      </c>
      <c r="G187" s="49" t="s">
        <v>204</v>
      </c>
      <c r="H187" s="49" t="s">
        <v>205</v>
      </c>
      <c r="I187" s="49" t="s">
        <v>206</v>
      </c>
      <c r="J187" s="49" t="s">
        <v>207</v>
      </c>
      <c r="K187" s="49" t="s">
        <v>208</v>
      </c>
    </row>
    <row r="188" spans="1:11" hidden="1" outlineLevel="1" x14ac:dyDescent="0.25">
      <c r="C188" s="18" t="s">
        <v>339</v>
      </c>
      <c r="D188" s="18" t="s">
        <v>44</v>
      </c>
      <c r="E188" s="18" t="s">
        <v>59</v>
      </c>
      <c r="F188" s="18" t="s">
        <v>31</v>
      </c>
      <c r="G188" s="50" cm="1">
        <f t="array" ref="G188">IFERROR(
IFERROR(INDEX(Calc_CPI_1[[CPI uplift factor]:[CPI uplift factor]],MATCH($C188,Calc_CPI_1[[Cost item]:[Cost item]],0),1),0)+
INDEX(Input_ForRateCalc[[F-CurrentVDO_InputDate]:[F-NextVDO_Input]],MATCH(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item]],0),MATCH($D$5,Inputs!$H$8:$Q$8,0)),"-")</f>
        <v>111.11</v>
      </c>
      <c r="H188" s="50" cm="1">
        <f t="array" ref="H188">IFERROR(
IFERROR(INDEX(Calc_CPI_1[[CPI uplift factor]:[CPI uplift factor]],MATCH($C188,Calc_CPI_1[[Cost item]:[Cost item]],0),1),0)+
INDEX(Input_ForRateCalc[[F-CurrentVDO_InputDate]:[F-NextVDO_Input]],MATCH(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item]],0),MATCH($D$5,Inputs!$H$8:$Q$8,0)),"-")</f>
        <v>90.009</v>
      </c>
      <c r="I188" s="50" cm="1">
        <f t="array" ref="I188">IFERROR(
IFERROR(INDEX(Calc_CPI_1[[CPI uplift factor]:[CPI uplift factor]],MATCH($C188,Calc_CPI_1[[Cost item]:[Cost item]],0),1),0)+
INDEX(Input_ForRateCalc[[F-CurrentVDO_InputDate]:[F-NextVDO_Input]],MATCH(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item]],0),MATCH($D$5,Inputs!$H$8:$Q$8,0)),"-")</f>
        <v>82.195999999999998</v>
      </c>
      <c r="J188" s="50" cm="1">
        <f t="array" ref="J188">IFERROR(
IFERROR(INDEX(Calc_CPI_1[[CPI uplift factor]:[CPI uplift factor]],MATCH($C188,Calc_CPI_1[[Cost item]:[Cost item]],0),1),0)+
INDEX(Input_ForRateCalc[[F-CurrentVDO_InputDate]:[F-NextVDO_Input]],MATCH(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item]],0),MATCH($D$5,Inputs!$H$8:$Q$8,0)),"-")</f>
        <v>139.97749999999999</v>
      </c>
      <c r="K188" s="50" cm="1">
        <f t="array" ref="K188">IFERROR(
IFERROR(INDEX(Calc_CPI_1[[CPI uplift factor]:[CPI uplift factor]],MATCH($C188,Calc_CPI_1[[Cost item]:[Cost item]],0),1),0)+
INDEX(Input_ForRateCalc[[F-CurrentVDO_InputDate]:[F-NextVDO_Input]],MATCH(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item]],0),MATCH($D$5,Inputs!$H$8:$Q$8,0)),"-")</f>
        <v>80.007999999999996</v>
      </c>
    </row>
    <row r="189" spans="1:11" hidden="1" outlineLevel="1" x14ac:dyDescent="0.25">
      <c r="C189" s="18" t="s">
        <v>339</v>
      </c>
      <c r="D189" s="18" t="s">
        <v>44</v>
      </c>
      <c r="E189" s="18" t="s">
        <v>59</v>
      </c>
      <c r="F189" s="18" t="s">
        <v>32</v>
      </c>
      <c r="G189" s="50" cm="1">
        <f t="array" ref="G189">IFERROR(
IFERROR(INDEX(Calc_CPI_1[[CPI uplift factor]:[CPI uplift factor]],MATCH($C189,Calc_CPI_1[[Cost item]:[Cost item]],0),1),0)+
INDEX(Input_ForRateCalc[[F-CurrentVDO_InputDate]:[F-NextVDO_Input]],MATCH(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item]],0),MATCH($D$5,Inputs!$H$8:$Q$8,0)),"-")</f>
        <v>111.11</v>
      </c>
      <c r="H189" s="50" cm="1">
        <f t="array" ref="H189">IFERROR(
IFERROR(INDEX(Calc_CPI_1[[CPI uplift factor]:[CPI uplift factor]],MATCH($C189,Calc_CPI_1[[Cost item]:[Cost item]],0),1),0)+
INDEX(Input_ForRateCalc[[F-CurrentVDO_InputDate]:[F-NextVDO_Input]],MATCH(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item]],0),MATCH($D$5,Inputs!$H$8:$Q$8,0)),"-")</f>
        <v>160.01599999999999</v>
      </c>
      <c r="I189" s="50" cm="1">
        <f t="array" ref="I189">IFERROR(
IFERROR(INDEX(Calc_CPI_1[[CPI uplift factor]:[CPI uplift factor]],MATCH($C189,Calc_CPI_1[[Cost item]:[Cost item]],0),1),0)+
INDEX(Input_ForRateCalc[[F-CurrentVDO_InputDate]:[F-NextVDO_Input]],MATCH(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item]],0),MATCH($D$5,Inputs!$H$8:$Q$8,0)),"-")</f>
        <v>134.46600000000001</v>
      </c>
      <c r="J189" s="50" cm="1">
        <f t="array" ref="J189">IFERROR(
IFERROR(INDEX(Calc_CPI_1[[CPI uplift factor]:[CPI uplift factor]],MATCH($C189,Calc_CPI_1[[Cost item]:[Cost item]],0),1),0)+
INDEX(Input_ForRateCalc[[F-CurrentVDO_InputDate]:[F-NextVDO_Input]],MATCH(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item]],0),MATCH($D$5,Inputs!$H$8:$Q$8,0)),"-")</f>
        <v>179.98150000000001</v>
      </c>
      <c r="K189" s="50" cm="1">
        <f t="array" ref="K189">IFERROR(
IFERROR(INDEX(Calc_CPI_1[[CPI uplift factor]:[CPI uplift factor]],MATCH($C189,Calc_CPI_1[[Cost item]:[Cost item]],0),1),0)+
INDEX(Input_ForRateCalc[[F-CurrentVDO_InputDate]:[F-NextVDO_Input]],MATCH(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item]],0),MATCH($D$5,Inputs!$H$8:$Q$8,0)),"-")</f>
        <v>120.01199999999999</v>
      </c>
    </row>
    <row r="190" spans="1:11" hidden="1" outlineLevel="1" x14ac:dyDescent="0.25">
      <c r="C190" s="18" t="s">
        <v>340</v>
      </c>
      <c r="D190" s="18" t="s">
        <v>44</v>
      </c>
      <c r="E190" s="18" t="s">
        <v>59</v>
      </c>
      <c r="F190" s="18" t="s">
        <v>31</v>
      </c>
      <c r="G190" s="50" cm="1">
        <f t="array" ref="G190">IFERROR(
IFERROR(INDEX(Calc_CPI_1[[CPI uplift factor]:[CPI uplift factor]],MATCH($C190,Calc_CPI_1[[Cost item]:[Cost item]],0),1),0)+
INDEX(Input_ForRateCalc[[F-CurrentVDO_InputDate]:[F-NextVDO_Input]],MATCH(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item]],0),MATCH($D$5,Inputs!$H$8:$Q$8,0)),"-")</f>
        <v>111.11</v>
      </c>
      <c r="H190" s="50" cm="1">
        <f t="array" ref="H190">IFERROR(
IFERROR(INDEX(Calc_CPI_1[[CPI uplift factor]:[CPI uplift factor]],MATCH($C190,Calc_CPI_1[[Cost item]:[Cost item]],0),1),0)+
INDEX(Input_ForRateCalc[[F-CurrentVDO_InputDate]:[F-NextVDO_Input]],MATCH(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item]],0),MATCH($D$5,Inputs!$H$8:$Q$8,0)),"-")</f>
        <v>90.009</v>
      </c>
      <c r="I190" s="50" cm="1">
        <f t="array" ref="I190">IFERROR(
IFERROR(INDEX(Calc_CPI_1[[CPI uplift factor]:[CPI uplift factor]],MATCH($C190,Calc_CPI_1[[Cost item]:[Cost item]],0),1),0)+
INDEX(Input_ForRateCalc[[F-CurrentVDO_InputDate]:[F-NextVDO_Input]],MATCH(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item]],0),MATCH($D$5,Inputs!$H$8:$Q$8,0)),"-")</f>
        <v>82.195999999999998</v>
      </c>
      <c r="J190" s="50" cm="1">
        <f t="array" ref="J190">IFERROR(
IFERROR(INDEX(Calc_CPI_1[[CPI uplift factor]:[CPI uplift factor]],MATCH($C190,Calc_CPI_1[[Cost item]:[Cost item]],0),1),0)+
INDEX(Input_ForRateCalc[[F-CurrentVDO_InputDate]:[F-NextVDO_Input]],MATCH(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item]],0),MATCH($D$5,Inputs!$H$8:$Q$8,0)),"-")</f>
        <v>139.97749999999999</v>
      </c>
      <c r="K190" s="50" cm="1">
        <f t="array" ref="K190">IFERROR(
IFERROR(INDEX(Calc_CPI_1[[CPI uplift factor]:[CPI uplift factor]],MATCH($C190,Calc_CPI_1[[Cost item]:[Cost item]],0),1),0)+
INDEX(Input_ForRateCalc[[F-CurrentVDO_InputDate]:[F-NextVDO_Input]],MATCH(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item]],0),MATCH($D$5,Inputs!$H$8:$Q$8,0)),"-")</f>
        <v>80.007999999999996</v>
      </c>
    </row>
    <row r="191" spans="1:11" hidden="1" outlineLevel="1" x14ac:dyDescent="0.25">
      <c r="C191" s="18" t="s">
        <v>340</v>
      </c>
      <c r="D191" s="18" t="s">
        <v>44</v>
      </c>
      <c r="E191" s="18" t="s">
        <v>59</v>
      </c>
      <c r="F191" s="18" t="s">
        <v>32</v>
      </c>
      <c r="G191" s="50" cm="1">
        <f t="array" ref="G191">IFERROR(
IFERROR(INDEX(Calc_CPI_1[[CPI uplift factor]:[CPI uplift factor]],MATCH($C191,Calc_CPI_1[[Cost item]:[Cost item]],0),1),0)+
INDEX(Input_ForRateCalc[[F-CurrentVDO_InputDate]:[F-NextVDO_Input]],MATCH(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item]],0),MATCH($D$5,Inputs!$H$8:$Q$8,0)),"-")</f>
        <v>111.11</v>
      </c>
      <c r="H191" s="50" cm="1">
        <f t="array" ref="H191">IFERROR(
IFERROR(INDEX(Calc_CPI_1[[CPI uplift factor]:[CPI uplift factor]],MATCH($C191,Calc_CPI_1[[Cost item]:[Cost item]],0),1),0)+
INDEX(Input_ForRateCalc[[F-CurrentVDO_InputDate]:[F-NextVDO_Input]],MATCH(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item]],0),MATCH($D$5,Inputs!$H$8:$Q$8,0)),"-")</f>
        <v>160.01599999999999</v>
      </c>
      <c r="I191" s="50" cm="1">
        <f t="array" ref="I191">IFERROR(
IFERROR(INDEX(Calc_CPI_1[[CPI uplift factor]:[CPI uplift factor]],MATCH($C191,Calc_CPI_1[[Cost item]:[Cost item]],0),1),0)+
INDEX(Input_ForRateCalc[[F-CurrentVDO_InputDate]:[F-NextVDO_Input]],MATCH(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item]],0),MATCH($D$5,Inputs!$H$8:$Q$8,0)),"-")</f>
        <v>242.124</v>
      </c>
      <c r="J191" s="50" cm="1">
        <f t="array" ref="J191">IFERROR(
IFERROR(INDEX(Calc_CPI_1[[CPI uplift factor]:[CPI uplift factor]],MATCH($C191,Calc_CPI_1[[Cost item]:[Cost item]],0),1),0)+
INDEX(Input_ForRateCalc[[F-CurrentVDO_InputDate]:[F-NextVDO_Input]],MATCH(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item]],0),MATCH($D$5,Inputs!$H$8:$Q$8,0)),"-")</f>
        <v>179.98150000000001</v>
      </c>
      <c r="K191" s="50" cm="1">
        <f t="array" ref="K191">IFERROR(
IFERROR(INDEX(Calc_CPI_1[[CPI uplift factor]:[CPI uplift factor]],MATCH($C191,Calc_CPI_1[[Cost item]:[Cost item]],0),1),0)+
INDEX(Input_ForRateCalc[[F-CurrentVDO_InputDate]:[F-NextVDO_Input]],MATCH(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item]],0),MATCH($D$5,Inputs!$H$8:$Q$8,0)),"-")</f>
        <v>120.01199999999999</v>
      </c>
    </row>
    <row r="192" spans="1:11" hidden="1" outlineLevel="1" x14ac:dyDescent="0.25">
      <c r="C192" s="35" t="s">
        <v>211</v>
      </c>
      <c r="D192" s="35" t="s">
        <v>44</v>
      </c>
      <c r="E192" s="18" t="s">
        <v>59</v>
      </c>
      <c r="F192" s="18" t="s">
        <v>46</v>
      </c>
      <c r="G192" s="50" cm="1">
        <f t="array" ref="G192">IFERROR(
IFERROR(INDEX(Calc_CPI_1[[CPI uplift factor]:[CPI uplift factor]],MATCH($C192,Calc_CPI_1[[Cost item]:[Cost item]],0),1),0)+
INDEX(Input_ForRateCalc[[F-CurrentVDO_InputDate]:[F-NextVDO_Input]],MATCH(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item]],0),MATCH($D$5,Inputs!$H$8:$Q$8,0)),"-")</f>
        <v>63.7</v>
      </c>
      <c r="H192" s="50" cm="1">
        <f t="array" ref="H192">IFERROR(
IFERROR(INDEX(Calc_CPI_1[[CPI uplift factor]:[CPI uplift factor]],MATCH($C192,Calc_CPI_1[[Cost item]:[Cost item]],0),1),0)+
INDEX(Input_ForRateCalc[[F-CurrentVDO_InputDate]:[F-NextVDO_Input]],MATCH(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item]],0),MATCH($D$5,Inputs!$H$8:$Q$8,0)),"-")</f>
        <v>59.4</v>
      </c>
      <c r="I192" s="50" cm="1">
        <f t="array" ref="I192">IFERROR(
IFERROR(INDEX(Calc_CPI_1[[CPI uplift factor]:[CPI uplift factor]],MATCH($C192,Calc_CPI_1[[Cost item]:[Cost item]],0),1),0)+
INDEX(Input_ForRateCalc[[F-CurrentVDO_InputDate]:[F-NextVDO_Input]],MATCH(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item]],0),MATCH($D$5,Inputs!$H$8:$Q$8,0)),"-")</f>
        <v>54.19</v>
      </c>
      <c r="J192" s="50" cm="1">
        <f t="array" ref="J192">IFERROR(
IFERROR(INDEX(Calc_CPI_1[[CPI uplift factor]:[CPI uplift factor]],MATCH($C192,Calc_CPI_1[[Cost item]:[Cost item]],0),1),0)+
INDEX(Input_ForRateCalc[[F-CurrentVDO_InputDate]:[F-NextVDO_Input]],MATCH(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item]],0),MATCH($D$5,Inputs!$H$8:$Q$8,0)),"-")</f>
        <v>58</v>
      </c>
      <c r="K192" s="50" cm="1">
        <f t="array" ref="K192">IFERROR(
IFERROR(INDEX(Calc_CPI_1[[CPI uplift factor]:[CPI uplift factor]],MATCH($C192,Calc_CPI_1[[Cost item]:[Cost item]],0),1),0)+
INDEX(Input_ForRateCalc[[F-CurrentVDO_InputDate]:[F-NextVDO_Input]],MATCH(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item]],0),MATCH($D$5,Inputs!$H$8:$Q$8,0)),"-")</f>
        <v>42.92</v>
      </c>
    </row>
    <row r="193" spans="1:11" hidden="1" outlineLevel="1" x14ac:dyDescent="0.25"/>
    <row r="194" spans="1:11" ht="15.75" hidden="1" outlineLevel="1" x14ac:dyDescent="0.25">
      <c r="C194" s="23" t="s">
        <v>234</v>
      </c>
    </row>
    <row r="195" spans="1:11" ht="15.75" hidden="1" outlineLevel="1" x14ac:dyDescent="0.25">
      <c r="C195" s="34" t="s">
        <v>24</v>
      </c>
      <c r="D195" s="34" t="s">
        <v>37</v>
      </c>
      <c r="E195" s="34" t="s">
        <v>38</v>
      </c>
      <c r="F195" s="34" t="s">
        <v>30</v>
      </c>
      <c r="G195" s="49" t="s">
        <v>204</v>
      </c>
      <c r="H195" s="49" t="s">
        <v>205</v>
      </c>
      <c r="I195" s="49" t="s">
        <v>206</v>
      </c>
      <c r="J195" s="49" t="s">
        <v>207</v>
      </c>
      <c r="K195" s="49" t="s">
        <v>208</v>
      </c>
    </row>
    <row r="196" spans="1:11" hidden="1" outlineLevel="1" x14ac:dyDescent="0.25">
      <c r="C196" s="18" t="s">
        <v>157</v>
      </c>
      <c r="D196" s="18" t="s">
        <v>66</v>
      </c>
      <c r="E196" s="18" t="s">
        <v>218</v>
      </c>
      <c r="F196" s="18" t="s">
        <v>31</v>
      </c>
      <c r="G196" s="50" cm="1">
        <f t="array" ref="G196">IFERROR(
(IFERROR(INDEX(Calc_CPI_1[[CPI uplift factor]:[CPI uplift factor]],MATCH($C196,Calc_CPI_1[[Cost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0.11450300000000001</v>
      </c>
      <c r="H196" s="50" t="str" cm="1">
        <f t="array" ref="H196">IFERROR(
(IFERROR(INDEX(Calc_CPI_1[[CPI uplift factor]:[CPI uplift factor]],MATCH($C196,Calc_CPI_1[[Cost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v>
      </c>
      <c r="I196" s="50" t="str" cm="1">
        <f t="array" ref="I196">IFERROR(
(IFERROR(INDEX(Calc_CPI_1[[CPI uplift factor]:[CPI uplift factor]],MATCH($C196,Calc_CPI_1[[Cost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v>
      </c>
      <c r="J196" s="50" t="str" cm="1">
        <f t="array" ref="J196">IFERROR(
(IFERROR(INDEX(Calc_CPI_1[[CPI uplift factor]:[CPI uplift factor]],MATCH($C196,Calc_CPI_1[[Cost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v>
      </c>
      <c r="K196" s="50" t="str" cm="1">
        <f t="array" ref="K196">IFERROR(
(IFERROR(INDEX(Calc_CPI_1[[CPI uplift factor]:[CPI uplift factor]],MATCH($C196,Calc_CPI_1[[Cost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v>
      </c>
    </row>
    <row r="197" spans="1:11" hidden="1" outlineLevel="1" x14ac:dyDescent="0.25">
      <c r="C197" s="18" t="s">
        <v>164</v>
      </c>
      <c r="D197" s="18" t="s">
        <v>66</v>
      </c>
      <c r="E197" s="18" t="s">
        <v>218</v>
      </c>
      <c r="F197" s="18" t="s">
        <v>31</v>
      </c>
      <c r="G197" s="50" cm="1">
        <f t="array" ref="G197">IFERROR(
(IFERROR(INDEX(Calc_CPI_1[[CPI uplift factor]:[CPI uplift factor]],MATCH($C197,Calc_CPI_1[[Cost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0.128382</v>
      </c>
      <c r="H197" s="50" t="str" cm="1">
        <f t="array" ref="H197">IFERROR(
(IFERROR(INDEX(Calc_CPI_1[[CPI uplift factor]:[CPI uplift factor]],MATCH($C197,Calc_CPI_1[[Cost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v>
      </c>
      <c r="I197" s="50" t="str" cm="1">
        <f t="array" ref="I197">IFERROR(
(IFERROR(INDEX(Calc_CPI_1[[CPI uplift factor]:[CPI uplift factor]],MATCH($C197,Calc_CPI_1[[Cost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v>
      </c>
      <c r="J197" s="50" t="str" cm="1">
        <f t="array" ref="J197">IFERROR(
(IFERROR(INDEX(Calc_CPI_1[[CPI uplift factor]:[CPI uplift factor]],MATCH($C197,Calc_CPI_1[[Cost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v>
      </c>
      <c r="K197" s="50" t="str" cm="1">
        <f t="array" ref="K197">IFERROR(
(IFERROR(INDEX(Calc_CPI_1[[CPI uplift factor]:[CPI uplift factor]],MATCH($C197,Calc_CPI_1[[Cost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v>
      </c>
    </row>
    <row r="198" spans="1:11" hidden="1" outlineLevel="1" x14ac:dyDescent="0.25">
      <c r="C198" s="18" t="s">
        <v>338</v>
      </c>
      <c r="D198" s="18" t="s">
        <v>66</v>
      </c>
      <c r="E198" s="18" t="s">
        <v>218</v>
      </c>
      <c r="F198" s="18" t="s">
        <v>31</v>
      </c>
      <c r="G198" s="50" t="str" cm="1">
        <f t="array" ref="G198">IFERROR(
(IFERROR(INDEX(Calc_CPI_1[[CPI uplift factor]:[CPI uplift factor]],MATCH($C198,Calc_CPI_1[[Cost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v>
      </c>
      <c r="H198" s="50" cm="1">
        <f t="array" ref="H198">IFERROR(
(IFERROR(INDEX(Calc_CPI_1[[CPI uplift factor]:[CPI uplift factor]],MATCH($C198,Calc_CPI_1[[Cost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8.0500000000000002E-2</v>
      </c>
      <c r="I198" s="50" cm="1">
        <f t="array" ref="I198">IFERROR(
(IFERROR(INDEX(Calc_CPI_1[[CPI uplift factor]:[CPI uplift factor]],MATCH($C198,Calc_CPI_1[[Cost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8.6699999999999999E-2</v>
      </c>
      <c r="J198" s="50" cm="1">
        <f t="array" ref="J198">IFERROR(
(IFERROR(INDEX(Calc_CPI_1[[CPI uplift factor]:[CPI uplift factor]],MATCH($C198,Calc_CPI_1[[Cost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8.1500000000000003E-2</v>
      </c>
      <c r="K198" s="50" cm="1">
        <f t="array" ref="K198">IFERROR(
(IFERROR(INDEX(Calc_CPI_1[[CPI uplift factor]:[CPI uplift factor]],MATCH($C198,Calc_CPI_1[[Cost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7.9899999999999999E-2</v>
      </c>
    </row>
    <row r="199" spans="1:11" hidden="1" outlineLevel="1" x14ac:dyDescent="0.25">
      <c r="C199" s="18" t="s">
        <v>166</v>
      </c>
      <c r="D199" s="18" t="s">
        <v>66</v>
      </c>
      <c r="E199" s="18" t="s">
        <v>218</v>
      </c>
      <c r="F199" s="18" t="s">
        <v>31</v>
      </c>
      <c r="G199" s="50" cm="1">
        <f t="array" ref="G199">IFERROR(
(IFERROR(INDEX(Calc_CPI_1[[CPI uplift factor]:[CPI uplift factor]],MATCH($C199,Calc_CPI_1[[Cost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0.20853200000000002</v>
      </c>
      <c r="H199" s="50" cm="1">
        <f t="array" ref="H199">IFERROR(
(IFERROR(INDEX(Calc_CPI_1[[CPI uplift factor]:[CPI uplift factor]],MATCH($C199,Calc_CPI_1[[Cost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0.15939999999999999</v>
      </c>
      <c r="I199" s="50" cm="1">
        <f t="array" ref="I199">IFERROR(
(IFERROR(INDEX(Calc_CPI_1[[CPI uplift factor]:[CPI uplift factor]],MATCH($C199,Calc_CPI_1[[Cost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0.13492000000000001</v>
      </c>
      <c r="J199" s="50" cm="1">
        <f t="array" ref="J199">IFERROR(
(IFERROR(INDEX(Calc_CPI_1[[CPI uplift factor]:[CPI uplift factor]],MATCH($C199,Calc_CPI_1[[Cost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0.15869999999999998</v>
      </c>
      <c r="K199" s="50" cm="1">
        <f t="array" ref="K199">IFERROR(
(IFERROR(INDEX(Calc_CPI_1[[CPI uplift factor]:[CPI uplift factor]],MATCH($C199,Calc_CPI_1[[Cost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0.15789999999999998</v>
      </c>
    </row>
    <row r="200" spans="1:11" hidden="1" outlineLevel="1" x14ac:dyDescent="0.25">
      <c r="C200" s="18" t="s">
        <v>370</v>
      </c>
      <c r="D200" s="18" t="s">
        <v>66</v>
      </c>
      <c r="E200" s="18" t="s">
        <v>218</v>
      </c>
      <c r="F200" s="18" t="s">
        <v>31</v>
      </c>
      <c r="G200" s="50" cm="1">
        <f t="array" ref="G200">IFERROR(
(IFERROR(INDEX(Calc_CPI_1[[CPI uplift factor]:[CPI uplift factor]],MATCH($C200,Calc_CPI_1[[Cost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4.3418999999999999E-2</v>
      </c>
      <c r="H200" s="50" cm="1">
        <f t="array" ref="H200">IFERROR(
(IFERROR(INDEX(Calc_CPI_1[[CPI uplift factor]:[CPI uplift factor]],MATCH($C200,Calc_CPI_1[[Cost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3.9800000000000002E-2</v>
      </c>
      <c r="I200" s="50" cm="1">
        <f t="array" ref="I200">IFERROR(
(IFERROR(INDEX(Calc_CPI_1[[CPI uplift factor]:[CPI uplift factor]],MATCH($C200,Calc_CPI_1[[Cost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3.8900000000000004E-2</v>
      </c>
      <c r="J200" s="50" cm="1">
        <f t="array" ref="J200">IFERROR(
(IFERROR(INDEX(Calc_CPI_1[[CPI uplift factor]:[CPI uplift factor]],MATCH($C200,Calc_CPI_1[[Cost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3.9599999999999996E-2</v>
      </c>
      <c r="K200" s="50" cm="1">
        <f t="array" ref="K200">IFERROR(
(IFERROR(INDEX(Calc_CPI_1[[CPI uplift factor]:[CPI uplift factor]],MATCH($C200,Calc_CPI_1[[Cost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3.95E-2</v>
      </c>
    </row>
    <row r="201" spans="1:11" hidden="1" outlineLevel="1" x14ac:dyDescent="0.25">
      <c r="C201" s="18" t="s">
        <v>223</v>
      </c>
      <c r="D201" s="18" t="s">
        <v>66</v>
      </c>
      <c r="E201" s="18" t="s">
        <v>218</v>
      </c>
      <c r="F201" s="18" t="s">
        <v>31</v>
      </c>
      <c r="G201" s="50" cm="1">
        <f t="array" ref="G201">IFERROR(
(IFERROR(INDEX(Calc_CPI_1[[CPI uplift factor]:[CPI uplift factor]],MATCH($C201,Calc_CPI_1[[Cost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4.2622999999999994E-2</v>
      </c>
      <c r="H201" s="50" cm="1">
        <f t="array" ref="H201">IFERROR(
(IFERROR(INDEX(Calc_CPI_1[[CPI uplift factor]:[CPI uplift factor]],MATCH($C201,Calc_CPI_1[[Cost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2.4700000000000003E-2</v>
      </c>
      <c r="I201" s="50" cm="1">
        <f t="array" ref="I201">IFERROR(
(IFERROR(INDEX(Calc_CPI_1[[CPI uplift factor]:[CPI uplift factor]],MATCH($C201,Calc_CPI_1[[Cost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3.5990000000000001E-2</v>
      </c>
      <c r="J201" s="50" cm="1">
        <f t="array" ref="J201">IFERROR(
(IFERROR(INDEX(Calc_CPI_1[[CPI uplift factor]:[CPI uplift factor]],MATCH($C201,Calc_CPI_1[[Cost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2.3900000000000001E-2</v>
      </c>
      <c r="K201" s="50" cm="1">
        <f t="array" ref="K201">IFERROR(
(IFERROR(INDEX(Calc_CPI_1[[CPI uplift factor]:[CPI uplift factor]],MATCH($C201,Calc_CPI_1[[Cost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2.1700000000000001E-2</v>
      </c>
    </row>
    <row r="202" spans="1:11" hidden="1" outlineLevel="1" x14ac:dyDescent="0.25">
      <c r="C202" s="18" t="s">
        <v>157</v>
      </c>
      <c r="D202" s="18" t="s">
        <v>66</v>
      </c>
      <c r="E202" s="18" t="s">
        <v>218</v>
      </c>
      <c r="F202" s="18" t="s">
        <v>32</v>
      </c>
      <c r="G202" s="50" cm="1">
        <f t="array" ref="G202">IFERROR(
(IFERROR(INDEX(Calc_CPI_1[[CPI uplift factor]:[CPI uplift factor]],MATCH($C202,Calc_CPI_1[[Cost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0.155386</v>
      </c>
      <c r="H202" s="50" t="str" cm="1">
        <f t="array" ref="H202">IFERROR(
(IFERROR(INDEX(Calc_CPI_1[[CPI uplift factor]:[CPI uplift factor]],MATCH($C202,Calc_CPI_1[[Cost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v>
      </c>
      <c r="I202" s="50" t="str" cm="1">
        <f t="array" ref="I202">IFERROR(
(IFERROR(INDEX(Calc_CPI_1[[CPI uplift factor]:[CPI uplift factor]],MATCH($C202,Calc_CPI_1[[Cost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v>
      </c>
      <c r="J202" s="50" t="str" cm="1">
        <f t="array" ref="J202">IFERROR(
(IFERROR(INDEX(Calc_CPI_1[[CPI uplift factor]:[CPI uplift factor]],MATCH($C202,Calc_CPI_1[[Cost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v>
      </c>
      <c r="K202" s="50" t="str" cm="1">
        <f t="array" ref="K202">IFERROR(
(IFERROR(INDEX(Calc_CPI_1[[CPI uplift factor]:[CPI uplift factor]],MATCH($C202,Calc_CPI_1[[Cost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v>
      </c>
    </row>
    <row r="203" spans="1:11" hidden="1" outlineLevel="1" x14ac:dyDescent="0.25">
      <c r="C203" s="18" t="s">
        <v>164</v>
      </c>
      <c r="D203" s="18" t="s">
        <v>66</v>
      </c>
      <c r="E203" s="18" t="s">
        <v>218</v>
      </c>
      <c r="F203" s="18" t="s">
        <v>32</v>
      </c>
      <c r="G203" s="50" cm="1">
        <f t="array" ref="G203">IFERROR(
(IFERROR(INDEX(Calc_CPI_1[[CPI uplift factor]:[CPI uplift factor]],MATCH($C203,Calc_CPI_1[[Cost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0.182667</v>
      </c>
      <c r="H203" s="50" t="str" cm="1">
        <f t="array" ref="H203">IFERROR(
(IFERROR(INDEX(Calc_CPI_1[[CPI uplift factor]:[CPI uplift factor]],MATCH($C203,Calc_CPI_1[[Cost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v>
      </c>
      <c r="I203" s="50" t="str" cm="1">
        <f t="array" ref="I203">IFERROR(
(IFERROR(INDEX(Calc_CPI_1[[CPI uplift factor]:[CPI uplift factor]],MATCH($C203,Calc_CPI_1[[Cost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v>
      </c>
      <c r="J203" s="50" t="str" cm="1">
        <f t="array" ref="J203">IFERROR(
(IFERROR(INDEX(Calc_CPI_1[[CPI uplift factor]:[CPI uplift factor]],MATCH($C203,Calc_CPI_1[[Cost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v>
      </c>
      <c r="K203" s="50" t="str" cm="1">
        <f t="array" ref="K203">IFERROR(
(IFERROR(INDEX(Calc_CPI_1[[CPI uplift factor]:[CPI uplift factor]],MATCH($C203,Calc_CPI_1[[Cost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v>
      </c>
    </row>
    <row r="204" spans="1:11" ht="15.75" hidden="1" outlineLevel="1" collapsed="1" x14ac:dyDescent="0.25">
      <c r="A204" s="1" t="s">
        <v>19</v>
      </c>
      <c r="C204" s="18" t="s">
        <v>338</v>
      </c>
      <c r="D204" s="18" t="s">
        <v>66</v>
      </c>
      <c r="E204" s="18" t="s">
        <v>218</v>
      </c>
      <c r="F204" s="18" t="s">
        <v>32</v>
      </c>
      <c r="G204" s="50" t="str" cm="1">
        <f t="array" ref="G204">IFERROR(
(IFERROR(INDEX(Calc_CPI_1[[CPI uplift factor]:[CPI uplift factor]],MATCH($C204,Calc_CPI_1[[Cost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v>
      </c>
      <c r="H204" s="50" cm="1">
        <f t="array" ref="H204">IFERROR(
(IFERROR(INDEX(Calc_CPI_1[[CPI uplift factor]:[CPI uplift factor]],MATCH($C204,Calc_CPI_1[[Cost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8.2100000000000006E-2</v>
      </c>
      <c r="I204" s="50" cm="1">
        <f t="array" ref="I204">IFERROR(
(IFERROR(INDEX(Calc_CPI_1[[CPI uplift factor]:[CPI uplift factor]],MATCH($C204,Calc_CPI_1[[Cost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0.10973000000000001</v>
      </c>
      <c r="J204" s="50" cm="1">
        <f t="array" ref="J204">IFERROR(
(IFERROR(INDEX(Calc_CPI_1[[CPI uplift factor]:[CPI uplift factor]],MATCH($C204,Calc_CPI_1[[Cost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9.2899999999999996E-2</v>
      </c>
      <c r="K204" s="50" cm="1">
        <f t="array" ref="K204">IFERROR(
(IFERROR(INDEX(Calc_CPI_1[[CPI uplift factor]:[CPI uplift factor]],MATCH($C204,Calc_CPI_1[[Cost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8.7899999999999992E-2</v>
      </c>
    </row>
    <row r="205" spans="1:11" hidden="1" outlineLevel="1" x14ac:dyDescent="0.25">
      <c r="C205" s="18" t="s">
        <v>166</v>
      </c>
      <c r="D205" s="18" t="s">
        <v>66</v>
      </c>
      <c r="E205" s="18" t="s">
        <v>218</v>
      </c>
      <c r="F205" s="18" t="s">
        <v>32</v>
      </c>
      <c r="G205" s="50" cm="1">
        <f t="array" ref="G205">IFERROR(
(IFERROR(INDEX(Calc_CPI_1[[CPI uplift factor]:[CPI uplift factor]],MATCH($C205,Calc_CPI_1[[Cost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0.17508700000000002</v>
      </c>
      <c r="H205" s="50" cm="1">
        <f t="array" ref="H205">IFERROR(
(IFERROR(INDEX(Calc_CPI_1[[CPI uplift factor]:[CPI uplift factor]],MATCH($C205,Calc_CPI_1[[Cost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0.13019999999999998</v>
      </c>
      <c r="I205" s="50" cm="1">
        <f t="array" ref="I205">IFERROR(
(IFERROR(INDEX(Calc_CPI_1[[CPI uplift factor]:[CPI uplift factor]],MATCH($C205,Calc_CPI_1[[Cost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0.14330999999999999</v>
      </c>
      <c r="J205" s="50" cm="1">
        <f t="array" ref="J205">IFERROR(
(IFERROR(INDEX(Calc_CPI_1[[CPI uplift factor]:[CPI uplift factor]],MATCH($C205,Calc_CPI_1[[Cost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0.14749999999999999</v>
      </c>
      <c r="K205" s="50" cm="1">
        <f t="array" ref="K205">IFERROR(
(IFERROR(INDEX(Calc_CPI_1[[CPI uplift factor]:[CPI uplift factor]],MATCH($C205,Calc_CPI_1[[Cost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0.1399</v>
      </c>
    </row>
    <row r="206" spans="1:11" hidden="1" outlineLevel="1" x14ac:dyDescent="0.25">
      <c r="C206" s="18" t="s">
        <v>370</v>
      </c>
      <c r="D206" s="35" t="s">
        <v>66</v>
      </c>
      <c r="E206" s="18" t="s">
        <v>218</v>
      </c>
      <c r="F206" s="18" t="s">
        <v>32</v>
      </c>
      <c r="G206" s="50" cm="1">
        <f t="array" ref="G206">IFERROR(
(IFERROR(INDEX(Calc_CPI_1[[CPI uplift factor]:[CPI uplift factor]],MATCH($C206,Calc_CPI_1[[Cost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MATCH($D$5,Inputs!$H$8:$Q$8,0)))/100,"-")</f>
        <v>4.2655999999999999E-2</v>
      </c>
      <c r="H206" s="50" cm="1">
        <f t="array" ref="H206">IFERROR(
(IFERROR(INDEX(Calc_CPI_1[[CPI uplift factor]:[CPI uplift factor]],MATCH($C206,Calc_CPI_1[[Cost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MATCH($D$5,Inputs!$H$8:$Q$8,0)))/100,"-")</f>
        <v>2.8900000000000002E-2</v>
      </c>
      <c r="I206" s="50" cm="1">
        <f t="array" ref="I206">IFERROR(
(IFERROR(INDEX(Calc_CPI_1[[CPI uplift factor]:[CPI uplift factor]],MATCH($C206,Calc_CPI_1[[Cost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MATCH($D$5,Inputs!$H$8:$Q$8,0)))/100,"-")</f>
        <v>3.0520000000000002E-2</v>
      </c>
      <c r="J206" s="50" cm="1">
        <f t="array" ref="J206">IFERROR(
(IFERROR(INDEX(Calc_CPI_1[[CPI uplift factor]:[CPI uplift factor]],MATCH($C206,Calc_CPI_1[[Cost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MATCH($D$5,Inputs!$H$8:$Q$8,0)))/100,"-")</f>
        <v>3.2799999999999996E-2</v>
      </c>
      <c r="K206" s="50" cm="1">
        <f t="array" ref="K206">IFERROR(
(IFERROR(INDEX(Calc_CPI_1[[CPI uplift factor]:[CPI uplift factor]],MATCH($C206,Calc_CPI_1[[Cost item]:[Cost item]],0),1),0)+
INDEX(Input_ForRateCalc[[F-CurrentVDO_InputDate]:[F-NextVDO_Input]],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MATCH($D$5,Inputs!$H$8:$Q$8,0)))/100,"-")</f>
        <v>3.1099999999999999E-2</v>
      </c>
    </row>
    <row r="208" spans="1:11" ht="16.5" collapsed="1" thickBot="1" x14ac:dyDescent="0.3">
      <c r="B208" s="7">
        <f ca="1">MAX(B$3:B207)+0.1</f>
        <v>7.5999999999999979</v>
      </c>
      <c r="C208" s="22" t="s">
        <v>64</v>
      </c>
      <c r="D208" s="22"/>
      <c r="E208" s="22"/>
      <c r="F208" s="22"/>
      <c r="G208" s="22"/>
      <c r="H208" s="22"/>
      <c r="I208" s="22"/>
      <c r="J208" s="22"/>
      <c r="K208" s="22"/>
    </row>
    <row r="209" spans="1:11" hidden="1" outlineLevel="1" x14ac:dyDescent="0.25"/>
    <row r="210" spans="1:11" ht="15.75" hidden="1" outlineLevel="1" x14ac:dyDescent="0.25">
      <c r="C210" s="23" t="s">
        <v>235</v>
      </c>
    </row>
    <row r="211" spans="1:11" ht="15.75" hidden="1" outlineLevel="1" x14ac:dyDescent="0.25">
      <c r="C211" s="34" t="s">
        <v>24</v>
      </c>
      <c r="D211" s="34" t="s">
        <v>37</v>
      </c>
      <c r="E211" s="34" t="s">
        <v>38</v>
      </c>
      <c r="F211" s="34" t="s">
        <v>30</v>
      </c>
      <c r="G211" s="49" t="s">
        <v>204</v>
      </c>
      <c r="H211" s="49" t="s">
        <v>205</v>
      </c>
      <c r="I211" s="49" t="s">
        <v>206</v>
      </c>
      <c r="J211" s="49" t="s">
        <v>207</v>
      </c>
      <c r="K211" s="49" t="s">
        <v>208</v>
      </c>
    </row>
    <row r="212" spans="1:11" hidden="1" outlineLevel="1" x14ac:dyDescent="0.25">
      <c r="C212" s="18" t="s">
        <v>236</v>
      </c>
      <c r="D212" s="18" t="s">
        <v>66</v>
      </c>
      <c r="E212" s="18" t="s">
        <v>218</v>
      </c>
      <c r="F212" s="18" t="s">
        <v>31</v>
      </c>
      <c r="G212" s="50" cm="1">
        <f t="array" ref="G212">IFERROR(
(IFERROR(INDEX(Calc_CPI_1[[CPI uplift factor]:[CPI uplift factor]],MATCH($C212,Calc_CPI_1[[Cost item]:[Cost item]],0),1),0)+
INDEX(Input_ForRateCalc[[F-CurrentVDO_InputDate]:[F-NextVDO_Input]],MATCH(Calc_WholesaleRES_1[[#This Row],[Cost item]:[Cost item]]&amp;" - "&amp;Calc_WholesaleRES_1[[#Headers],[Ausnet]],Input_ForRateCalc[[Cost item]:[Cost item]],0),MATCH($D$5,Inputs!$H$8:$Q$8,0)))/1000,"-")</f>
        <v>9.4019999999999992E-2</v>
      </c>
      <c r="H212" s="50" cm="1">
        <f t="array" ref="H212">IFERROR(
(IFERROR(INDEX(Calc_CPI_1[[CPI uplift factor]:[CPI uplift factor]],MATCH($C212,Calc_CPI_1[[Cost item]:[Cost item]],0),1),0)+
INDEX(Input_ForRateCalc[[F-CurrentVDO_InputDate]:[F-NextVDO_Input]],MATCH(Calc_WholesaleRES_1[[#This Row],[Cost item]:[Cost item]]&amp;" - "&amp;Calc_WholesaleRES_1[[#Headers],[Citipower]],Input_ForRateCalc[[Cost item]:[Cost item]],0),MATCH($D$5,Inputs!$H$8:$Q$8,0)))/1000,"-")</f>
        <v>8.8840000000000002E-2</v>
      </c>
      <c r="I212" s="50" cm="1">
        <f t="array" ref="I212">IFERROR(
(IFERROR(INDEX(Calc_CPI_1[[CPI uplift factor]:[CPI uplift factor]],MATCH($C212,Calc_CPI_1[[Cost item]:[Cost item]],0),1),0)+
INDEX(Input_ForRateCalc[[F-CurrentVDO_InputDate]:[F-NextVDO_Input]],MATCH(Calc_WholesaleRES_1[[#This Row],[Cost item]:[Cost item]]&amp;" - "&amp;Calc_WholesaleRES_1[[#Headers],[Jemena]],Input_ForRateCalc[[Cost item]:[Cost item]],0),MATCH($D$5,Inputs!$H$8:$Q$8,0)))/1000,"-")</f>
        <v>9.7799999999999998E-2</v>
      </c>
      <c r="J212" s="50" cm="1">
        <f t="array" ref="J212">IFERROR(
(IFERROR(INDEX(Calc_CPI_1[[CPI uplift factor]:[CPI uplift factor]],MATCH($C212,Calc_CPI_1[[Cost item]:[Cost item]],0),1),0)+
INDEX(Input_ForRateCalc[[F-CurrentVDO_InputDate]:[F-NextVDO_Input]],MATCH(Calc_WholesaleRES_1[[#This Row],[Cost item]:[Cost item]]&amp;" - "&amp;Calc_WholesaleRES_1[[#Headers],[Powercor]],Input_ForRateCalc[[Cost item]:[Cost item]],0),MATCH($D$5,Inputs!$H$8:$Q$8,0)))/1000,"-")</f>
        <v>9.2030000000000001E-2</v>
      </c>
      <c r="K212" s="50" cm="1">
        <f t="array" ref="K212">IFERROR(
(IFERROR(INDEX(Calc_CPI_1[[CPI uplift factor]:[CPI uplift factor]],MATCH($C212,Calc_CPI_1[[Cost item]:[Cost item]],0),1),0)+
INDEX(Input_ForRateCalc[[F-CurrentVDO_InputDate]:[F-NextVDO_Input]],MATCH(Calc_WholesaleRES_1[[#This Row],[Cost item]:[Cost item]]&amp;" - "&amp;Calc_WholesaleRES_1[[#Headers],[United Energy]],Input_ForRateCalc[[Cost item]:[Cost item]],0),MATCH($D$5,Inputs!$H$8:$Q$8,0)))/1000,"-")</f>
        <v>9.8180000000000003E-2</v>
      </c>
    </row>
    <row r="213" spans="1:11" hidden="1" outlineLevel="1" x14ac:dyDescent="0.25">
      <c r="C213" s="18" t="s">
        <v>237</v>
      </c>
      <c r="D213" s="18" t="s">
        <v>66</v>
      </c>
      <c r="E213" s="18" t="s">
        <v>218</v>
      </c>
      <c r="F213" s="18" t="s">
        <v>31</v>
      </c>
      <c r="G213" s="50" cm="1">
        <f t="array" ref="G213">IFERROR(
(IFERROR(INDEX(Calc_CPI_1[[CPI uplift factor]:[CPI uplift factor]],MATCH($C213,Calc_CPI_1[[Cost item]:[Cost item]],0),1),0)+
INDEX(Input_ForRateCalc[[F-CurrentVDO_InputDate]:[F-NextVDO_Input]],MATCH(Calc_WholesaleRES_1[[#This Row],[Cost item]:[Cost item]]&amp;" - "&amp;Calc_WholesaleRES_1[[#Headers],[Ausnet]],Input_ForRateCalc[[Cost item]:[Cost item]],0),MATCH($D$5,Inputs!$H$8:$Q$8,0)))/1000,"-")</f>
        <v>4.7999999999999996E-4</v>
      </c>
      <c r="H213" s="50" cm="1">
        <f t="array" ref="H213">IFERROR(
(IFERROR(INDEX(Calc_CPI_1[[CPI uplift factor]:[CPI uplift factor]],MATCH($C213,Calc_CPI_1[[Cost item]:[Cost item]],0),1),0)+
INDEX(Input_ForRateCalc[[F-CurrentVDO_InputDate]:[F-NextVDO_Input]],MATCH(Calc_WholesaleRES_1[[#This Row],[Cost item]:[Cost item]]&amp;" - "&amp;Calc_WholesaleRES_1[[#Headers],[Citipower]],Input_ForRateCalc[[Cost item]:[Cost item]],0),MATCH($D$5,Inputs!$H$8:$Q$8,0)))/1000,"-")</f>
        <v>4.6999999999999999E-4</v>
      </c>
      <c r="I213" s="50" cm="1">
        <f t="array" ref="I213">IFERROR(
(IFERROR(INDEX(Calc_CPI_1[[CPI uplift factor]:[CPI uplift factor]],MATCH($C213,Calc_CPI_1[[Cost item]:[Cost item]],0),1),0)+
INDEX(Input_ForRateCalc[[F-CurrentVDO_InputDate]:[F-NextVDO_Input]],MATCH(Calc_WholesaleRES_1[[#This Row],[Cost item]:[Cost item]]&amp;" - "&amp;Calc_WholesaleRES_1[[#Headers],[Jemena]],Input_ForRateCalc[[Cost item]:[Cost item]],0),MATCH($D$5,Inputs!$H$8:$Q$8,0)))/1000,"-")</f>
        <v>4.4999999999999999E-4</v>
      </c>
      <c r="J213" s="50" cm="1">
        <f t="array" ref="J213">IFERROR(
(IFERROR(INDEX(Calc_CPI_1[[CPI uplift factor]:[CPI uplift factor]],MATCH($C213,Calc_CPI_1[[Cost item]:[Cost item]],0),1),0)+
INDEX(Input_ForRateCalc[[F-CurrentVDO_InputDate]:[F-NextVDO_Input]],MATCH(Calc_WholesaleRES_1[[#This Row],[Cost item]:[Cost item]]&amp;" - "&amp;Calc_WholesaleRES_1[[#Headers],[Powercor]],Input_ForRateCalc[[Cost item]:[Cost item]],0),MATCH($D$5,Inputs!$H$8:$Q$8,0)))/1000,"-")</f>
        <v>4.1999999999999996E-4</v>
      </c>
      <c r="K213" s="50" cm="1">
        <f t="array" ref="K213">IFERROR(
(IFERROR(INDEX(Calc_CPI_1[[CPI uplift factor]:[CPI uplift factor]],MATCH($C213,Calc_CPI_1[[Cost item]:[Cost item]],0),1),0)+
INDEX(Input_ForRateCalc[[F-CurrentVDO_InputDate]:[F-NextVDO_Input]],MATCH(Calc_WholesaleRES_1[[#This Row],[Cost item]:[Cost item]]&amp;" - "&amp;Calc_WholesaleRES_1[[#Headers],[United Energy]],Input_ForRateCalc[[Cost item]:[Cost item]],0),MATCH($D$5,Inputs!$H$8:$Q$8,0)))/1000,"-")</f>
        <v>4.8999999999999998E-4</v>
      </c>
    </row>
    <row r="214" spans="1:11" hidden="1" outlineLevel="1" x14ac:dyDescent="0.25">
      <c r="C214" s="35" t="s">
        <v>219</v>
      </c>
      <c r="D214" s="35" t="s">
        <v>66</v>
      </c>
      <c r="E214" s="35" t="s">
        <v>218</v>
      </c>
      <c r="F214" s="18" t="s">
        <v>31</v>
      </c>
      <c r="G214" s="61">
        <f>IFERROR(G212+G213,"-")</f>
        <v>9.4499999999999987E-2</v>
      </c>
      <c r="H214" s="61">
        <f t="shared" ref="H214:K214" si="44">IFERROR(H212+H213,"-")</f>
        <v>8.931E-2</v>
      </c>
      <c r="I214" s="61">
        <f t="shared" si="44"/>
        <v>9.8250000000000004E-2</v>
      </c>
      <c r="J214" s="61">
        <f t="shared" si="44"/>
        <v>9.2450000000000004E-2</v>
      </c>
      <c r="K214" s="61">
        <f t="shared" si="44"/>
        <v>9.8670000000000008E-2</v>
      </c>
    </row>
    <row r="215" spans="1:11" hidden="1" outlineLevel="1" x14ac:dyDescent="0.25"/>
    <row r="216" spans="1:11" ht="15.75" hidden="1" outlineLevel="1" x14ac:dyDescent="0.25">
      <c r="C216" s="23" t="s">
        <v>238</v>
      </c>
    </row>
    <row r="217" spans="1:11" ht="15.75" hidden="1" outlineLevel="1" x14ac:dyDescent="0.25">
      <c r="C217" s="34" t="s">
        <v>24</v>
      </c>
      <c r="D217" s="34" t="s">
        <v>37</v>
      </c>
      <c r="E217" s="34" t="s">
        <v>38</v>
      </c>
      <c r="F217" s="34" t="s">
        <v>30</v>
      </c>
      <c r="G217" s="49" t="s">
        <v>204</v>
      </c>
      <c r="H217" s="49" t="s">
        <v>205</v>
      </c>
      <c r="I217" s="49" t="s">
        <v>206</v>
      </c>
      <c r="J217" s="49" t="s">
        <v>207</v>
      </c>
      <c r="K217" s="49" t="s">
        <v>208</v>
      </c>
    </row>
    <row r="218" spans="1:11" ht="15.75" hidden="1" outlineLevel="1" collapsed="1" x14ac:dyDescent="0.25">
      <c r="A218" s="1" t="s">
        <v>19</v>
      </c>
      <c r="C218" s="18" t="s">
        <v>239</v>
      </c>
      <c r="D218" s="18" t="s">
        <v>66</v>
      </c>
      <c r="E218" s="18" t="s">
        <v>218</v>
      </c>
      <c r="F218" s="18" t="s">
        <v>32</v>
      </c>
      <c r="G218" s="50" cm="1">
        <f t="array" ref="G218">IFERROR(
(IFERROR(INDEX(Calc_CPI_1[[CPI uplift factor]:[CPI uplift factor]],MATCH($C218,Calc_CPI_1[[Cost item]:[Cost item]],0),1),0)+
INDEX(Input_ForRateCalc[[F-CurrentVDO_InputDate]:[F-NextVDO_Input]],MATCH(Calc_WholesaleSME_1[[#This Row],[Cost item]:[Cost item]]&amp;" - "&amp;Calc_WholesaleSME_1[[#Headers],[Ausnet]],Input_ForRateCalc[[Cost item]:[Cost item]],0),MATCH($D$5,Inputs!$H$8:$Q$8,0)))/1000,"-")</f>
        <v>8.2280000000000006E-2</v>
      </c>
      <c r="H218" s="50" cm="1">
        <f t="array" ref="H218">IFERROR(
(IFERROR(INDEX(Calc_CPI_1[[CPI uplift factor]:[CPI uplift factor]],MATCH($C218,Calc_CPI_1[[Cost item]:[Cost item]],0),1),0)+
INDEX(Input_ForRateCalc[[F-CurrentVDO_InputDate]:[F-NextVDO_Input]],MATCH(Calc_WholesaleSME_1[[#This Row],[Cost item]:[Cost item]]&amp;" - "&amp;Calc_WholesaleSME_1[[#Headers],[Citipower]],Input_ForRateCalc[[Cost item]:[Cost item]],0),MATCH($D$5,Inputs!$H$8:$Q$8,0)))/1000,"-")</f>
        <v>8.5080000000000003E-2</v>
      </c>
      <c r="I218" s="50" cm="1">
        <f t="array" ref="I218">IFERROR(
(IFERROR(INDEX(Calc_CPI_1[[CPI uplift factor]:[CPI uplift factor]],MATCH($C218,Calc_CPI_1[[Cost item]:[Cost item]],0),1),0)+
INDEX(Input_ForRateCalc[[F-CurrentVDO_InputDate]:[F-NextVDO_Input]],MATCH(Calc_WholesaleSME_1[[#This Row],[Cost item]:[Cost item]]&amp;" - "&amp;Calc_WholesaleSME_1[[#Headers],[Jemena]],Input_ForRateCalc[[Cost item]:[Cost item]],0),MATCH($D$5,Inputs!$H$8:$Q$8,0)))/1000,"-")</f>
        <v>8.4510000000000002E-2</v>
      </c>
      <c r="J218" s="50" cm="1">
        <f t="array" ref="J218">IFERROR(
(IFERROR(INDEX(Calc_CPI_1[[CPI uplift factor]:[CPI uplift factor]],MATCH($C218,Calc_CPI_1[[Cost item]:[Cost item]],0),1),0)+
INDEX(Input_ForRateCalc[[F-CurrentVDO_InputDate]:[F-NextVDO_Input]],MATCH(Calc_WholesaleSME_1[[#This Row],[Cost item]:[Cost item]]&amp;" - "&amp;Calc_WholesaleSME_1[[#Headers],[Powercor]],Input_ForRateCalc[[Cost item]:[Cost item]],0),MATCH($D$5,Inputs!$H$8:$Q$8,0)))/1000,"-")</f>
        <v>8.0110000000000001E-2</v>
      </c>
      <c r="K218" s="50" cm="1">
        <f t="array" ref="K218">IFERROR(
(IFERROR(INDEX(Calc_CPI_1[[CPI uplift factor]:[CPI uplift factor]],MATCH($C218,Calc_CPI_1[[Cost item]:[Cost item]],0),1),0)+
INDEX(Input_ForRateCalc[[F-CurrentVDO_InputDate]:[F-NextVDO_Input]],MATCH(Calc_WholesaleSME_1[[#This Row],[Cost item]:[Cost item]]&amp;" - "&amp;Calc_WholesaleSME_1[[#Headers],[United Energy]],Input_ForRateCalc[[Cost item]:[Cost item]],0),MATCH($D$5,Inputs!$H$8:$Q$8,0)))/1000,"-")</f>
        <v>8.6629999999999999E-2</v>
      </c>
    </row>
    <row r="219" spans="1:11" hidden="1" outlineLevel="1" x14ac:dyDescent="0.25">
      <c r="C219" s="18" t="s">
        <v>240</v>
      </c>
      <c r="D219" s="18" t="s">
        <v>66</v>
      </c>
      <c r="E219" s="18" t="s">
        <v>218</v>
      </c>
      <c r="F219" s="18" t="s">
        <v>32</v>
      </c>
      <c r="G219" s="50" cm="1">
        <f t="array" ref="G219">IFERROR(
(IFERROR(INDEX(Calc_CPI_1[[CPI uplift factor]:[CPI uplift factor]],MATCH($C219,Calc_CPI_1[[Cost item]:[Cost item]],0),1),0)+
INDEX(Input_ForRateCalc[[F-CurrentVDO_InputDate]:[F-NextVDO_Input]],MATCH(Calc_WholesaleSME_1[[#This Row],[Cost item]:[Cost item]]&amp;" - "&amp;Calc_WholesaleSME_1[[#Headers],[Ausnet]],Input_ForRateCalc[[Cost item]:[Cost item]],0),MATCH($D$5,Inputs!$H$8:$Q$8,0)))/1000,"-")</f>
        <v>3.4000000000000002E-4</v>
      </c>
      <c r="H219" s="50" cm="1">
        <f t="array" ref="H219">IFERROR(
(IFERROR(INDEX(Calc_CPI_1[[CPI uplift factor]:[CPI uplift factor]],MATCH($C219,Calc_CPI_1[[Cost item]:[Cost item]],0),1),0)+
INDEX(Input_ForRateCalc[[F-CurrentVDO_InputDate]:[F-NextVDO_Input]],MATCH(Calc_WholesaleSME_1[[#This Row],[Cost item]:[Cost item]]&amp;" - "&amp;Calc_WholesaleSME_1[[#Headers],[Citipower]],Input_ForRateCalc[[Cost item]:[Cost item]],0),MATCH($D$5,Inputs!$H$8:$Q$8,0)))/1000,"-")</f>
        <v>4.0000000000000002E-4</v>
      </c>
      <c r="I219" s="50" cm="1">
        <f t="array" ref="I219">IFERROR(
(IFERROR(INDEX(Calc_CPI_1[[CPI uplift factor]:[CPI uplift factor]],MATCH($C219,Calc_CPI_1[[Cost item]:[Cost item]],0),1),0)+
INDEX(Input_ForRateCalc[[F-CurrentVDO_InputDate]:[F-NextVDO_Input]],MATCH(Calc_WholesaleSME_1[[#This Row],[Cost item]:[Cost item]]&amp;" - "&amp;Calc_WholesaleSME_1[[#Headers],[Jemena]],Input_ForRateCalc[[Cost item]:[Cost item]],0),MATCH($D$5,Inputs!$H$8:$Q$8,0)))/1000,"-")</f>
        <v>3.5999999999999997E-4</v>
      </c>
      <c r="J219" s="50" cm="1">
        <f t="array" ref="J219">IFERROR(
(IFERROR(INDEX(Calc_CPI_1[[CPI uplift factor]:[CPI uplift factor]],MATCH($C219,Calc_CPI_1[[Cost item]:[Cost item]],0),1),0)+
INDEX(Input_ForRateCalc[[F-CurrentVDO_InputDate]:[F-NextVDO_Input]],MATCH(Calc_WholesaleSME_1[[#This Row],[Cost item]:[Cost item]]&amp;" - "&amp;Calc_WholesaleSME_1[[#Headers],[Powercor]],Input_ForRateCalc[[Cost item]:[Cost item]],0),MATCH($D$5,Inputs!$H$8:$Q$8,0)))/1000,"-")</f>
        <v>3.1E-4</v>
      </c>
      <c r="K219" s="50" cm="1">
        <f t="array" ref="K219">IFERROR(
(IFERROR(INDEX(Calc_CPI_1[[CPI uplift factor]:[CPI uplift factor]],MATCH($C219,Calc_CPI_1[[Cost item]:[Cost item]],0),1),0)+
INDEX(Input_ForRateCalc[[F-CurrentVDO_InputDate]:[F-NextVDO_Input]],MATCH(Calc_WholesaleSME_1[[#This Row],[Cost item]:[Cost item]]&amp;" - "&amp;Calc_WholesaleSME_1[[#Headers],[United Energy]],Input_ForRateCalc[[Cost item]:[Cost item]],0),MATCH($D$5,Inputs!$H$8:$Q$8,0)))/1000,"-")</f>
        <v>4.0999999999999999E-4</v>
      </c>
    </row>
    <row r="220" spans="1:11" hidden="1" outlineLevel="1" x14ac:dyDescent="0.25">
      <c r="C220" s="35" t="s">
        <v>219</v>
      </c>
      <c r="D220" s="35" t="s">
        <v>66</v>
      </c>
      <c r="E220" s="35" t="s">
        <v>218</v>
      </c>
      <c r="F220" s="18" t="s">
        <v>32</v>
      </c>
      <c r="G220" s="61">
        <f>IFERROR(G218+G219,"-")</f>
        <v>8.2619999999999999E-2</v>
      </c>
      <c r="H220" s="61">
        <f t="shared" ref="H220:K220" si="45">IFERROR(H218+H219,"-")</f>
        <v>8.548E-2</v>
      </c>
      <c r="I220" s="61">
        <f t="shared" si="45"/>
        <v>8.4870000000000001E-2</v>
      </c>
      <c r="J220" s="61">
        <f t="shared" si="45"/>
        <v>8.0420000000000005E-2</v>
      </c>
      <c r="K220" s="61">
        <f t="shared" si="45"/>
        <v>8.7039999999999992E-2</v>
      </c>
    </row>
    <row r="222" spans="1:11" ht="16.5" collapsed="1" thickBot="1" x14ac:dyDescent="0.3">
      <c r="B222" s="7">
        <f ca="1">MAX(B$3:B221)+0.1</f>
        <v>7.6999999999999975</v>
      </c>
      <c r="C222" s="22" t="s">
        <v>241</v>
      </c>
      <c r="D222" s="22"/>
      <c r="E222" s="22"/>
      <c r="F222" s="22"/>
      <c r="G222" s="22"/>
      <c r="H222" s="22"/>
      <c r="I222" s="22"/>
      <c r="J222" s="22"/>
      <c r="K222" s="22"/>
    </row>
    <row r="223" spans="1:11" hidden="1" outlineLevel="1" x14ac:dyDescent="0.25"/>
    <row r="224" spans="1:11" ht="15.75" hidden="1" outlineLevel="1" x14ac:dyDescent="0.25">
      <c r="C224" s="23" t="s">
        <v>242</v>
      </c>
    </row>
    <row r="225" spans="3:14" ht="15.75" hidden="1" outlineLevel="1" x14ac:dyDescent="0.25">
      <c r="C225" s="34" t="s">
        <v>24</v>
      </c>
      <c r="D225" s="34" t="s">
        <v>37</v>
      </c>
      <c r="E225" s="34" t="s">
        <v>38</v>
      </c>
      <c r="F225" s="34" t="s">
        <v>30</v>
      </c>
      <c r="G225" s="49" t="s">
        <v>204</v>
      </c>
      <c r="H225" s="49" t="s">
        <v>205</v>
      </c>
      <c r="I225" s="49" t="s">
        <v>206</v>
      </c>
      <c r="J225" s="49" t="s">
        <v>207</v>
      </c>
      <c r="K225" s="49" t="s">
        <v>208</v>
      </c>
    </row>
    <row r="226" spans="3:14" hidden="1" outlineLevel="1" x14ac:dyDescent="0.25">
      <c r="C226" s="18" t="s">
        <v>88</v>
      </c>
      <c r="D226" s="18" t="s">
        <v>66</v>
      </c>
      <c r="E226" s="18" t="s">
        <v>89</v>
      </c>
      <c r="F226" s="18" t="s">
        <v>46</v>
      </c>
      <c r="G226" s="50" cm="1">
        <f t="array" ref="G226">IFERROR(
(IFERROR(INDEX(Calc_CPI_1[[CPI uplift factor]:[CPI uplift factor]],MATCH($C226,Calc_CPI_1[[Cost item]:[Cost item]],0),1),0)+
INDEX(Input_ForRateCalc[[F-CurrentVDO_InputDate]:[F-NextVDO_Input]],MATCH(Calc_EnviroVEU_1[[#This Row],[Cost item]:[Cost item]],Input_ForRateCalc[[Cost item]:[Cost item]],0),MATCH($D$5,Inputs!$H$8:$Q$8,0))),"-")</f>
        <v>32.379354863483861</v>
      </c>
      <c r="H226" s="50" cm="1">
        <f t="array" ref="H226">IFERROR(
(IFERROR(INDEX(Calc_CPI_1[[CPI uplift factor]:[CPI uplift factor]],MATCH($C226,Calc_CPI_1[[Cost item]:[Cost item]],0),1),0)+
INDEX(Input_ForRateCalc[[F-CurrentVDO_InputDate]:[F-NextVDO_Input]],MATCH(Calc_EnviroVEU_1[[#This Row],[Cost item]:[Cost item]],Input_ForRateCalc[[Cost item]:[Cost item]],0),MATCH($D$5,Inputs!$H$8:$Q$8,0))),"-")</f>
        <v>32.379354863483861</v>
      </c>
      <c r="I226" s="50" cm="1">
        <f t="array" ref="I226">IFERROR(
(IFERROR(INDEX(Calc_CPI_1[[CPI uplift factor]:[CPI uplift factor]],MATCH($C226,Calc_CPI_1[[Cost item]:[Cost item]],0),1),0)+
INDEX(Input_ForRateCalc[[F-CurrentVDO_InputDate]:[F-NextVDO_Input]],MATCH(Calc_EnviroVEU_1[[#This Row],[Cost item]:[Cost item]],Input_ForRateCalc[[Cost item]:[Cost item]],0),MATCH($D$5,Inputs!$H$8:$Q$8,0))),"-")</f>
        <v>32.379354863483861</v>
      </c>
      <c r="J226" s="50" cm="1">
        <f t="array" ref="J226">IFERROR(
(IFERROR(INDEX(Calc_CPI_1[[CPI uplift factor]:[CPI uplift factor]],MATCH($C226,Calc_CPI_1[[Cost item]:[Cost item]],0),1),0)+
INDEX(Input_ForRateCalc[[F-CurrentVDO_InputDate]:[F-NextVDO_Input]],MATCH(Calc_EnviroVEU_1[[#This Row],[Cost item]:[Cost item]],Input_ForRateCalc[[Cost item]:[Cost item]],0),MATCH($D$5,Inputs!$H$8:$Q$8,0))),"-")</f>
        <v>32.379354863483861</v>
      </c>
      <c r="K226" s="50" cm="1">
        <f t="array" ref="K226">IFERROR(
(IFERROR(INDEX(Calc_CPI_1[[CPI uplift factor]:[CPI uplift factor]],MATCH($C226,Calc_CPI_1[[Cost item]:[Cost item]],0),1),0)+
INDEX(Input_ForRateCalc[[F-CurrentVDO_InputDate]:[F-NextVDO_Input]],MATCH(Calc_EnviroVEU_1[[#This Row],[Cost item]:[Cost item]],Input_ForRateCalc[[Cost item]:[Cost item]],0),MATCH($D$5,Inputs!$H$8:$Q$8,0))),"-")</f>
        <v>32.379354863483861</v>
      </c>
    </row>
    <row r="227" spans="3:14" hidden="1" outlineLevel="1" x14ac:dyDescent="0.25">
      <c r="C227" s="18" t="s">
        <v>92</v>
      </c>
      <c r="D227" s="18" t="s">
        <v>66</v>
      </c>
      <c r="E227" s="18" t="s">
        <v>93</v>
      </c>
      <c r="F227" s="18" t="s">
        <v>46</v>
      </c>
      <c r="G227" s="45" cm="1">
        <f t="array" ref="G227">IFERROR(
(IFERROR(INDEX(Calc_CPI_1[[CPI uplift factor]:[CPI uplift factor]],MATCH($C227,Calc_CPI_1[[Cost item]:[Cost item]],0),1),0)+
INDEX(Input_ForRateCalc[[F-CurrentVDO_InputDate]:[F-NextVDO_Input]],MATCH(Calc_EnviroVEU_1[[#This Row],[Cost item]:[Cost item]],Input_ForRateCalc[[Cost item]:[Cost item]],0),MATCH($D$5,Inputs!$H$8:$Q$8,0))),"-")</f>
        <v>0.17255000000000001</v>
      </c>
      <c r="H227" s="45" cm="1">
        <f t="array" ref="H227">IFERROR(
(IFERROR(INDEX(Calc_CPI_1[[CPI uplift factor]:[CPI uplift factor]],MATCH($C227,Calc_CPI_1[[Cost item]:[Cost item]],0),1),0)+
INDEX(Input_ForRateCalc[[F-CurrentVDO_InputDate]:[F-NextVDO_Input]],MATCH(Calc_EnviroVEU_1[[#This Row],[Cost item]:[Cost item]],Input_ForRateCalc[[Cost item]:[Cost item]],0),MATCH($D$5,Inputs!$H$8:$Q$8,0))),"-")</f>
        <v>0.17255000000000001</v>
      </c>
      <c r="I227" s="45" cm="1">
        <f t="array" ref="I227">IFERROR(
(IFERROR(INDEX(Calc_CPI_1[[CPI uplift factor]:[CPI uplift factor]],MATCH($C227,Calc_CPI_1[[Cost item]:[Cost item]],0),1),0)+
INDEX(Input_ForRateCalc[[F-CurrentVDO_InputDate]:[F-NextVDO_Input]],MATCH(Calc_EnviroVEU_1[[#This Row],[Cost item]:[Cost item]],Input_ForRateCalc[[Cost item]:[Cost item]],0),MATCH($D$5,Inputs!$H$8:$Q$8,0))),"-")</f>
        <v>0.17255000000000001</v>
      </c>
      <c r="J227" s="45" cm="1">
        <f t="array" ref="J227">IFERROR(
(IFERROR(INDEX(Calc_CPI_1[[CPI uplift factor]:[CPI uplift factor]],MATCH($C227,Calc_CPI_1[[Cost item]:[Cost item]],0),1),0)+
INDEX(Input_ForRateCalc[[F-CurrentVDO_InputDate]:[F-NextVDO_Input]],MATCH(Calc_EnviroVEU_1[[#This Row],[Cost item]:[Cost item]],Input_ForRateCalc[[Cost item]:[Cost item]],0),MATCH($D$5,Inputs!$H$8:$Q$8,0))),"-")</f>
        <v>0.17255000000000001</v>
      </c>
      <c r="K227" s="45" cm="1">
        <f t="array" ref="K227">IFERROR(
(IFERROR(INDEX(Calc_CPI_1[[CPI uplift factor]:[CPI uplift factor]],MATCH($C227,Calc_CPI_1[[Cost item]:[Cost item]],0),1),0)+
INDEX(Input_ForRateCalc[[F-CurrentVDO_InputDate]:[F-NextVDO_Input]],MATCH(Calc_EnviroVEU_1[[#This Row],[Cost item]:[Cost item]],Input_ForRateCalc[[Cost item]:[Cost item]],0),MATCH($D$5,Inputs!$H$8:$Q$8,0))),"-")</f>
        <v>0.17255000000000001</v>
      </c>
    </row>
    <row r="228" spans="3:14" hidden="1" outlineLevel="1" x14ac:dyDescent="0.25">
      <c r="C228" s="35" t="s">
        <v>243</v>
      </c>
      <c r="D228" s="35" t="s">
        <v>66</v>
      </c>
      <c r="E228" s="35" t="s">
        <v>218</v>
      </c>
      <c r="F228" s="18" t="s">
        <v>46</v>
      </c>
      <c r="G228" s="61">
        <f>IFERROR(
IFERROR(INDEX(Calc_CPI_1[[CPI uplift factor]:[CPI uplift factor]],MATCH($C228,Calc_CPI_1[[Cost item]:[Cost item]],0),1),0)+(G226*G227)/1000,"-")</f>
        <v>5.5870576816941407E-3</v>
      </c>
      <c r="H228" s="61">
        <f>IFERROR(
IFERROR(INDEX(Calc_CPI_1[[CPI uplift factor]:[CPI uplift factor]],MATCH($C228,Calc_CPI_1[[Cost item]:[Cost item]],0),1),0)+(H226*H227)/1000,"-")</f>
        <v>5.5870576816941407E-3</v>
      </c>
      <c r="I228" s="61">
        <f>IFERROR(
IFERROR(INDEX(Calc_CPI_1[[CPI uplift factor]:[CPI uplift factor]],MATCH($C228,Calc_CPI_1[[Cost item]:[Cost item]],0),1),0)+(I226*I227)/1000,"-")</f>
        <v>5.5870576816941407E-3</v>
      </c>
      <c r="J228" s="61">
        <f>IFERROR(
IFERROR(INDEX(Calc_CPI_1[[CPI uplift factor]:[CPI uplift factor]],MATCH($C228,Calc_CPI_1[[Cost item]:[Cost item]],0),1),0)+(J226*J227)/1000,"-")</f>
        <v>5.5870576816941407E-3</v>
      </c>
      <c r="K228" s="61">
        <f>IFERROR(
IFERROR(INDEX(Calc_CPI_1[[CPI uplift factor]:[CPI uplift factor]],MATCH($C228,Calc_CPI_1[[Cost item]:[Cost item]],0),1),0)+(K226*K227)/1000,"-")</f>
        <v>5.5870576816941407E-3</v>
      </c>
      <c r="M228" s="67"/>
      <c r="N228" s="67"/>
    </row>
    <row r="229" spans="3:14" hidden="1" outlineLevel="1" x14ac:dyDescent="0.25">
      <c r="G229" s="67"/>
    </row>
    <row r="230" spans="3:14" ht="15.75" hidden="1" outlineLevel="1" x14ac:dyDescent="0.25">
      <c r="C230" s="23" t="s">
        <v>244</v>
      </c>
      <c r="N230" s="67"/>
    </row>
    <row r="231" spans="3:14" ht="15.75" hidden="1" outlineLevel="1" x14ac:dyDescent="0.25">
      <c r="C231" s="34" t="s">
        <v>24</v>
      </c>
      <c r="D231" s="34" t="s">
        <v>37</v>
      </c>
      <c r="E231" s="34" t="s">
        <v>38</v>
      </c>
      <c r="F231" s="34" t="s">
        <v>30</v>
      </c>
      <c r="G231" s="49" t="s">
        <v>204</v>
      </c>
      <c r="H231" s="49" t="s">
        <v>205</v>
      </c>
      <c r="I231" s="49" t="s">
        <v>206</v>
      </c>
      <c r="J231" s="49" t="s">
        <v>207</v>
      </c>
      <c r="K231" s="49" t="s">
        <v>208</v>
      </c>
    </row>
    <row r="232" spans="3:14" hidden="1" outlineLevel="1" x14ac:dyDescent="0.25">
      <c r="C232" s="18" t="s">
        <v>90</v>
      </c>
      <c r="D232" s="18" t="s">
        <v>66</v>
      </c>
      <c r="E232" s="18" t="s">
        <v>89</v>
      </c>
      <c r="F232" s="18" t="s">
        <v>46</v>
      </c>
      <c r="G232" s="50" cm="1">
        <f t="array" ref="G232">IFERROR(
(IFERROR(INDEX(Calc_CPI_1[[CPI uplift factor]:[CPI uplift factor]],MATCH($C232,Calc_CPI_1[[Cost item]:[Cost item]],0),1),0)+
INDEX(Input_ForRateCalc[[F-CurrentVDO_InputDate]:[F-NextVDO_Input]],MATCH(Calc_EnviroLRET_1[[#This Row],[Cost item]:[Cost item]],Input_ForRateCalc[[Cost item]:[Cost item]],0),MATCH($D$5,Inputs!$H$8:$Q$8,0))),"-")</f>
        <v>35.75</v>
      </c>
      <c r="H232" s="50" cm="1">
        <f t="array" ref="H232">IFERROR(
(IFERROR(INDEX(Calc_CPI_1[[CPI uplift factor]:[CPI uplift factor]],MATCH($C232,Calc_CPI_1[[Cost item]:[Cost item]],0),1),0)+
INDEX(Input_ForRateCalc[[F-CurrentVDO_InputDate]:[F-NextVDO_Input]],MATCH(Calc_EnviroLRET_1[[#This Row],[Cost item]:[Cost item]],Input_ForRateCalc[[Cost item]:[Cost item]],0),MATCH($D$5,Inputs!$H$8:$Q$8,0))),"-")</f>
        <v>35.75</v>
      </c>
      <c r="I232" s="50" cm="1">
        <f t="array" ref="I232">IFERROR(
(IFERROR(INDEX(Calc_CPI_1[[CPI uplift factor]:[CPI uplift factor]],MATCH($C232,Calc_CPI_1[[Cost item]:[Cost item]],0),1),0)+
INDEX(Input_ForRateCalc[[F-CurrentVDO_InputDate]:[F-NextVDO_Input]],MATCH(Calc_EnviroLRET_1[[#This Row],[Cost item]:[Cost item]],Input_ForRateCalc[[Cost item]:[Cost item]],0),MATCH($D$5,Inputs!$H$8:$Q$8,0))),"-")</f>
        <v>35.75</v>
      </c>
      <c r="J232" s="50" cm="1">
        <f t="array" ref="J232">IFERROR(
(IFERROR(INDEX(Calc_CPI_1[[CPI uplift factor]:[CPI uplift factor]],MATCH($C232,Calc_CPI_1[[Cost item]:[Cost item]],0),1),0)+
INDEX(Input_ForRateCalc[[F-CurrentVDO_InputDate]:[F-NextVDO_Input]],MATCH(Calc_EnviroLRET_1[[#This Row],[Cost item]:[Cost item]],Input_ForRateCalc[[Cost item]:[Cost item]],0),MATCH($D$5,Inputs!$H$8:$Q$8,0))),"-")</f>
        <v>35.75</v>
      </c>
      <c r="K232" s="50" cm="1">
        <f t="array" ref="K232">IFERROR(
(IFERROR(INDEX(Calc_CPI_1[[CPI uplift factor]:[CPI uplift factor]],MATCH($C232,Calc_CPI_1[[Cost item]:[Cost item]],0),1),0)+
INDEX(Input_ForRateCalc[[F-CurrentVDO_InputDate]:[F-NextVDO_Input]],MATCH(Calc_EnviroLRET_1[[#This Row],[Cost item]:[Cost item]],Input_ForRateCalc[[Cost item]:[Cost item]],0),MATCH($D$5,Inputs!$H$8:$Q$8,0))),"-")</f>
        <v>35.75</v>
      </c>
    </row>
    <row r="233" spans="3:14" hidden="1" outlineLevel="1" x14ac:dyDescent="0.25">
      <c r="C233" s="18" t="s">
        <v>94</v>
      </c>
      <c r="D233" s="18" t="s">
        <v>66</v>
      </c>
      <c r="E233" s="18" t="s">
        <v>93</v>
      </c>
      <c r="F233" s="18" t="s">
        <v>46</v>
      </c>
      <c r="G233" s="45" cm="1">
        <f t="array" ref="G233">IFERROR(
(IFERROR(INDEX(Calc_CPI_1[[CPI uplift factor]:[CPI uplift factor]],MATCH($C233,Calc_CPI_1[[Cost item]:[Cost item]],0),1),0)+
IF(OR($D$5="VDO 2021 - Final",$D$5="VDO 2021 - Variation draft",$D$5="VDO 2021 - Variation final"),
INDEX(Input_ForRateCalc[[F-CurrentVDO_InputDate]:[F-NextVDO_Input]],MATCH(Calc_EnviroLRET_1[[#This Row],[Cost item]:[Cost item]]&amp;" true up (2021 only)",Input_ForRateCalc[[Cost item]:[Cost item]],0),MATCH($D$5,Inputs!$H$8:$Q$8,0))+
INDEX(Input_ForRateCalc[[F-CurrentVDO_InputDate]:[F-NextVDO_Input]],MATCH(Calc_EnviroLRET_1[[#This Row],[Cost item]:[Cost item]],Input_ForRateCalc[[Cost item]:[Cost item]],0),MATCH($D$5,Inputs!$H$8:$Q$8,0)),
INDEX(Input_ForRateCalc[[F-CurrentVDO_InputDate]:[F-NextVDO_Input]],MATCH(Calc_EnviroLRET_1[[#This Row],[Cost item]:[Cost item]],Input_ForRateCalc[[Cost item]:[Cost item]],0),MATCH($D$5,Inputs!$H$8:$Q$8,0)))),"-")</f>
        <v>0.17764411838867972</v>
      </c>
      <c r="H233" s="45" cm="1">
        <f t="array" ref="H233">IFERROR(
(IFERROR(INDEX(Calc_CPI_1[[CPI uplift factor]:[CPI uplift factor]],MATCH($C233,Calc_CPI_1[[Cost item]:[Cost item]],0),1),0)+
IF(OR($D$5="VDO 2021 - Final",$D$5="VDO 2021 - Variation draft",$D$5="VDO 2021 - Variation final"),
INDEX(Input_ForRateCalc[[F-CurrentVDO_InputDate]:[F-NextVDO_Input]],MATCH(Calc_EnviroLRET_1[[#This Row],[Cost item]:[Cost item]]&amp;" true up (2021 only)",Input_ForRateCalc[[Cost item]:[Cost item]],0),MATCH($D$5,Inputs!$H$8:$Q$8,0))+
INDEX(Input_ForRateCalc[[F-CurrentVDO_InputDate]:[F-NextVDO_Input]],MATCH(Calc_EnviroLRET_1[[#This Row],[Cost item]:[Cost item]],Input_ForRateCalc[[Cost item]:[Cost item]],0),MATCH($D$5,Inputs!$H$8:$Q$8,0)),
INDEX(Input_ForRateCalc[[F-CurrentVDO_InputDate]:[F-NextVDO_Input]],MATCH(Calc_EnviroLRET_1[[#This Row],[Cost item]:[Cost item]],Input_ForRateCalc[[Cost item]:[Cost item]],0),MATCH($D$5,Inputs!$H$8:$Q$8,0)))),"-")</f>
        <v>0.17764411838867972</v>
      </c>
      <c r="I233" s="45" cm="1">
        <f t="array" ref="I233">IFERROR(
(IFERROR(INDEX(Calc_CPI_1[[CPI uplift factor]:[CPI uplift factor]],MATCH($C233,Calc_CPI_1[[Cost item]:[Cost item]],0),1),0)+
IF(OR($D$5="VDO 2021 - Final",$D$5="VDO 2021 - Variation draft",$D$5="VDO 2021 - Variation final"),
INDEX(Input_ForRateCalc[[F-CurrentVDO_InputDate]:[F-NextVDO_Input]],MATCH(Calc_EnviroLRET_1[[#This Row],[Cost item]:[Cost item]]&amp;" true up (2021 only)",Input_ForRateCalc[[Cost item]:[Cost item]],0),MATCH($D$5,Inputs!$H$8:$Q$8,0))+
INDEX(Input_ForRateCalc[[F-CurrentVDO_InputDate]:[F-NextVDO_Input]],MATCH(Calc_EnviroLRET_1[[#This Row],[Cost item]:[Cost item]],Input_ForRateCalc[[Cost item]:[Cost item]],0),MATCH($D$5,Inputs!$H$8:$Q$8,0)),
INDEX(Input_ForRateCalc[[F-CurrentVDO_InputDate]:[F-NextVDO_Input]],MATCH(Calc_EnviroLRET_1[[#This Row],[Cost item]:[Cost item]],Input_ForRateCalc[[Cost item]:[Cost item]],0),MATCH($D$5,Inputs!$H$8:$Q$8,0)))),"-")</f>
        <v>0.17764411838867972</v>
      </c>
      <c r="J233" s="45" cm="1">
        <f t="array" ref="J233">IFERROR(
(IFERROR(INDEX(Calc_CPI_1[[CPI uplift factor]:[CPI uplift factor]],MATCH($C233,Calc_CPI_1[[Cost item]:[Cost item]],0),1),0)+
IF(OR($D$5="VDO 2021 - Final",$D$5="VDO 2021 - Variation draft",$D$5="VDO 2021 - Variation final"),
INDEX(Input_ForRateCalc[[F-CurrentVDO_InputDate]:[F-NextVDO_Input]],MATCH(Calc_EnviroLRET_1[[#This Row],[Cost item]:[Cost item]]&amp;" true up (2021 only)",Input_ForRateCalc[[Cost item]:[Cost item]],0),MATCH($D$5,Inputs!$H$8:$Q$8,0))+
INDEX(Input_ForRateCalc[[F-CurrentVDO_InputDate]:[F-NextVDO_Input]],MATCH(Calc_EnviroLRET_1[[#This Row],[Cost item]:[Cost item]],Input_ForRateCalc[[Cost item]:[Cost item]],0),MATCH($D$5,Inputs!$H$8:$Q$8,0)),
INDEX(Input_ForRateCalc[[F-CurrentVDO_InputDate]:[F-NextVDO_Input]],MATCH(Calc_EnviroLRET_1[[#This Row],[Cost item]:[Cost item]],Input_ForRateCalc[[Cost item]:[Cost item]],0),MATCH($D$5,Inputs!$H$8:$Q$8,0)))),"-")</f>
        <v>0.17764411838867972</v>
      </c>
      <c r="K233" s="45" cm="1">
        <f t="array" ref="K233">IFERROR(
(IFERROR(INDEX(Calc_CPI_1[[CPI uplift factor]:[CPI uplift factor]],MATCH($C233,Calc_CPI_1[[Cost item]:[Cost item]],0),1),0)+
IF(OR($D$5="VDO 2021 - Final",$D$5="VDO 2021 - Variation draft",$D$5="VDO 2021 - Variation final"),
INDEX(Input_ForRateCalc[[F-CurrentVDO_InputDate]:[F-NextVDO_Input]],MATCH(Calc_EnviroLRET_1[[#This Row],[Cost item]:[Cost item]]&amp;" true up (2021 only)",Input_ForRateCalc[[Cost item]:[Cost item]],0),MATCH($D$5,Inputs!$H$8:$Q$8,0))+
INDEX(Input_ForRateCalc[[F-CurrentVDO_InputDate]:[F-NextVDO_Input]],MATCH(Calc_EnviroLRET_1[[#This Row],[Cost item]:[Cost item]],Input_ForRateCalc[[Cost item]:[Cost item]],0),MATCH($D$5,Inputs!$H$8:$Q$8,0)),
INDEX(Input_ForRateCalc[[F-CurrentVDO_InputDate]:[F-NextVDO_Input]],MATCH(Calc_EnviroLRET_1[[#This Row],[Cost item]:[Cost item]],Input_ForRateCalc[[Cost item]:[Cost item]],0),MATCH($D$5,Inputs!$H$8:$Q$8,0)))),"-")</f>
        <v>0.17764411838867972</v>
      </c>
    </row>
    <row r="234" spans="3:14" hidden="1" outlineLevel="1" x14ac:dyDescent="0.25">
      <c r="C234" s="35" t="s">
        <v>245</v>
      </c>
      <c r="D234" s="35" t="s">
        <v>66</v>
      </c>
      <c r="E234" s="35" t="s">
        <v>218</v>
      </c>
      <c r="F234" s="18" t="s">
        <v>46</v>
      </c>
      <c r="G234" s="61">
        <f>IFERROR(
IFERROR(INDEX(Calc_CPI_1[[CPI uplift factor]:[CPI uplift factor]],MATCH($C234,Calc_CPI_1[[Cost item]:[Cost item]],0),1),0)+(G232*G233)/1000,"-")</f>
        <v>6.3507772323953002E-3</v>
      </c>
      <c r="H234" s="61">
        <f>IFERROR(
IFERROR(INDEX(Calc_CPI_1[[CPI uplift factor]:[CPI uplift factor]],MATCH($C234,Calc_CPI_1[[Cost item]:[Cost item]],0),1),0)+(H232*H233)/1000,"-")</f>
        <v>6.3507772323953002E-3</v>
      </c>
      <c r="I234" s="61">
        <f>IFERROR(
IFERROR(INDEX(Calc_CPI_1[[CPI uplift factor]:[CPI uplift factor]],MATCH($C234,Calc_CPI_1[[Cost item]:[Cost item]],0),1),0)+(I232*I233)/1000,"-")</f>
        <v>6.3507772323953002E-3</v>
      </c>
      <c r="J234" s="61">
        <f>IFERROR(
IFERROR(INDEX(Calc_CPI_1[[CPI uplift factor]:[CPI uplift factor]],MATCH($C234,Calc_CPI_1[[Cost item]:[Cost item]],0),1),0)+(J232*J233)/1000,"-")</f>
        <v>6.3507772323953002E-3</v>
      </c>
      <c r="K234" s="61">
        <f>IFERROR(
IFERROR(INDEX(Calc_CPI_1[[CPI uplift factor]:[CPI uplift factor]],MATCH($C234,Calc_CPI_1[[Cost item]:[Cost item]],0),1),0)+(K232*K233)/1000,"-")</f>
        <v>6.3507772323953002E-3</v>
      </c>
    </row>
    <row r="235" spans="3:14" hidden="1" outlineLevel="1" x14ac:dyDescent="0.25"/>
    <row r="236" spans="3:14" ht="15.75" hidden="1" outlineLevel="1" x14ac:dyDescent="0.25">
      <c r="C236" s="23" t="s">
        <v>246</v>
      </c>
    </row>
    <row r="237" spans="3:14" ht="15.75" hidden="1" outlineLevel="1" x14ac:dyDescent="0.25">
      <c r="C237" s="34" t="s">
        <v>24</v>
      </c>
      <c r="D237" s="34" t="s">
        <v>37</v>
      </c>
      <c r="E237" s="34" t="s">
        <v>38</v>
      </c>
      <c r="F237" s="34" t="s">
        <v>30</v>
      </c>
      <c r="G237" s="49" t="s">
        <v>204</v>
      </c>
      <c r="H237" s="49" t="s">
        <v>205</v>
      </c>
      <c r="I237" s="49" t="s">
        <v>206</v>
      </c>
      <c r="J237" s="49" t="s">
        <v>207</v>
      </c>
      <c r="K237" s="49" t="s">
        <v>208</v>
      </c>
    </row>
    <row r="238" spans="3:14" hidden="1" outlineLevel="1" x14ac:dyDescent="0.25">
      <c r="C238" s="18" t="s">
        <v>91</v>
      </c>
      <c r="D238" s="18" t="s">
        <v>66</v>
      </c>
      <c r="E238" s="18" t="s">
        <v>89</v>
      </c>
      <c r="F238" s="18" t="s">
        <v>46</v>
      </c>
      <c r="G238" s="50" cm="1">
        <f t="array" ref="G238">IFERROR(
(IFERROR(INDEX(Calc_CPI_1[[CPI uplift factor]:[CPI uplift factor]],MATCH($C238,Calc_CPI_1[[Cost item]:[Cost item]],0),1),0)+
INDEX(Input_ForRateCalc[[F-CurrentVDO_InputDate]:[F-NextVDO_Input]],MATCH(Calc_EnviroSRES_1[[#This Row],[Cost item]:[Cost item]],Input_ForRateCalc[[Cost item]:[Cost item]],0),MATCH($D$5,Inputs!$H$8:$Q$8,0))),"-")</f>
        <v>40</v>
      </c>
      <c r="H238" s="50" cm="1">
        <f t="array" ref="H238">IFERROR(
(IFERROR(INDEX(Calc_CPI_1[[CPI uplift factor]:[CPI uplift factor]],MATCH($C238,Calc_CPI_1[[Cost item]:[Cost item]],0),1),0)+
INDEX(Input_ForRateCalc[[F-CurrentVDO_InputDate]:[F-NextVDO_Input]],MATCH(Calc_EnviroSRES_1[[#This Row],[Cost item]:[Cost item]],Input_ForRateCalc[[Cost item]:[Cost item]],0),MATCH($D$5,Inputs!$H$8:$Q$8,0))),"-")</f>
        <v>40</v>
      </c>
      <c r="I238" s="50" cm="1">
        <f t="array" ref="I238">IFERROR(
(IFERROR(INDEX(Calc_CPI_1[[CPI uplift factor]:[CPI uplift factor]],MATCH($C238,Calc_CPI_1[[Cost item]:[Cost item]],0),1),0)+
INDEX(Input_ForRateCalc[[F-CurrentVDO_InputDate]:[F-NextVDO_Input]],MATCH(Calc_EnviroSRES_1[[#This Row],[Cost item]:[Cost item]],Input_ForRateCalc[[Cost item]:[Cost item]],0),MATCH($D$5,Inputs!$H$8:$Q$8,0))),"-")</f>
        <v>40</v>
      </c>
      <c r="J238" s="50" cm="1">
        <f t="array" ref="J238">IFERROR(
(IFERROR(INDEX(Calc_CPI_1[[CPI uplift factor]:[CPI uplift factor]],MATCH($C238,Calc_CPI_1[[Cost item]:[Cost item]],0),1),0)+
INDEX(Input_ForRateCalc[[F-CurrentVDO_InputDate]:[F-NextVDO_Input]],MATCH(Calc_EnviroSRES_1[[#This Row],[Cost item]:[Cost item]],Input_ForRateCalc[[Cost item]:[Cost item]],0),MATCH($D$5,Inputs!$H$8:$Q$8,0))),"-")</f>
        <v>40</v>
      </c>
      <c r="K238" s="50" cm="1">
        <f t="array" ref="K238">IFERROR(
(IFERROR(INDEX(Calc_CPI_1[[CPI uplift factor]:[CPI uplift factor]],MATCH($C238,Calc_CPI_1[[Cost item]:[Cost item]],0),1),0)+
INDEX(Input_ForRateCalc[[F-CurrentVDO_InputDate]:[F-NextVDO_Input]],MATCH(Calc_EnviroSRES_1[[#This Row],[Cost item]:[Cost item]],Input_ForRateCalc[[Cost item]:[Cost item]],0),MATCH($D$5,Inputs!$H$8:$Q$8,0))),"-")</f>
        <v>40</v>
      </c>
    </row>
    <row r="239" spans="3:14" hidden="1" outlineLevel="1" x14ac:dyDescent="0.25">
      <c r="C239" s="18" t="s">
        <v>95</v>
      </c>
      <c r="D239" s="18" t="s">
        <v>66</v>
      </c>
      <c r="E239" s="18" t="s">
        <v>93</v>
      </c>
      <c r="F239" s="18" t="s">
        <v>46</v>
      </c>
      <c r="G239" s="45" cm="1">
        <f t="array" ref="G239">IFERROR(
(IFERROR(INDEX(Calc_CPI_1[[CPI uplift factor]:[CPI uplift factor]],MATCH($C239,Calc_CPI_1[[Cost item]:[Cost item]],0),1),0)+
IF(OR($D$5="VDO 2021 - Final",$D$5="VDO 2021 - Variation draft",$D$5="VDO 2021 - Variation final"),
INDEX(Input_ForRateCalc[[F-CurrentVDO_InputDate]:[F-NextVDO_Input]],MATCH(Calc_EnviroSRES_1[[#This Row],[Cost item]:[Cost item]]&amp;" true up (2021 only)",Input_ForRateCalc[[Cost item]:[Cost item]],0),MATCH($D$5,Inputs!$H$8:$Q$8,0))+
INDEX(Input_ForRateCalc[[F-CurrentVDO_InputDate]:[F-NextVDO_Input]],MATCH(Calc_EnviroSRES_1[[#This Row],[Cost item]:[Cost item]],Input_ForRateCalc[[Cost item]:[Cost item]],0),MATCH($D$5,Inputs!$H$8:$Q$8,0)),
INDEX(Input_ForRateCalc[[F-CurrentVDO_InputDate]:[F-NextVDO_Input]],MATCH(Calc_EnviroSRES_1[[#This Row],[Cost item]:[Cost item]],Input_ForRateCalc[[Cost item]:[Cost item]],0),MATCH($D$5,Inputs!$H$8:$Q$8,0)))),"-")</f>
        <v>0.28149999999999997</v>
      </c>
      <c r="H239" s="45" cm="1">
        <f t="array" ref="H239">IFERROR(
(IFERROR(INDEX(Calc_CPI_1[[CPI uplift factor]:[CPI uplift factor]],MATCH($C239,Calc_CPI_1[[Cost item]:[Cost item]],0),1),0)+
IF(OR($D$5="VDO 2021 - Final",$D$5="VDO 2021 - Variation draft",$D$5="VDO 2021 - Variation final"),
INDEX(Input_ForRateCalc[[F-CurrentVDO_InputDate]:[F-NextVDO_Input]],MATCH(Calc_EnviroSRES_1[[#This Row],[Cost item]:[Cost item]]&amp;" true up (2021 only)",Input_ForRateCalc[[Cost item]:[Cost item]],0),MATCH($D$5,Inputs!$H$8:$Q$8,0))+
INDEX(Input_ForRateCalc[[F-CurrentVDO_InputDate]:[F-NextVDO_Input]],MATCH(Calc_EnviroSRES_1[[#This Row],[Cost item]:[Cost item]],Input_ForRateCalc[[Cost item]:[Cost item]],0),MATCH($D$5,Inputs!$H$8:$Q$8,0)),
INDEX(Input_ForRateCalc[[F-CurrentVDO_InputDate]:[F-NextVDO_Input]],MATCH(Calc_EnviroSRES_1[[#This Row],[Cost item]:[Cost item]],Input_ForRateCalc[[Cost item]:[Cost item]],0),MATCH($D$5,Inputs!$H$8:$Q$8,0)))),"-")</f>
        <v>0.28149999999999997</v>
      </c>
      <c r="I239" s="45" cm="1">
        <f t="array" ref="I239">IFERROR(
(IFERROR(INDEX(Calc_CPI_1[[CPI uplift factor]:[CPI uplift factor]],MATCH($C239,Calc_CPI_1[[Cost item]:[Cost item]],0),1),0)+
IF(OR($D$5="VDO 2021 - Final",$D$5="VDO 2021 - Variation draft",$D$5="VDO 2021 - Variation final"),
INDEX(Input_ForRateCalc[[F-CurrentVDO_InputDate]:[F-NextVDO_Input]],MATCH(Calc_EnviroSRES_1[[#This Row],[Cost item]:[Cost item]]&amp;" true up (2021 only)",Input_ForRateCalc[[Cost item]:[Cost item]],0),MATCH($D$5,Inputs!$H$8:$Q$8,0))+
INDEX(Input_ForRateCalc[[F-CurrentVDO_InputDate]:[F-NextVDO_Input]],MATCH(Calc_EnviroSRES_1[[#This Row],[Cost item]:[Cost item]],Input_ForRateCalc[[Cost item]:[Cost item]],0),MATCH($D$5,Inputs!$H$8:$Q$8,0)),
INDEX(Input_ForRateCalc[[F-CurrentVDO_InputDate]:[F-NextVDO_Input]],MATCH(Calc_EnviroSRES_1[[#This Row],[Cost item]:[Cost item]],Input_ForRateCalc[[Cost item]:[Cost item]],0),MATCH($D$5,Inputs!$H$8:$Q$8,0)))),"-")</f>
        <v>0.28149999999999997</v>
      </c>
      <c r="J239" s="45" cm="1">
        <f t="array" ref="J239">IFERROR(
(IFERROR(INDEX(Calc_CPI_1[[CPI uplift factor]:[CPI uplift factor]],MATCH($C239,Calc_CPI_1[[Cost item]:[Cost item]],0),1),0)+
IF(OR($D$5="VDO 2021 - Final",$D$5="VDO 2021 - Variation draft",$D$5="VDO 2021 - Variation final"),
INDEX(Input_ForRateCalc[[F-CurrentVDO_InputDate]:[F-NextVDO_Input]],MATCH(Calc_EnviroSRES_1[[#This Row],[Cost item]:[Cost item]]&amp;" true up (2021 only)",Input_ForRateCalc[[Cost item]:[Cost item]],0),MATCH($D$5,Inputs!$H$8:$Q$8,0))+
INDEX(Input_ForRateCalc[[F-CurrentVDO_InputDate]:[F-NextVDO_Input]],MATCH(Calc_EnviroSRES_1[[#This Row],[Cost item]:[Cost item]],Input_ForRateCalc[[Cost item]:[Cost item]],0),MATCH($D$5,Inputs!$H$8:$Q$8,0)),
INDEX(Input_ForRateCalc[[F-CurrentVDO_InputDate]:[F-NextVDO_Input]],MATCH(Calc_EnviroSRES_1[[#This Row],[Cost item]:[Cost item]],Input_ForRateCalc[[Cost item]:[Cost item]],0),MATCH($D$5,Inputs!$H$8:$Q$8,0)))),"-")</f>
        <v>0.28149999999999997</v>
      </c>
      <c r="K239" s="45" cm="1">
        <f t="array" ref="K239">IFERROR(
(IFERROR(INDEX(Calc_CPI_1[[CPI uplift factor]:[CPI uplift factor]],MATCH($C239,Calc_CPI_1[[Cost item]:[Cost item]],0),1),0)+
IF(OR($D$5="VDO 2021 - Final",$D$5="VDO 2021 - Variation draft",$D$5="VDO 2021 - Variation final"),
INDEX(Input_ForRateCalc[[F-CurrentVDO_InputDate]:[F-NextVDO_Input]],MATCH(Calc_EnviroSRES_1[[#This Row],[Cost item]:[Cost item]]&amp;" true up (2021 only)",Input_ForRateCalc[[Cost item]:[Cost item]],0),MATCH($D$5,Inputs!$H$8:$Q$8,0))+
INDEX(Input_ForRateCalc[[F-CurrentVDO_InputDate]:[F-NextVDO_Input]],MATCH(Calc_EnviroSRES_1[[#This Row],[Cost item]:[Cost item]],Input_ForRateCalc[[Cost item]:[Cost item]],0),MATCH($D$5,Inputs!$H$8:$Q$8,0)),
INDEX(Input_ForRateCalc[[F-CurrentVDO_InputDate]:[F-NextVDO_Input]],MATCH(Calc_EnviroSRES_1[[#This Row],[Cost item]:[Cost item]],Input_ForRateCalc[[Cost item]:[Cost item]],0),MATCH($D$5,Inputs!$H$8:$Q$8,0)))),"-")</f>
        <v>0.28149999999999997</v>
      </c>
    </row>
    <row r="240" spans="3:14" hidden="1" outlineLevel="1" x14ac:dyDescent="0.25">
      <c r="C240" s="35" t="s">
        <v>247</v>
      </c>
      <c r="D240" s="35" t="s">
        <v>66</v>
      </c>
      <c r="E240" s="35" t="s">
        <v>218</v>
      </c>
      <c r="F240" s="18" t="s">
        <v>46</v>
      </c>
      <c r="G240" s="61">
        <f>IFERROR(
IFERROR(INDEX(Calc_CPI_1[[CPI uplift factor]:[CPI uplift factor]],MATCH($C240,Calc_CPI_1[[Cost item]:[Cost item]],0),1),0)+(G238*G239)/1000,"-")</f>
        <v>1.1259999999999997E-2</v>
      </c>
      <c r="H240" s="61">
        <f>IFERROR(
IFERROR(INDEX(Calc_CPI_1[[CPI uplift factor]:[CPI uplift factor]],MATCH($C240,Calc_CPI_1[[Cost item]:[Cost item]],0),1),0)+(H238*H239)/1000,"-")</f>
        <v>1.1259999999999997E-2</v>
      </c>
      <c r="I240" s="61">
        <f>IFERROR(
IFERROR(INDEX(Calc_CPI_1[[CPI uplift factor]:[CPI uplift factor]],MATCH($C240,Calc_CPI_1[[Cost item]:[Cost item]],0),1),0)+(I238*I239)/1000,"-")</f>
        <v>1.1259999999999997E-2</v>
      </c>
      <c r="J240" s="61">
        <f>IFERROR(
IFERROR(INDEX(Calc_CPI_1[[CPI uplift factor]:[CPI uplift factor]],MATCH($C240,Calc_CPI_1[[Cost item]:[Cost item]],0),1),0)+(J238*J239)/1000,"-")</f>
        <v>1.1259999999999997E-2</v>
      </c>
      <c r="K240" s="61">
        <f>IFERROR(
IFERROR(INDEX(Calc_CPI_1[[CPI uplift factor]:[CPI uplift factor]],MATCH($C240,Calc_CPI_1[[Cost item]:[Cost item]],0),1),0)+(K238*K239)/1000,"-")</f>
        <v>1.1259999999999997E-2</v>
      </c>
    </row>
    <row r="241" spans="1:11" hidden="1" outlineLevel="1" x14ac:dyDescent="0.25"/>
    <row r="242" spans="1:11" ht="15.75" hidden="1" outlineLevel="1" collapsed="1" x14ac:dyDescent="0.25">
      <c r="A242" s="1" t="s">
        <v>19</v>
      </c>
      <c r="C242" s="23" t="s">
        <v>248</v>
      </c>
    </row>
    <row r="243" spans="1:11" ht="15.75" hidden="1" outlineLevel="1" x14ac:dyDescent="0.25">
      <c r="C243" s="34" t="s">
        <v>24</v>
      </c>
      <c r="D243" s="34" t="s">
        <v>37</v>
      </c>
      <c r="E243" s="34" t="s">
        <v>38</v>
      </c>
      <c r="F243" s="34" t="s">
        <v>30</v>
      </c>
      <c r="G243" s="49" t="s">
        <v>204</v>
      </c>
      <c r="H243" s="49" t="s">
        <v>205</v>
      </c>
      <c r="I243" s="49" t="s">
        <v>206</v>
      </c>
      <c r="J243" s="49" t="s">
        <v>207</v>
      </c>
      <c r="K243" s="49" t="s">
        <v>208</v>
      </c>
    </row>
    <row r="244" spans="1:11" hidden="1" outlineLevel="1" x14ac:dyDescent="0.25">
      <c r="C244" s="35" t="s">
        <v>52</v>
      </c>
      <c r="D244" s="35" t="s">
        <v>44</v>
      </c>
      <c r="E244" s="18" t="s">
        <v>45</v>
      </c>
      <c r="F244" s="18" t="s">
        <v>46</v>
      </c>
      <c r="G244" s="50" cm="1">
        <f t="array" ref="G244">IFERROR(
(IFERROR(INDEX(Calc_CPI_1[[CPI uplift factor]:[CPI uplift factor]],MATCH($C244,Calc_CPI_1[[Cost item]:[Cost item]],0),1),0)+
INDEX(Input_ForRateCalc[[F-CurrentVDO_InputDate]:[F-NextVDO_Input]],MATCH(Calc_FiT_1[[#This Row],[Cost item]:[Cost item]],Input_ForRateCalc[[Cost item]:[Cost item]],0),MATCH($D$5,Inputs!$H$8:$Q$8,0))),"-")</f>
        <v>10.849248189087444</v>
      </c>
      <c r="H244" s="50" cm="1">
        <f t="array" ref="H244">IFERROR(
(IFERROR(INDEX(Calc_CPI_1[[CPI uplift factor]:[CPI uplift factor]],MATCH($C244,Calc_CPI_1[[Cost item]:[Cost item]],0),1),0)+
INDEX(Input_ForRateCalc[[F-CurrentVDO_InputDate]:[F-NextVDO_Input]],MATCH(Calc_FiT_1[[#This Row],[Cost item]:[Cost item]],Input_ForRateCalc[[Cost item]:[Cost item]],0),MATCH($D$5,Inputs!$H$8:$Q$8,0))),"-")</f>
        <v>10.849248189087444</v>
      </c>
      <c r="I244" s="50" cm="1">
        <f t="array" ref="I244">IFERROR(
(IFERROR(INDEX(Calc_CPI_1[[CPI uplift factor]:[CPI uplift factor]],MATCH($C244,Calc_CPI_1[[Cost item]:[Cost item]],0),1),0)+
INDEX(Input_ForRateCalc[[F-CurrentVDO_InputDate]:[F-NextVDO_Input]],MATCH(Calc_FiT_1[[#This Row],[Cost item]:[Cost item]],Input_ForRateCalc[[Cost item]:[Cost item]],0),MATCH($D$5,Inputs!$H$8:$Q$8,0))),"-")</f>
        <v>10.849248189087444</v>
      </c>
      <c r="J244" s="50" cm="1">
        <f t="array" ref="J244">IFERROR(
(IFERROR(INDEX(Calc_CPI_1[[CPI uplift factor]:[CPI uplift factor]],MATCH($C244,Calc_CPI_1[[Cost item]:[Cost item]],0),1),0)+
INDEX(Input_ForRateCalc[[F-CurrentVDO_InputDate]:[F-NextVDO_Input]],MATCH(Calc_FiT_1[[#This Row],[Cost item]:[Cost item]],Input_ForRateCalc[[Cost item]:[Cost item]],0),MATCH($D$5,Inputs!$H$8:$Q$8,0))),"-")</f>
        <v>10.849248189087444</v>
      </c>
      <c r="K244" s="50" cm="1">
        <f t="array" ref="K244">IFERROR(
(IFERROR(INDEX(Calc_CPI_1[[CPI uplift factor]:[CPI uplift factor]],MATCH($C244,Calc_CPI_1[[Cost item]:[Cost item]],0),1),0)+
INDEX(Input_ForRateCalc[[F-CurrentVDO_InputDate]:[F-NextVDO_Input]],MATCH(Calc_FiT_1[[#This Row],[Cost item]:[Cost item]],Input_ForRateCalc[[Cost item]:[Cost item]],0),MATCH($D$5,Inputs!$H$8:$Q$8,0))),"-")</f>
        <v>10.849248189087444</v>
      </c>
    </row>
    <row r="247" spans="1:11" ht="15.75" x14ac:dyDescent="0.25">
      <c r="A247" s="1" t="s">
        <v>19</v>
      </c>
    </row>
    <row r="249" spans="1:11" ht="15.75" x14ac:dyDescent="0.25">
      <c r="B249"/>
      <c r="C249" s="43" t="s">
        <v>36</v>
      </c>
      <c r="D249" s="83" t="s">
        <v>194</v>
      </c>
    </row>
    <row r="250" spans="1:11" x14ac:dyDescent="0.25">
      <c r="B250"/>
    </row>
    <row r="251" spans="1:11" ht="16.5" thickBot="1" x14ac:dyDescent="0.3">
      <c r="B251" s="7">
        <f ca="1">MAX(B$3:B250)+0.1</f>
        <v>7.7999999999999972</v>
      </c>
      <c r="C251" s="22" t="s">
        <v>202</v>
      </c>
      <c r="D251" s="22"/>
      <c r="E251" s="22"/>
      <c r="F251" s="22"/>
      <c r="G251" s="22"/>
      <c r="H251" s="22"/>
      <c r="I251" s="22"/>
      <c r="J251" s="22"/>
      <c r="K251" s="22"/>
    </row>
    <row r="252" spans="1:11" x14ac:dyDescent="0.25">
      <c r="B252"/>
      <c r="I252" s="74"/>
    </row>
    <row r="253" spans="1:11" ht="15.75" x14ac:dyDescent="0.25">
      <c r="B253"/>
      <c r="C253" s="34" t="s">
        <v>203</v>
      </c>
      <c r="D253" s="34" t="s">
        <v>37</v>
      </c>
      <c r="E253" s="34" t="s">
        <v>38</v>
      </c>
      <c r="F253" s="34" t="s">
        <v>30</v>
      </c>
      <c r="G253" s="49" t="s">
        <v>204</v>
      </c>
      <c r="H253" s="49" t="s">
        <v>205</v>
      </c>
      <c r="I253" s="49" t="s">
        <v>206</v>
      </c>
      <c r="J253" s="49" t="s">
        <v>207</v>
      </c>
      <c r="K253" s="49" t="s">
        <v>208</v>
      </c>
    </row>
    <row r="254" spans="1:11" x14ac:dyDescent="0.25">
      <c r="B254"/>
      <c r="C254" s="18" t="s">
        <v>42</v>
      </c>
      <c r="D254" s="18" t="s">
        <v>44</v>
      </c>
      <c r="E254" s="18" t="s">
        <v>45</v>
      </c>
      <c r="F254" s="18" t="s">
        <v>46</v>
      </c>
      <c r="G254" s="62">
        <f>SUMIFS(Calc_Retail_2[Ausnet],Calc_Retail_2[[Fixed/Variable]:[Fixed/Variable]],$D254,Calc_Retail_2[[Customer type]:[Customer type]],$F254)</f>
        <v>186.09340229965153</v>
      </c>
      <c r="H254" s="62">
        <f>SUMIFS(Calc_Retail_2[Citipower],Calc_Retail_2[[Fixed/Variable]:[Fixed/Variable]],$D254,Calc_Retail_2[[Customer type]:[Customer type]],$F254)</f>
        <v>186.09340229965153</v>
      </c>
      <c r="I254" s="62">
        <f>SUMIFS(Calc_Retail_2[Jemena],Calc_Retail_2[[Fixed/Variable]:[Fixed/Variable]],$D254,Calc_Retail_2[[Customer type]:[Customer type]],$F254)</f>
        <v>186.09340229965153</v>
      </c>
      <c r="J254" s="62">
        <f>SUMIFS(Calc_Retail_2[Powercor],Calc_Retail_2[[Fixed/Variable]:[Fixed/Variable]],$D254,Calc_Retail_2[[Customer type]:[Customer type]],$F254)</f>
        <v>186.09340229965153</v>
      </c>
      <c r="K254" s="62">
        <f>SUMIFS(Calc_Retail_2[United Energy],Calc_Retail_2[[Fixed/Variable]:[Fixed/Variable]],$D254,Calc_Retail_2[[Customer type]:[Customer type]],$F254)</f>
        <v>186.09340229965153</v>
      </c>
    </row>
    <row r="255" spans="1:11" x14ac:dyDescent="0.25">
      <c r="B255"/>
      <c r="C255" s="18" t="s">
        <v>209</v>
      </c>
      <c r="D255" s="18" t="s">
        <v>44</v>
      </c>
      <c r="E255" s="18" t="s">
        <v>45</v>
      </c>
      <c r="F255" s="18" t="s">
        <v>46</v>
      </c>
      <c r="G255" s="66">
        <f>SUMIFS(Calc_OtherCosts_2[Ausnet],Calc_OtherCosts_2[[Fixed/Variable]:[Fixed/Variable]],$D255,Calc_OtherCosts_2[[Customer type]:[Customer type]],$F255)</f>
        <v>3.6958756791579068</v>
      </c>
      <c r="H255" s="62">
        <f>SUMIFS(Calc_OtherCosts_2[Citipower],Calc_OtherCosts_2[[Fixed/Variable]:[Fixed/Variable]],$D255,Calc_OtherCosts_2[[Customer type]:[Customer type]],$F255)</f>
        <v>3.6958756791579068</v>
      </c>
      <c r="I255" s="62">
        <f>SUMIFS(Calc_OtherCosts_2[Jemena],Calc_OtherCosts_2[[Fixed/Variable]:[Fixed/Variable]],$D255,Calc_OtherCosts_2[[Customer type]:[Customer type]],$F255)</f>
        <v>3.6958756791579068</v>
      </c>
      <c r="J255" s="62">
        <f>SUMIFS(Calc_OtherCosts_2[Powercor],Calc_OtherCosts_2[[Fixed/Variable]:[Fixed/Variable]],$D255,Calc_OtherCosts_2[[Customer type]:[Customer type]],$F255)</f>
        <v>3.6958756791579068</v>
      </c>
      <c r="K255" s="62">
        <f>SUMIFS(Calc_OtherCosts_2[United Energy],Calc_OtherCosts_2[[Fixed/Variable]:[Fixed/Variable]],$D255,Calc_OtherCosts_2[[Customer type]:[Customer type]],$F255)</f>
        <v>3.6958756791579068</v>
      </c>
    </row>
    <row r="256" spans="1:11" x14ac:dyDescent="0.25">
      <c r="B256"/>
      <c r="C256" s="18" t="s">
        <v>210</v>
      </c>
      <c r="D256" s="18" t="s">
        <v>44</v>
      </c>
      <c r="E256" s="18" t="s">
        <v>45</v>
      </c>
      <c r="F256" s="18" t="s">
        <v>46</v>
      </c>
      <c r="G256" s="62">
        <f>SUMIFS(Calc_FiT_2[Ausnet],Calc_FiT_2[[Fixed/Variable]:[Fixed/Variable]],$D256,Calc_FiT_2[[Customer type]:[Customer type]],$F256)</f>
        <v>13.337762647243332</v>
      </c>
      <c r="H256" s="62">
        <f>SUMIFS(Calc_FiT_2[Citipower],Calc_FiT_2[[Fixed/Variable]:[Fixed/Variable]],$D256,Calc_FiT_2[[Customer type]:[Customer type]],$F256)</f>
        <v>13.337762647243332</v>
      </c>
      <c r="I256" s="62">
        <f>SUMIFS(Calc_FiT_2[Jemena],Calc_FiT_2[[Fixed/Variable]:[Fixed/Variable]],$D256,Calc_FiT_2[[Customer type]:[Customer type]],$F256)</f>
        <v>13.337762647243332</v>
      </c>
      <c r="J256" s="62">
        <f>SUMIFS(Calc_FiT_2[Powercor],Calc_FiT_2[[Fixed/Variable]:[Fixed/Variable]],$D256,Calc_FiT_2[[Customer type]:[Customer type]],$F256)</f>
        <v>13.337762647243332</v>
      </c>
      <c r="K256" s="62">
        <f>SUMIFS(Calc_FiT_2[United Energy],Calc_FiT_2[[Fixed/Variable]:[Fixed/Variable]],$D256,Calc_FiT_2[[Customer type]:[Customer type]],$F256)</f>
        <v>13.337762647243332</v>
      </c>
    </row>
    <row r="257" spans="2:11" x14ac:dyDescent="0.25">
      <c r="B257"/>
      <c r="C257" s="18" t="s">
        <v>211</v>
      </c>
      <c r="D257" s="18" t="s">
        <v>44</v>
      </c>
      <c r="E257" s="18" t="s">
        <v>45</v>
      </c>
      <c r="F257" s="18" t="s">
        <v>46</v>
      </c>
      <c r="G257" s="62">
        <f>SUMIFS(Calc_NetworkF_2[Ausnet],Calc_NetworkF_2[[Fixed/Variable]:[Fixed/Variable]],$D257,Calc_NetworkF_2[[Customer type]:[Customer type]],$F257)</f>
        <v>63.7</v>
      </c>
      <c r="H257" s="62">
        <f>SUMIFS(Calc_NetworkF_2[Citipower],Calc_NetworkF_2[[Fixed/Variable]:[Fixed/Variable]],$D257,Calc_NetworkF_2[[Customer type]:[Customer type]],$F257)</f>
        <v>59.4</v>
      </c>
      <c r="I257" s="62">
        <f>SUMIFS(Calc_NetworkF_2[Jemena],Calc_NetworkF_2[[Fixed/Variable]:[Fixed/Variable]],$D257,Calc_NetworkF_2[[Customer type]:[Customer type]],$F257)</f>
        <v>54.19</v>
      </c>
      <c r="J257" s="62">
        <f>SUMIFS(Calc_NetworkF_2[Powercor],Calc_NetworkF_2[[Fixed/Variable]:[Fixed/Variable]],$D257,Calc_NetworkF_2[[Customer type]:[Customer type]],$F257)</f>
        <v>58</v>
      </c>
      <c r="K257" s="62">
        <f>SUMIFS(Calc_NetworkF_2[United Energy],Calc_NetworkF_2[[Fixed/Variable]:[Fixed/Variable]],$D257,Calc_NetworkF_2[[Customer type]:[Customer type]],$F257)</f>
        <v>42.92</v>
      </c>
    </row>
    <row r="258" spans="2:11" x14ac:dyDescent="0.25">
      <c r="B258"/>
    </row>
    <row r="259" spans="2:11" ht="15.75" x14ac:dyDescent="0.25">
      <c r="B259"/>
      <c r="C259" s="23" t="s">
        <v>212</v>
      </c>
    </row>
    <row r="260" spans="2:11" ht="15.75" outlineLevel="1" x14ac:dyDescent="0.25">
      <c r="B260"/>
      <c r="C260" s="70" t="s">
        <v>339</v>
      </c>
    </row>
    <row r="261" spans="2:11" outlineLevel="1" x14ac:dyDescent="0.25">
      <c r="B261"/>
      <c r="C261" s="18" t="s">
        <v>222</v>
      </c>
      <c r="D261" s="18" t="s">
        <v>9</v>
      </c>
      <c r="E261" s="18" t="s">
        <v>45</v>
      </c>
      <c r="F261" s="18" t="s">
        <v>31</v>
      </c>
      <c r="G261" s="50">
        <f>SUMIFS(Calc_NetworkF_2[Ausnet],Calc_NetworkF_2[[Cost item]:[Cost item]],$C260,Calc_NetworkF_2[[Customer type]:[Customer type]],$F261)</f>
        <v>111.11</v>
      </c>
      <c r="H261" s="50">
        <f>SUMIFS(Calc_NetworkF_2[Citipower],Calc_NetworkF_2[[Cost item]:[Cost item]],$C260,Calc_NetworkF_2[[Customer type]:[Customer type]],$F261)</f>
        <v>90.009</v>
      </c>
      <c r="I261" s="50">
        <f>SUMIFS(Calc_NetworkF_2[Jemena],Calc_NetworkF_2[[Cost item]:[Cost item]],$C260,Calc_NetworkF_2[[Customer type]:[Customer type]],$F261)</f>
        <v>82.195999999999998</v>
      </c>
      <c r="J261" s="50">
        <f>SUMIFS(Calc_NetworkF_2[Powercor],Calc_NetworkF_2[[Cost item]:[Cost item]],$C260,Calc_NetworkF_2[[Customer type]:[Customer type]],$F261)</f>
        <v>139.97749999999999</v>
      </c>
      <c r="K261" s="50">
        <f>SUMIFS(Calc_NetworkF_2[United Energy],Calc_NetworkF_2[[Cost item]:[Cost item]],$C260,Calc_NetworkF_2[[Customer type]:[Customer type]],$F261)</f>
        <v>80.007999999999996</v>
      </c>
    </row>
    <row r="262" spans="2:11" outlineLevel="1" x14ac:dyDescent="0.25">
      <c r="B262"/>
      <c r="C262" s="18" t="s">
        <v>203</v>
      </c>
      <c r="D262" s="18" t="s">
        <v>9</v>
      </c>
      <c r="E262" s="18" t="s">
        <v>45</v>
      </c>
      <c r="F262" s="18" t="s">
        <v>31</v>
      </c>
      <c r="G262" s="62">
        <f>IF(G261=0,"-",SUMIFS(Calc_Fixed_2[Ausnet],Calc_Fixed_2[Customer type],"All")+SUMIFS(Calc_Fixed_2[Ausnet],Calc_Fixed_2[Customer type],$F262))</f>
        <v>266.82704062605274</v>
      </c>
      <c r="H262" s="62">
        <f>IF(H261=0,"-",SUMIFS(Calc_Fixed_2[Citipower],Calc_Fixed_2[[Customer type]:[Customer type]],"All")+SUMIFS(Calc_Fixed_2[Citipower],Calc_Fixed_2[[Customer type]:[Customer type]],$F263))</f>
        <v>262.52704062605272</v>
      </c>
      <c r="I262" s="62">
        <f>IF(I261=0,"-",SUMIFS(Calc_Fixed_2[Jemena],Calc_Fixed_2[[Customer type]:[Customer type]],"All")+SUMIFS(Calc_Fixed_2[Jemena],Calc_Fixed_2[[Customer type]:[Customer type]],$F263))</f>
        <v>257.31704062605274</v>
      </c>
      <c r="J262" s="62">
        <f>IF(J261=0,"-",SUMIFS(Calc_Fixed_2[Powercor],Calc_Fixed_2[[Customer type]:[Customer type]],"All")+SUMIFS(Calc_Fixed_2[Powercor],Calc_Fixed_2[[Customer type]:[Customer type]],$F263))</f>
        <v>261.12704062605275</v>
      </c>
      <c r="K262" s="62">
        <f>IF(K261=0,"-",SUMIFS(Calc_Fixed_2[United Energy],Calc_Fixed_2[[Customer type]:[Customer type]],"All")+SUMIFS(Calc_Fixed_2[United Energy],Calc_Fixed_2[[Customer type]:[Customer type]],$F263))</f>
        <v>246.04704062605276</v>
      </c>
    </row>
    <row r="263" spans="2:11" outlineLevel="1" x14ac:dyDescent="0.25">
      <c r="B263"/>
      <c r="C263" s="18" t="s">
        <v>139</v>
      </c>
      <c r="D263" s="18" t="s">
        <v>9</v>
      </c>
      <c r="E263" s="18" t="s">
        <v>45</v>
      </c>
      <c r="F263" s="18" t="s">
        <v>31</v>
      </c>
      <c r="G263" s="62" cm="1">
        <f t="array" ref="G263">IF(G261=0,"-",(G261+G262)*Calc_ROM_2[Ausnet])</f>
        <v>22.827397253813587</v>
      </c>
      <c r="H263" s="62" cm="1">
        <f t="array" ref="H263">IF(H261=0,"-",(H261+H262)*Calc_ROM_2[Citipower])</f>
        <v>21.293176853813588</v>
      </c>
      <c r="I263" s="62" cm="1">
        <f t="array" ref="I263">IF(I261=0,"-",(I261+I262)*Calc_ROM_2[Jemena])</f>
        <v>20.50658765381359</v>
      </c>
      <c r="J263" s="62" cm="1">
        <f t="array" ref="J263">IF(J261=0,"-",(J261+J262)*Calc_ROM_2[Powercor])</f>
        <v>24.226714253813586</v>
      </c>
      <c r="K263" s="62" cm="1">
        <f t="array" ref="K263">IF(K261=0,"-",(K261+K262)*Calc_ROM_2[United Energy])</f>
        <v>19.693724453813587</v>
      </c>
    </row>
    <row r="264" spans="2:11" outlineLevel="1" x14ac:dyDescent="0.25">
      <c r="B264"/>
      <c r="C264" s="18" t="s">
        <v>213</v>
      </c>
      <c r="D264" s="18" t="s">
        <v>9</v>
      </c>
      <c r="E264" s="18" t="s">
        <v>45</v>
      </c>
      <c r="F264" s="18" t="s">
        <v>31</v>
      </c>
      <c r="G264" s="62">
        <f>IF(G261=0,"-",(G261+G262+G263)*GST)</f>
        <v>40.076443787986641</v>
      </c>
      <c r="H264" s="62">
        <f>IF(H261=0,"-",(H261+H262+H263)*GST)</f>
        <v>37.382921747986636</v>
      </c>
      <c r="I264" s="62">
        <f>IF(I261=0,"-",(I261+I262+I263)*GST)</f>
        <v>36.001962827986638</v>
      </c>
      <c r="J264" s="62">
        <f>IF(J261=0,"-",(J261+J262+J263)*GST)</f>
        <v>42.533125487986638</v>
      </c>
      <c r="K264" s="62">
        <f>IF(K261=0,"-",(K261+K262+K263)*GST)</f>
        <v>34.57487650798663</v>
      </c>
    </row>
    <row r="265" spans="2:11" outlineLevel="1" x14ac:dyDescent="0.25">
      <c r="B265"/>
      <c r="C265" s="18" t="s">
        <v>214</v>
      </c>
      <c r="D265" s="18" t="s">
        <v>9</v>
      </c>
      <c r="E265" s="18" t="s">
        <v>45</v>
      </c>
      <c r="F265" s="18" t="s">
        <v>31</v>
      </c>
      <c r="G265" s="62">
        <f>IF(G261=0,"-",G261+G262+G263+G264)</f>
        <v>440.84088166785301</v>
      </c>
      <c r="H265" s="62">
        <f t="shared" ref="H265" si="46">IF(H261=0,"-",H261+H262+H263+H264)</f>
        <v>411.21213922785296</v>
      </c>
      <c r="I265" s="62">
        <f t="shared" ref="I265" si="47">IF(I261=0,"-",I261+I262+I263+I264)</f>
        <v>396.021591107853</v>
      </c>
      <c r="J265" s="62">
        <f t="shared" ref="J265" si="48">IF(J261=0,"-",J261+J262+J263+J264)</f>
        <v>467.86438036785302</v>
      </c>
      <c r="K265" s="62">
        <f t="shared" ref="K265" si="49">IF(K261=0,"-",K261+K262+K263+K264)</f>
        <v>380.32364158785293</v>
      </c>
    </row>
    <row r="266" spans="2:11" outlineLevel="1" x14ac:dyDescent="0.25">
      <c r="B266"/>
      <c r="C266" s="18" t="str">
        <f>C260</f>
        <v>Anytime - supply</v>
      </c>
      <c r="D266" s="18" t="s">
        <v>9</v>
      </c>
      <c r="E266" s="18" t="s">
        <v>45</v>
      </c>
      <c r="F266" s="18" t="s">
        <v>31</v>
      </c>
      <c r="G266" s="63">
        <f>IF(G261=0,"-",G265/DiY)</f>
        <v>1.2077832374461726</v>
      </c>
      <c r="H266" s="63">
        <f>IF(H261=0,"-",H265/DiY)</f>
        <v>1.1266086006242546</v>
      </c>
      <c r="I266" s="63">
        <f>IF(I261=0,"-",I265/DiY)</f>
        <v>1.0849906605694604</v>
      </c>
      <c r="J266" s="63">
        <f>IF(J261=0,"-",J265/DiY)</f>
        <v>1.2818202201858986</v>
      </c>
      <c r="K266" s="63">
        <f>IF(K261=0,"-",K265/DiY)</f>
        <v>1.0419825796927478</v>
      </c>
    </row>
    <row r="267" spans="2:11" hidden="1" outlineLevel="1" x14ac:dyDescent="0.25">
      <c r="B267"/>
      <c r="G267" s="89" t="e" cm="1">
        <f t="array" ref="G267">IF(G261=0,"-",
IF($D$249=#REF!,
IF(G266=INDEX(#REF!,MATCH(Calc_Rates!$C266&amp;"_"&amp;Calc_Rates!$F266,#REF!,0),MATCH(Calc_Rates!G$9,#REF!,0)),0,1),
IF(ROUND(G266,8)=ROUND((((
SUMIFS(Calc_NetworkF_2[Ausnet],Calc_NetworkF_2[Cost item],$C260,Calc_NetworkF_2[Customer type],$F261)+
SUMIFS(Calc_Fixed_2[Ausnet],Calc_Fixed_2[Customer type],Calc_Rates!$F266)+
SUMIFS(Calc_Fixed_2[Ausnet],Calc_Fixed_2[Customer type],"All"))*(1+Calc_ROM_2[Ausnet]))*(1+GST))/DiY,8),0,1)))</f>
        <v>#REF!</v>
      </c>
      <c r="H267" s="89" t="e" cm="1">
        <f t="array" ref="H267">IF(H261=0,"-",
IF($D$249=#REF!,
IF(H266=INDEX(#REF!,MATCH(Calc_Rates!$C266&amp;"_"&amp;Calc_Rates!$F266,#REF!,0),MATCH(Calc_Rates!H$9,#REF!,0)),0,1),
IF(ROUND(H266,8)=ROUND((((
SUMIFS(Calc_NetworkF_2[Citipower],Calc_NetworkF_2[Cost item],$C260,Calc_NetworkF_2[Customer type],$F261)+
SUMIFS(Calc_Fixed_2[Citipower],Calc_Fixed_2[Customer type],Calc_Rates!$F266)+
SUMIFS(Calc_Fixed_2[Citipower],Calc_Fixed_2[Customer type],"All"))*(1+Calc_ROM_2[Citipower]))*(1+GST))/DiY,8),0,1)))</f>
        <v>#REF!</v>
      </c>
      <c r="I267" s="89" t="e" cm="1">
        <f t="array" ref="I267">IF(I261=0,"-",
IF($D$249=#REF!,
IF(I266=INDEX(#REF!,MATCH(Calc_Rates!$C266&amp;"_"&amp;Calc_Rates!$F266,#REF!,0),MATCH(Calc_Rates!I$9,#REF!,0)),0,1),
IF(ROUND(I266,8)=ROUND((((
SUMIFS(Calc_NetworkF_2[Jemena],Calc_NetworkF_2[Cost item],$C260,Calc_NetworkF_2[Customer type],$F261)+
SUMIFS(Calc_Fixed_2[Jemena],Calc_Fixed_2[Customer type],Calc_Rates!$F266)+
SUMIFS(Calc_Fixed_2[Jemena],Calc_Fixed_2[Customer type],"All"))*(1+Calc_ROM_2[Jemena]))*(1+GST))/DiY,8),0,1)))</f>
        <v>#REF!</v>
      </c>
      <c r="J267" s="89" t="e" cm="1">
        <f t="array" ref="J267">IF(J261=0,"-",
IF($D$249=#REF!,
IF(J266=INDEX(#REF!,MATCH(Calc_Rates!$C266&amp;"_"&amp;Calc_Rates!$F266,#REF!,0),MATCH(Calc_Rates!J$9,#REF!,0)),0,1),
IF(ROUND(J266,8)=ROUND((((
SUMIFS(Calc_NetworkF_2[Powercor],Calc_NetworkF_2[[Cost item]:[Cost item]],$C260,Calc_NetworkF_2[[Customer type]:[Customer type]],$F261)+
SUMIFS(Calc_Fixed_2[Powercor],Calc_Fixed_2[[Customer type]:[Customer type]],Calc_Rates!$F266)+
SUMIFS(Calc_Fixed_2[Powercor],Calc_Fixed_2[[Customer type]:[Customer type]],"All"))*(1+Calc_ROM_2[Powercor]))*(1+GST))/DiY,8),0,1)))</f>
        <v>#REF!</v>
      </c>
      <c r="K267" s="89" t="e" cm="1">
        <f t="array" ref="K267">IF(K261=0,"-",
IF($D$249=#REF!,
IF(K266=INDEX(#REF!,MATCH(Calc_Rates!$C266&amp;"_"&amp;Calc_Rates!$F266,#REF!,0),MATCH(Calc_Rates!K$9,#REF!,0)),0,1),
IF(ROUND(K266,8)=ROUND((((
SUMIFS(Calc_NetworkF_2[United Energy],Calc_NetworkF_2[[Cost item]:[Cost item]],$C260,Calc_NetworkF_2[[Customer type]:[Customer type]],$F261)+
SUMIFS(Calc_Fixed_2[United Energy],Calc_Fixed_2[[Customer type]:[Customer type]],Calc_Rates!$F266)+
SUMIFS(Calc_Fixed_2[United Energy],Calc_Fixed_2[[Customer type]:[Customer type]],"All"))*(1+Calc_ROM_2[United Energy]))*(1+GST))/DiY,8),0,1)))</f>
        <v>#REF!</v>
      </c>
    </row>
    <row r="268" spans="2:11" ht="15.75" outlineLevel="1" x14ac:dyDescent="0.25">
      <c r="B268"/>
      <c r="C268" s="70" t="s">
        <v>340</v>
      </c>
    </row>
    <row r="269" spans="2:11" outlineLevel="1" x14ac:dyDescent="0.25">
      <c r="B269"/>
      <c r="C269" s="18" t="s">
        <v>222</v>
      </c>
      <c r="D269" s="18" t="s">
        <v>9</v>
      </c>
      <c r="E269" s="18" t="s">
        <v>45</v>
      </c>
      <c r="F269" s="18" t="s">
        <v>31</v>
      </c>
      <c r="G269" s="50">
        <f>SUMIFS(Calc_NetworkF_2[Ausnet],Calc_NetworkF_2[[Cost item]:[Cost item]],$C268,Calc_NetworkF_2[[Customer type]:[Customer type]],$F269)</f>
        <v>111.11</v>
      </c>
      <c r="H269" s="50">
        <f>SUMIFS(Calc_NetworkF_2[Citipower],Calc_NetworkF_2[[Cost item]:[Cost item]],$C268,Calc_NetworkF_2[[Customer type]:[Customer type]],$F269)</f>
        <v>90.009</v>
      </c>
      <c r="I269" s="50">
        <f>SUMIFS(Calc_NetworkF_2[Jemena],Calc_NetworkF_2[[Cost item]:[Cost item]],$C268,Calc_NetworkF_2[[Customer type]:[Customer type]],$F269)</f>
        <v>82.195999999999998</v>
      </c>
      <c r="J269" s="50">
        <f>SUMIFS(Calc_NetworkF_2[Powercor],Calc_NetworkF_2[[Cost item]:[Cost item]],$C268,Calc_NetworkF_2[[Customer type]:[Customer type]],$F269)</f>
        <v>139.97749999999999</v>
      </c>
      <c r="K269" s="50">
        <f>SUMIFS(Calc_NetworkF_2[United Energy],Calc_NetworkF_2[[Cost item]:[Cost item]],$C268,Calc_NetworkF_2[[Customer type]:[Customer type]],$F269)</f>
        <v>80.007999999999996</v>
      </c>
    </row>
    <row r="270" spans="2:11" outlineLevel="1" x14ac:dyDescent="0.25">
      <c r="B270"/>
      <c r="C270" s="18" t="s">
        <v>203</v>
      </c>
      <c r="D270" s="18" t="s">
        <v>9</v>
      </c>
      <c r="E270" s="18" t="s">
        <v>45</v>
      </c>
      <c r="F270" s="18" t="s">
        <v>31</v>
      </c>
      <c r="G270" s="62">
        <f>IF(G269=0,"-",SUMIFS(Calc_Fixed_2[Ausnet],Calc_Fixed_2[[Customer type]:[Customer type]],"All")+SUMIFS(Calc_Fixed_2[Ausnet],Calc_Fixed_2[[Customer type]:[Customer type]],$F270))</f>
        <v>266.82704062605274</v>
      </c>
      <c r="H270" s="62">
        <f>IF(H269=0,"-",SUMIFS(Calc_Fixed_2[Citipower],Calc_Fixed_2[[Customer type]:[Customer type]],"All")+SUMIFS(Calc_Fixed_2[Citipower],Calc_Fixed_2[[Customer type]:[Customer type]],$F271))</f>
        <v>262.52704062605272</v>
      </c>
      <c r="I270" s="62">
        <f>IF(I269=0,"-",SUMIFS(Calc_Fixed_2[Jemena],Calc_Fixed_2[[Customer type]:[Customer type]],"All")+SUMIFS(Calc_Fixed_2[Jemena],Calc_Fixed_2[[Customer type]:[Customer type]],$F271))</f>
        <v>257.31704062605274</v>
      </c>
      <c r="J270" s="62">
        <f>IF(J269=0,"-",SUMIFS(Calc_Fixed_2[Powercor],Calc_Fixed_2[[Customer type]:[Customer type]],"All")+SUMIFS(Calc_Fixed_2[Powercor],Calc_Fixed_2[[Customer type]:[Customer type]],$F271))</f>
        <v>261.12704062605275</v>
      </c>
      <c r="K270" s="62">
        <f>IF(K269=0,"-",SUMIFS(Calc_Fixed_2[United Energy],Calc_Fixed_2[[Customer type]:[Customer type]],"All")+SUMIFS(Calc_Fixed_2[United Energy],Calc_Fixed_2[[Customer type]:[Customer type]],$F271))</f>
        <v>246.04704062605276</v>
      </c>
    </row>
    <row r="271" spans="2:11" outlineLevel="1" x14ac:dyDescent="0.25">
      <c r="B271"/>
      <c r="C271" s="18" t="s">
        <v>139</v>
      </c>
      <c r="D271" s="18" t="s">
        <v>9</v>
      </c>
      <c r="E271" s="18" t="s">
        <v>45</v>
      </c>
      <c r="F271" s="18" t="s">
        <v>31</v>
      </c>
      <c r="G271" s="62" cm="1">
        <f t="array" ref="G271">IF(G269=0,"-",(G269+G270)*Calc_ROM_2[Ausnet])</f>
        <v>22.827397253813587</v>
      </c>
      <c r="H271" s="62" cm="1">
        <f t="array" ref="H271">IF(H269=0,"-",(H269+H270)*Calc_ROM_2[Citipower])</f>
        <v>21.293176853813588</v>
      </c>
      <c r="I271" s="62" cm="1">
        <f t="array" ref="I271">IF(I269=0,"-",(I269+I270)*Calc_ROM_2[Jemena])</f>
        <v>20.50658765381359</v>
      </c>
      <c r="J271" s="62" cm="1">
        <f t="array" ref="J271">IF(J269=0,"-",(J269+J270)*Calc_ROM_2[Powercor])</f>
        <v>24.226714253813586</v>
      </c>
      <c r="K271" s="62" cm="1">
        <f t="array" ref="K271">IF(K269=0,"-",(K269+K270)*Calc_ROM_2[United Energy])</f>
        <v>19.693724453813587</v>
      </c>
    </row>
    <row r="272" spans="2:11" outlineLevel="1" x14ac:dyDescent="0.25">
      <c r="B272"/>
      <c r="C272" s="18" t="s">
        <v>213</v>
      </c>
      <c r="D272" s="18" t="s">
        <v>9</v>
      </c>
      <c r="E272" s="18" t="s">
        <v>45</v>
      </c>
      <c r="F272" s="18" t="s">
        <v>31</v>
      </c>
      <c r="G272" s="62">
        <f>IF(G269=0,"-",(G269+G270+G271)*GST)</f>
        <v>40.076443787986641</v>
      </c>
      <c r="H272" s="62">
        <f>IF(H269=0,"-",(H269+H270+H271)*GST)</f>
        <v>37.382921747986636</v>
      </c>
      <c r="I272" s="62">
        <f>IF(I269=0,"-",(I269+I270+I271)*GST)</f>
        <v>36.001962827986638</v>
      </c>
      <c r="J272" s="62">
        <f>IF(J269=0,"-",(J269+J270+J271)*GST)</f>
        <v>42.533125487986638</v>
      </c>
      <c r="K272" s="62">
        <f>IF(K269=0,"-",(K269+K270+K271)*GST)</f>
        <v>34.57487650798663</v>
      </c>
    </row>
    <row r="273" spans="2:11" outlineLevel="1" x14ac:dyDescent="0.25">
      <c r="B273"/>
      <c r="C273" s="18" t="s">
        <v>214</v>
      </c>
      <c r="D273" s="18" t="s">
        <v>9</v>
      </c>
      <c r="E273" s="18" t="s">
        <v>45</v>
      </c>
      <c r="F273" s="18" t="s">
        <v>31</v>
      </c>
      <c r="G273" s="62">
        <f>IF(G269=0,"-",G269+G270+G271+G272)</f>
        <v>440.84088166785301</v>
      </c>
      <c r="H273" s="62">
        <f t="shared" ref="H273" si="50">IF(H269=0,"-",H269+H270+H271+H272)</f>
        <v>411.21213922785296</v>
      </c>
      <c r="I273" s="62">
        <f t="shared" ref="I273" si="51">IF(I269=0,"-",I269+I270+I271+I272)</f>
        <v>396.021591107853</v>
      </c>
      <c r="J273" s="62">
        <f t="shared" ref="J273" si="52">IF(J269=0,"-",J269+J270+J271+J272)</f>
        <v>467.86438036785302</v>
      </c>
      <c r="K273" s="62">
        <f t="shared" ref="K273" si="53">IF(K269=0,"-",K269+K270+K271+K272)</f>
        <v>380.32364158785293</v>
      </c>
    </row>
    <row r="274" spans="2:11" outlineLevel="1" x14ac:dyDescent="0.25">
      <c r="B274"/>
      <c r="C274" s="18" t="str">
        <f>C268</f>
        <v>TOU - supply</v>
      </c>
      <c r="D274" s="18" t="s">
        <v>9</v>
      </c>
      <c r="E274" s="18" t="s">
        <v>45</v>
      </c>
      <c r="F274" s="18" t="s">
        <v>31</v>
      </c>
      <c r="G274" s="63">
        <f>IF(G269=0,"-",G273/DiY)</f>
        <v>1.2077832374461726</v>
      </c>
      <c r="H274" s="63">
        <f>IF(H269=0,"-",H273/DiY)</f>
        <v>1.1266086006242546</v>
      </c>
      <c r="I274" s="63">
        <f>IF(I269=0,"-",I273/DiY)</f>
        <v>1.0849906605694604</v>
      </c>
      <c r="J274" s="63">
        <f>IF(J269=0,"-",J273/DiY)</f>
        <v>1.2818202201858986</v>
      </c>
      <c r="K274" s="63">
        <f>IF(K269=0,"-",K273/DiY)</f>
        <v>1.0419825796927478</v>
      </c>
    </row>
    <row r="275" spans="2:11" hidden="1" outlineLevel="1" x14ac:dyDescent="0.25">
      <c r="B275"/>
      <c r="G275" s="89" t="e" cm="1">
        <f t="array" ref="G275">IF(G269=0,"-",
IF($D$249=#REF!,
IF(G274=INDEX(#REF!,MATCH(Calc_Rates!$C274&amp;"_"&amp;Calc_Rates!$F274,#REF!,0),MATCH(Calc_Rates!G$9,#REF!,0)),0,1),
IF(ROUND(G274,8)=ROUND((((
SUMIFS(Calc_NetworkF_2[Ausnet],Calc_NetworkF_2[Cost item],$C268,Calc_NetworkF_2[Customer type],$F269)+
SUMIFS(Calc_Fixed_2[Ausnet],Calc_Fixed_2[Customer type],Calc_Rates!$F274)+
SUMIFS(Calc_Fixed_2[Ausnet],Calc_Fixed_2[Customer type],"All"))*(1+Calc_ROM_2[Ausnet]))*(1+GST))/DiY,8),0,1)))</f>
        <v>#REF!</v>
      </c>
      <c r="H275" s="89" t="e" cm="1">
        <f t="array" ref="H275">IF(H269=0,"-",
IF($D$249=#REF!,
IF(H274=INDEX(#REF!,MATCH(Calc_Rates!$C274&amp;"_"&amp;Calc_Rates!$F274,#REF!,0),MATCH(Calc_Rates!H$9,#REF!,0)),0,1),
IF(ROUND(H274,8)=ROUND((((
SUMIFS(Calc_NetworkF_2[Citipower],Calc_NetworkF_2[Cost item],$C268,Calc_NetworkF_2[Customer type],$F269)+
SUMIFS(Calc_Fixed_2[Citipower],Calc_Fixed_2[Customer type],Calc_Rates!$F274)+
SUMIFS(Calc_Fixed_2[Citipower],Calc_Fixed_2[Customer type],"All"))*(1+Calc_ROM_2[Citipower]))*(1+GST))/DiY,8),0,1)))</f>
        <v>#REF!</v>
      </c>
      <c r="I275" s="89" t="e" cm="1">
        <f t="array" ref="I275">IF(I269=0,"-",
IF($D$249=#REF!,
IF(I274=INDEX(#REF!,MATCH(Calc_Rates!$C274&amp;"_"&amp;Calc_Rates!$F274,#REF!,0),MATCH(Calc_Rates!I$9,#REF!,0)),0,1),
IF(ROUND(I274,8)=ROUND((((
SUMIFS(Calc_NetworkF_2[Jemena],Calc_NetworkF_2[[Cost item]:[Cost item]],$C268,Calc_NetworkF_2[[Customer type]:[Customer type]],$F269)+
SUMIFS(Calc_Fixed_2[Jemena],Calc_Fixed_2[[Customer type]:[Customer type]],Calc_Rates!$F274)+
SUMIFS(Calc_Fixed_2[Jemena],Calc_Fixed_2[[Customer type]:[Customer type]],"All"))*(1+Calc_ROM_2[Jemena]))*(1+GST))/DiY,8),0,1)))</f>
        <v>#REF!</v>
      </c>
      <c r="J275" s="89" t="e" cm="1">
        <f t="array" ref="J275">IF(J269=0,"-",
IF($D$249=#REF!,
IF(J274=INDEX(#REF!,MATCH(Calc_Rates!$C274&amp;"_"&amp;Calc_Rates!$F274,#REF!,0),MATCH(Calc_Rates!J$9,#REF!,0)),0,1),
IF(ROUND(J274,8)=ROUND((((
SUMIFS(Calc_NetworkF_2[Powercor],Calc_NetworkF_2[[Cost item]:[Cost item]],$C268,Calc_NetworkF_2[[Customer type]:[Customer type]],$F269)+
SUMIFS(Calc_Fixed_2[Powercor],Calc_Fixed_2[[Customer type]:[Customer type]],Calc_Rates!$F274)+
SUMIFS(Calc_Fixed_2[Powercor],Calc_Fixed_2[[Customer type]:[Customer type]],"All"))*(1+Calc_ROM_2[Powercor]))*(1+GST))/DiY,8),0,1)))</f>
        <v>#REF!</v>
      </c>
      <c r="K275" s="89" t="e" cm="1">
        <f t="array" ref="K275">IF(K269=0,"-",
IF($D$249=#REF!,
IF(K274=INDEX(#REF!,MATCH(Calc_Rates!$C274&amp;"_"&amp;Calc_Rates!$F274,#REF!,0),MATCH(Calc_Rates!K$9,#REF!,0)),0,1),
IF(ROUND(K274,8)=ROUND((((
SUMIFS(Calc_NetworkF_2[United Energy],Calc_NetworkF_2[[Cost item]:[Cost item]],$C268,Calc_NetworkF_2[[Customer type]:[Customer type]],$F269)+
SUMIFS(Calc_Fixed_2[United Energy],Calc_Fixed_2[[Customer type]:[Customer type]],Calc_Rates!$F274)+
SUMIFS(Calc_Fixed_2[United Energy],Calc_Fixed_2[[Customer type]:[Customer type]],"All"))*(1+Calc_ROM_2[United Energy]))*(1+GST))/DiY,8),0,1)))</f>
        <v>#REF!</v>
      </c>
    </row>
    <row r="276" spans="2:11" ht="15.75" x14ac:dyDescent="0.25">
      <c r="B276"/>
      <c r="C276" s="23" t="s">
        <v>215</v>
      </c>
    </row>
    <row r="277" spans="2:11" ht="15.75" outlineLevel="1" x14ac:dyDescent="0.25">
      <c r="B277"/>
      <c r="C277" s="70" t="s">
        <v>339</v>
      </c>
    </row>
    <row r="278" spans="2:11" outlineLevel="1" x14ac:dyDescent="0.25">
      <c r="B278"/>
      <c r="C278" s="18" t="s">
        <v>222</v>
      </c>
      <c r="D278" s="18" t="s">
        <v>9</v>
      </c>
      <c r="E278" s="18" t="s">
        <v>45</v>
      </c>
      <c r="F278" s="18" t="s">
        <v>32</v>
      </c>
      <c r="G278" s="50">
        <f>SUMIFS(Calc_NetworkF_2[Ausnet],Calc_NetworkF_2[[Cost item]:[Cost item]],$C277,Calc_NetworkF_2[[Customer type]:[Customer type]],$F278)</f>
        <v>111.11</v>
      </c>
      <c r="H278" s="50">
        <f>SUMIFS(Calc_NetworkF_2[Citipower],Calc_NetworkF_2[[Cost item]:[Cost item]],$C277,Calc_NetworkF_2[[Customer type]:[Customer type]],$F278)</f>
        <v>160.01599999999999</v>
      </c>
      <c r="I278" s="50">
        <f>SUMIFS(Calc_NetworkF_2[Jemena],Calc_NetworkF_2[[Cost item]:[Cost item]],$C277,Calc_NetworkF_2[[Customer type]:[Customer type]],$F278)</f>
        <v>134.46600000000001</v>
      </c>
      <c r="J278" s="50">
        <f>SUMIFS(Calc_NetworkF_2[Powercor],Calc_NetworkF_2[[Cost item]:[Cost item]],$C277,Calc_NetworkF_2[[Customer type]:[Customer type]],$F278)</f>
        <v>179.98150000000001</v>
      </c>
      <c r="K278" s="50">
        <f>SUMIFS(Calc_NetworkF_2[United Energy],Calc_NetworkF_2[[Cost item]:[Cost item]],$C277,Calc_NetworkF_2[[Customer type]:[Customer type]],$F278)</f>
        <v>120.01199999999999</v>
      </c>
    </row>
    <row r="279" spans="2:11" outlineLevel="1" x14ac:dyDescent="0.25">
      <c r="B279"/>
      <c r="C279" s="18" t="s">
        <v>203</v>
      </c>
      <c r="D279" s="18" t="s">
        <v>9</v>
      </c>
      <c r="E279" s="18" t="s">
        <v>45</v>
      </c>
      <c r="F279" s="18" t="s">
        <v>32</v>
      </c>
      <c r="G279" s="62">
        <f>IF(G278=0,"-",SUMIFS(Calc_Fixed_2[Ausnet],Calc_Fixed_2[[Customer type]:[Customer type]],"All")+SUMIFS(Calc_Fixed_2[Ausnet],Calc_Fixed_2[[Customer type]:[Customer type]],$F279))</f>
        <v>266.82704062605274</v>
      </c>
      <c r="H279" s="62">
        <f>IF(H278=0,"-",SUMIFS(Calc_Fixed_2[Citipower],Calc_Fixed_2[[Customer type]:[Customer type]],"All")+SUMIFS(Calc_Fixed_2[Citipower],Calc_Fixed_2[[Customer type]:[Customer type]],$F280))</f>
        <v>262.52704062605272</v>
      </c>
      <c r="I279" s="62">
        <f>IF(I278=0,"-",SUMIFS(Calc_Fixed_2[Jemena],Calc_Fixed_2[[Customer type]:[Customer type]],"All")+SUMIFS(Calc_Fixed_2[Jemena],Calc_Fixed_2[[Customer type]:[Customer type]],$F280))</f>
        <v>257.31704062605274</v>
      </c>
      <c r="J279" s="62">
        <f>IF(J278=0,"-",SUMIFS(Calc_Fixed_2[Powercor],Calc_Fixed_2[[Customer type]:[Customer type]],"All")+SUMIFS(Calc_Fixed_2[Powercor],Calc_Fixed_2[[Customer type]:[Customer type]],$F280))</f>
        <v>261.12704062605275</v>
      </c>
      <c r="K279" s="62">
        <f>IF(K278=0,"-",SUMIFS(Calc_Fixed_2[United Energy],Calc_Fixed_2[[Customer type]:[Customer type]],"All")+SUMIFS(Calc_Fixed_2[United Energy],Calc_Fixed_2[[Customer type]:[Customer type]],$F280))</f>
        <v>246.04704062605276</v>
      </c>
    </row>
    <row r="280" spans="2:11" outlineLevel="1" x14ac:dyDescent="0.25">
      <c r="B280"/>
      <c r="C280" s="18" t="s">
        <v>139</v>
      </c>
      <c r="D280" s="18" t="s">
        <v>9</v>
      </c>
      <c r="E280" s="18" t="s">
        <v>45</v>
      </c>
      <c r="F280" s="18" t="s">
        <v>32</v>
      </c>
      <c r="G280" s="62" cm="1">
        <f t="array" ref="G280">IF(G278=0,"-",(G278+G279)*Calc_ROM_2[Ausnet])</f>
        <v>22.827397253813587</v>
      </c>
      <c r="H280" s="62" cm="1">
        <f t="array" ref="H280">IF(H278=0,"-",(H278+H279)*Calc_ROM_2[Citipower])</f>
        <v>25.521599653813588</v>
      </c>
      <c r="I280" s="62" cm="1">
        <f t="array" ref="I280">IF(I278=0,"-",(I278+I279)*Calc_ROM_2[Jemena])</f>
        <v>23.663695653813587</v>
      </c>
      <c r="J280" s="62" cm="1">
        <f t="array" ref="J280">IF(J278=0,"-",(J278+J279)*Calc_ROM_2[Powercor])</f>
        <v>26.642955853813589</v>
      </c>
      <c r="K280" s="62" cm="1">
        <f t="array" ref="K280">IF(K278=0,"-",(K278+K279)*Calc_ROM_2[United Energy])</f>
        <v>22.109966053813586</v>
      </c>
    </row>
    <row r="281" spans="2:11" outlineLevel="1" x14ac:dyDescent="0.25">
      <c r="B281"/>
      <c r="C281" s="18" t="s">
        <v>213</v>
      </c>
      <c r="D281" s="18" t="s">
        <v>9</v>
      </c>
      <c r="E281" s="18" t="s">
        <v>45</v>
      </c>
      <c r="F281" s="18" t="s">
        <v>32</v>
      </c>
      <c r="G281" s="62">
        <f>IF(G278=0,"-",(G278+G279+G280)*GST)</f>
        <v>40.076443787986641</v>
      </c>
      <c r="H281" s="62">
        <f>IF(H278=0,"-",(H278+H279+H280)*GST)</f>
        <v>44.806464027986635</v>
      </c>
      <c r="I281" s="62">
        <f>IF(I278=0,"-",(I278+I279+I280)*GST)</f>
        <v>41.54467362798664</v>
      </c>
      <c r="J281" s="62">
        <f>IF(J278=0,"-",(J278+J279+J280)*GST)</f>
        <v>46.775149647986638</v>
      </c>
      <c r="K281" s="62">
        <f>IF(K278=0,"-",(K278+K279+K280)*GST)</f>
        <v>38.816900667986637</v>
      </c>
    </row>
    <row r="282" spans="2:11" outlineLevel="1" x14ac:dyDescent="0.25">
      <c r="B282"/>
      <c r="C282" s="18" t="s">
        <v>214</v>
      </c>
      <c r="D282" s="18" t="s">
        <v>9</v>
      </c>
      <c r="E282" s="18" t="s">
        <v>45</v>
      </c>
      <c r="F282" s="18" t="s">
        <v>32</v>
      </c>
      <c r="G282" s="62">
        <f>IF(G278=0,"-",G278+G279+G280+G281)</f>
        <v>440.84088166785301</v>
      </c>
      <c r="H282" s="62">
        <f t="shared" ref="H282" si="54">IF(H278=0,"-",H278+H279+H280+H281)</f>
        <v>492.87110430785299</v>
      </c>
      <c r="I282" s="62">
        <f t="shared" ref="I282" si="55">IF(I278=0,"-",I278+I279+I280+I281)</f>
        <v>456.99140990785298</v>
      </c>
      <c r="J282" s="62">
        <f t="shared" ref="J282" si="56">IF(J278=0,"-",J278+J279+J280+J281)</f>
        <v>514.52664612785304</v>
      </c>
      <c r="K282" s="62">
        <f t="shared" ref="K282" si="57">IF(K278=0,"-",K278+K279+K280+K281)</f>
        <v>426.98590734785301</v>
      </c>
    </row>
    <row r="283" spans="2:11" outlineLevel="1" x14ac:dyDescent="0.25">
      <c r="B283"/>
      <c r="C283" s="18" t="str">
        <f>C277</f>
        <v>Anytime - supply</v>
      </c>
      <c r="D283" s="18" t="s">
        <v>9</v>
      </c>
      <c r="E283" s="18" t="s">
        <v>45</v>
      </c>
      <c r="F283" s="18" t="s">
        <v>32</v>
      </c>
      <c r="G283" s="63">
        <f>IF(G278=0,"-",G282/DiY)</f>
        <v>1.2077832374461726</v>
      </c>
      <c r="H283" s="63">
        <f>IF(H278=0,"-",H282/DiY)</f>
        <v>1.3503317926242548</v>
      </c>
      <c r="I283" s="63">
        <f>IF(I278=0,"-",I282/DiY)</f>
        <v>1.2520312600215151</v>
      </c>
      <c r="J283" s="63">
        <f>IF(J278=0,"-",J282/DiY)</f>
        <v>1.4096620441858987</v>
      </c>
      <c r="K283" s="63">
        <f>IF(K278=0,"-",K282/DiY)</f>
        <v>1.1698244036927481</v>
      </c>
    </row>
    <row r="284" spans="2:11" hidden="1" outlineLevel="1" x14ac:dyDescent="0.25">
      <c r="B284"/>
      <c r="G284" s="89" t="e" cm="1">
        <f t="array" ref="G284">IF(G278=0,"-",
IF($D$249=#REF!,
IF(G283=INDEX(#REF!,MATCH(Calc_Rates!$C283&amp;"_"&amp;Calc_Rates!$F283,#REF!,0),MATCH(Calc_Rates!G$9,#REF!,0)),0,1),
IF(ROUND(G283,8)=ROUND((((
SUMIFS(Calc_NetworkF_2[Ausnet],Calc_NetworkF_2[Cost item],$C277,Calc_NetworkF_2[Customer type],$F278)+
SUMIFS(Calc_Fixed_2[Ausnet],Calc_Fixed_2[Customer type],Calc_Rates!$F283)+
SUMIFS(Calc_Fixed_2[Ausnet],Calc_Fixed_2[Customer type],"All"))*(1+Calc_ROM_2[Ausnet]))*(1+GST))/DiY,8),0,1)))</f>
        <v>#REF!</v>
      </c>
      <c r="H284" s="89" t="e" cm="1">
        <f t="array" ref="H284">IF(H278=0,"-",
IF($D$249=#REF!,
IF(H283=INDEX(#REF!,MATCH(Calc_Rates!$C283&amp;"_"&amp;Calc_Rates!$F283,#REF!,0),MATCH(Calc_Rates!H$9,#REF!,0)),0,1),
IF(ROUND(H283,8)=ROUND((((
SUMIFS(Calc_NetworkF_2[Citipower],Calc_NetworkF_2[Cost item],$C277,Calc_NetworkF_2[Customer type],$F278)+
SUMIFS(Calc_Fixed_2[Citipower],Calc_Fixed_2[Customer type],Calc_Rates!$F283)+
SUMIFS(Calc_Fixed_2[Citipower],Calc_Fixed_2[Customer type],"All"))*(1+Calc_ROM_2[Citipower]))*(1+GST))/DiY,8),0,1)))</f>
        <v>#REF!</v>
      </c>
      <c r="I284" s="89" t="e" cm="1">
        <f t="array" ref="I284">IF(I278=0,"-",
IF($D$249=#REF!,
IF(I283=INDEX(#REF!,MATCH(Calc_Rates!$C283&amp;"_"&amp;Calc_Rates!$F283,#REF!,0),MATCH(Calc_Rates!I$9,#REF!,0)),0,1),
IF(ROUND(I283,8)=ROUND((((
SUMIFS(Calc_NetworkF_2[Jemena],Calc_NetworkF_2[[Cost item]:[Cost item]],$C277,Calc_NetworkF_2[[Customer type]:[Customer type]],$F278)+
SUMIFS(Calc_Fixed_2[Jemena],Calc_Fixed_2[[Customer type]:[Customer type]],Calc_Rates!$F283)+
SUMIFS(Calc_Fixed_2[Jemena],Calc_Fixed_2[[Customer type]:[Customer type]],"All"))*(1+Calc_ROM_2[Jemena]))*(1+GST))/DiY,8),0,1)))</f>
        <v>#REF!</v>
      </c>
      <c r="J284" s="89" t="e" cm="1">
        <f t="array" ref="J284">IF(J278=0,"-",
IF($D$249=#REF!,
IF(J283=INDEX(#REF!,MATCH(Calc_Rates!$C283&amp;"_"&amp;Calc_Rates!$F283,#REF!,0),MATCH(Calc_Rates!J$9,#REF!,0)),0,1),
IF(ROUND(J283,8)=ROUND((((
SUMIFS(Calc_NetworkF_2[Powercor],Calc_NetworkF_2[[Cost item]:[Cost item]],$C277,Calc_NetworkF_2[[Customer type]:[Customer type]],$F278)+
SUMIFS(Calc_Fixed_2[Powercor],Calc_Fixed_2[[Customer type]:[Customer type]],Calc_Rates!$F283)+
SUMIFS(Calc_Fixed_2[Powercor],Calc_Fixed_2[[Customer type]:[Customer type]],"All"))*(1+Calc_ROM_2[Powercor]))*(1+GST))/DiY,8),0,1)))</f>
        <v>#REF!</v>
      </c>
      <c r="K284" s="89" t="e" cm="1">
        <f t="array" ref="K284">IF(K278=0,"-",
IF($D$249=#REF!,
IF(K283=INDEX(#REF!,MATCH(Calc_Rates!$C283&amp;"_"&amp;Calc_Rates!$F283,#REF!,0),MATCH(Calc_Rates!K$9,#REF!,0)),0,1),
IF(ROUND(K283,8)=ROUND((((
SUMIFS(Calc_NetworkF_2[United Energy],Calc_NetworkF_2[[Cost item]:[Cost item]],$C277,Calc_NetworkF_2[[Customer type]:[Customer type]],$F278)+
SUMIFS(Calc_Fixed_2[United Energy],Calc_Fixed_2[[Customer type]:[Customer type]],Calc_Rates!$F283)+
SUMIFS(Calc_Fixed_2[United Energy],Calc_Fixed_2[[Customer type]:[Customer type]],"All"))*(1+Calc_ROM_2[United Energy]))*(1+GST))/DiY,8),0,1)))</f>
        <v>#REF!</v>
      </c>
    </row>
    <row r="285" spans="2:11" ht="15.75" outlineLevel="1" x14ac:dyDescent="0.25">
      <c r="B285"/>
      <c r="C285" s="70" t="s">
        <v>340</v>
      </c>
    </row>
    <row r="286" spans="2:11" outlineLevel="1" x14ac:dyDescent="0.25">
      <c r="B286"/>
      <c r="C286" s="18" t="s">
        <v>222</v>
      </c>
      <c r="D286" s="18" t="s">
        <v>9</v>
      </c>
      <c r="E286" s="18" t="s">
        <v>45</v>
      </c>
      <c r="F286" s="18" t="s">
        <v>32</v>
      </c>
      <c r="G286" s="50">
        <f>SUMIFS(Calc_NetworkF_2[Ausnet],Calc_NetworkF_2[[Cost item]:[Cost item]],$C285,Calc_NetworkF_2[[Customer type]:[Customer type]],$F286)</f>
        <v>111.11</v>
      </c>
      <c r="H286" s="50">
        <f>SUMIFS(Calc_NetworkF_2[Citipower],Calc_NetworkF_2[[Cost item]:[Cost item]],$C285,Calc_NetworkF_2[[Customer type]:[Customer type]],$F286)</f>
        <v>160.01599999999999</v>
      </c>
      <c r="I286" s="50">
        <f>SUMIFS(Calc_NetworkF_2[Jemena],Calc_NetworkF_2[[Cost item]:[Cost item]],$C285,Calc_NetworkF_2[[Customer type]:[Customer type]],$F286)</f>
        <v>242.124</v>
      </c>
      <c r="J286" s="50">
        <f>SUMIFS(Calc_NetworkF_2[Powercor],Calc_NetworkF_2[[Cost item]:[Cost item]],$C285,Calc_NetworkF_2[[Customer type]:[Customer type]],$F286)</f>
        <v>179.98150000000001</v>
      </c>
      <c r="K286" s="50">
        <f>SUMIFS(Calc_NetworkF_2[United Energy],Calc_NetworkF_2[[Cost item]:[Cost item]],$C285,Calc_NetworkF_2[[Customer type]:[Customer type]],$F286)</f>
        <v>120.01199999999999</v>
      </c>
    </row>
    <row r="287" spans="2:11" outlineLevel="1" x14ac:dyDescent="0.25">
      <c r="B287"/>
      <c r="C287" s="18" t="s">
        <v>203</v>
      </c>
      <c r="D287" s="18" t="s">
        <v>9</v>
      </c>
      <c r="E287" s="18" t="s">
        <v>45</v>
      </c>
      <c r="F287" s="18" t="s">
        <v>32</v>
      </c>
      <c r="G287" s="62">
        <f>IF(G286=0,"-",SUMIFS(Calc_Fixed_2[Ausnet],Calc_Fixed_2[[Customer type]:[Customer type]],"All")+SUMIFS(Calc_Fixed_2[Ausnet],Calc_Fixed_2[[Customer type]:[Customer type]],$F287))</f>
        <v>266.82704062605274</v>
      </c>
      <c r="H287" s="62">
        <f>IF(H286=0,"-",SUMIFS(Calc_Fixed_2[Citipower],Calc_Fixed_2[[Customer type]:[Customer type]],"All")+SUMIFS(Calc_Fixed_2[Citipower],Calc_Fixed_2[[Customer type]:[Customer type]],$F288))</f>
        <v>262.52704062605272</v>
      </c>
      <c r="I287" s="62">
        <f>IF(I286=0,"-",SUMIFS(Calc_Fixed_2[Jemena],Calc_Fixed_2[[Customer type]:[Customer type]],"All")+SUMIFS(Calc_Fixed_2[Jemena],Calc_Fixed_2[[Customer type]:[Customer type]],$F288))</f>
        <v>257.31704062605274</v>
      </c>
      <c r="J287" s="62">
        <f>IF(J286=0,"-",SUMIFS(Calc_Fixed_2[Powercor],Calc_Fixed_2[[Customer type]:[Customer type]],"All")+SUMIFS(Calc_Fixed_2[Powercor],Calc_Fixed_2[[Customer type]:[Customer type]],$F288))</f>
        <v>261.12704062605275</v>
      </c>
      <c r="K287" s="62">
        <f>IF(K286=0,"-",SUMIFS(Calc_Fixed_2[United Energy],Calc_Fixed_2[[Customer type]:[Customer type]],"All")+SUMIFS(Calc_Fixed_2[United Energy],Calc_Fixed_2[[Customer type]:[Customer type]],$F288))</f>
        <v>246.04704062605276</v>
      </c>
    </row>
    <row r="288" spans="2:11" outlineLevel="1" x14ac:dyDescent="0.25">
      <c r="B288"/>
      <c r="C288" s="18" t="s">
        <v>139</v>
      </c>
      <c r="D288" s="18" t="s">
        <v>9</v>
      </c>
      <c r="E288" s="18" t="s">
        <v>45</v>
      </c>
      <c r="F288" s="18" t="s">
        <v>32</v>
      </c>
      <c r="G288" s="62" cm="1">
        <f t="array" ref="G288">IF(G286=0,"-",(G286+G287)*Calc_ROM_2[Ausnet])</f>
        <v>22.827397253813587</v>
      </c>
      <c r="H288" s="62" cm="1">
        <f t="array" ref="H288">IF(H286=0,"-",(H286+H287)*Calc_ROM_2[Citipower])</f>
        <v>25.521599653813588</v>
      </c>
      <c r="I288" s="62" cm="1">
        <f t="array" ref="I288">IF(I286=0,"-",(I286+I287)*Calc_ROM_2[Jemena])</f>
        <v>30.166238853813589</v>
      </c>
      <c r="J288" s="62" cm="1">
        <f t="array" ref="J288">IF(J286=0,"-",(J286+J287)*Calc_ROM_2[Powercor])</f>
        <v>26.642955853813589</v>
      </c>
      <c r="K288" s="62" cm="1">
        <f t="array" ref="K288">IF(K286=0,"-",(K286+K287)*Calc_ROM_2[United Energy])</f>
        <v>22.109966053813586</v>
      </c>
    </row>
    <row r="289" spans="2:14" outlineLevel="1" x14ac:dyDescent="0.25">
      <c r="B289"/>
      <c r="C289" s="18" t="s">
        <v>213</v>
      </c>
      <c r="D289" s="18" t="s">
        <v>9</v>
      </c>
      <c r="E289" s="18" t="s">
        <v>45</v>
      </c>
      <c r="F289" s="18" t="s">
        <v>32</v>
      </c>
      <c r="G289" s="62">
        <f>IF(G286=0,"-",(G286+G287+G288)*GST)</f>
        <v>40.076443787986641</v>
      </c>
      <c r="H289" s="62">
        <f>IF(H286=0,"-",(H286+H287+H288)*GST)</f>
        <v>44.806464027986635</v>
      </c>
      <c r="I289" s="62">
        <f>IF(I286=0,"-",(I286+I287+I288)*GST)</f>
        <v>52.960727947986641</v>
      </c>
      <c r="J289" s="62">
        <f>IF(J286=0,"-",(J286+J287+J288)*GST)</f>
        <v>46.775149647986638</v>
      </c>
      <c r="K289" s="62">
        <f>IF(K286=0,"-",(K286+K287+K288)*GST)</f>
        <v>38.816900667986637</v>
      </c>
    </row>
    <row r="290" spans="2:14" outlineLevel="1" x14ac:dyDescent="0.25">
      <c r="B290"/>
      <c r="C290" s="18" t="s">
        <v>214</v>
      </c>
      <c r="D290" s="18" t="s">
        <v>9</v>
      </c>
      <c r="E290" s="18" t="s">
        <v>45</v>
      </c>
      <c r="F290" s="18" t="s">
        <v>32</v>
      </c>
      <c r="G290" s="62">
        <f>IF(G286=0,"-",G286+G287+G288+G289)</f>
        <v>440.84088166785301</v>
      </c>
      <c r="H290" s="62">
        <f t="shared" ref="H290" si="58">IF(H286=0,"-",H286+H287+H288+H289)</f>
        <v>492.87110430785299</v>
      </c>
      <c r="I290" s="62">
        <f t="shared" ref="I290" si="59">IF(I286=0,"-",I286+I287+I288+I289)</f>
        <v>582.56800742785299</v>
      </c>
      <c r="J290" s="62">
        <f t="shared" ref="J290" si="60">IF(J286=0,"-",J286+J287+J288+J289)</f>
        <v>514.52664612785304</v>
      </c>
      <c r="K290" s="62">
        <f t="shared" ref="K290" si="61">IF(K286=0,"-",K286+K287+K288+K289)</f>
        <v>426.98590734785301</v>
      </c>
    </row>
    <row r="291" spans="2:14" outlineLevel="1" x14ac:dyDescent="0.25">
      <c r="B291"/>
      <c r="C291" s="18" t="str">
        <f>C285</f>
        <v>TOU - supply</v>
      </c>
      <c r="D291" s="18" t="s">
        <v>9</v>
      </c>
      <c r="E291" s="18" t="s">
        <v>45</v>
      </c>
      <c r="F291" s="18" t="s">
        <v>32</v>
      </c>
      <c r="G291" s="63">
        <f>IF(G286=0,"-",G290/DiY)</f>
        <v>1.2077832374461726</v>
      </c>
      <c r="H291" s="63">
        <f>IF(H286=0,"-",H290/DiY)</f>
        <v>1.3503317926242548</v>
      </c>
      <c r="I291" s="63">
        <f>IF(I286=0,"-",I290/DiY)</f>
        <v>1.5960767326790493</v>
      </c>
      <c r="J291" s="63">
        <f>IF(J286=0,"-",J290/DiY)</f>
        <v>1.4096620441858987</v>
      </c>
      <c r="K291" s="63">
        <f>IF(K286=0,"-",K290/DiY)</f>
        <v>1.1698244036927481</v>
      </c>
    </row>
    <row r="292" spans="2:14" hidden="1" outlineLevel="1" x14ac:dyDescent="0.25">
      <c r="B292"/>
      <c r="G292" s="89" t="e" cm="1">
        <f t="array" ref="G292">IF(G286=0,"-",
IF($D$249=#REF!,
IF(G291=INDEX(#REF!,MATCH(Calc_Rates!$C291&amp;"_"&amp;Calc_Rates!$F291,#REF!,0),MATCH(Calc_Rates!G$9,#REF!,0)),0,1),
IF(ROUND(G291,8)=ROUND((((
SUMIFS(Calc_NetworkF_2[Ausnet],Calc_NetworkF_2[Cost item],$C285,Calc_NetworkF_2[Customer type],$F286)+
SUMIFS(Calc_Fixed_2[Ausnet],Calc_Fixed_2[Customer type],Calc_Rates!$F291)+
SUMIFS(Calc_Fixed_2[Ausnet],Calc_Fixed_2[Customer type],"All"))*(1+Calc_ROM_2[Ausnet]))*(1+GST))/DiY,8),0,1)))</f>
        <v>#REF!</v>
      </c>
      <c r="H292" s="89" t="e" cm="1">
        <f t="array" ref="H292">IF(H286=0,"-",
IF($D$249=#REF!,
IF(H291=INDEX(#REF!,MATCH(Calc_Rates!$C291&amp;"_"&amp;Calc_Rates!$F291,#REF!,0),MATCH(Calc_Rates!H$9,#REF!,0)),0,1),
IF(ROUND(H291,8)=ROUND((((
SUMIFS(Calc_NetworkF_2[Citipower],Calc_NetworkF_2[Cost item],$C285,Calc_NetworkF_2[Customer type],$F286)+
SUMIFS(Calc_Fixed_2[Citipower],Calc_Fixed_2[Customer type],Calc_Rates!$F291)+
SUMIFS(Calc_Fixed_2[Citipower],Calc_Fixed_2[Customer type],"All"))*(1+Calc_ROM_2[Citipower]))*(1+GST))/DiY,8),0,1)))</f>
        <v>#REF!</v>
      </c>
      <c r="I292" s="89" t="e" cm="1">
        <f t="array" ref="I292">IF(I286=0,"-",
IF($D$249=#REF!,
IF(I291=INDEX(#REF!,MATCH(Calc_Rates!$C291&amp;"_"&amp;Calc_Rates!$F291,#REF!,0),MATCH(Calc_Rates!I$9,#REF!,0)),0,1),
IF(ROUND(I291,8)=ROUND((((
SUMIFS(Calc_NetworkF_2[Jemena],Calc_NetworkF_2[[Cost item]:[Cost item]],$C285,Calc_NetworkF_2[[Customer type]:[Customer type]],$F286)+
SUMIFS(Calc_Fixed_2[Jemena],Calc_Fixed_2[[Customer type]:[Customer type]],Calc_Rates!$F291)+
SUMIFS(Calc_Fixed_2[Jemena],Calc_Fixed_2[[Customer type]:[Customer type]],"All"))*(1+Calc_ROM_2[Jemena]))*(1+GST))/DiY,8),0,1)))</f>
        <v>#REF!</v>
      </c>
      <c r="J292" s="89" t="e" cm="1">
        <f t="array" ref="J292">IF(J286=0,"-",
IF($D$249=#REF!,
IF(J291=INDEX(#REF!,MATCH(Calc_Rates!$C291&amp;"_"&amp;Calc_Rates!$F291,#REF!,0),MATCH(Calc_Rates!J$9,#REF!,0)),0,1),
IF(ROUND(J291,8)=ROUND((((
SUMIFS(Calc_NetworkF_2[Powercor],Calc_NetworkF_2[[Cost item]:[Cost item]],$C285,Calc_NetworkF_2[[Customer type]:[Customer type]],$F286)+
SUMIFS(Calc_Fixed_2[Powercor],Calc_Fixed_2[[Customer type]:[Customer type]],Calc_Rates!$F291)+
SUMIFS(Calc_Fixed_2[Powercor],Calc_Fixed_2[[Customer type]:[Customer type]],"All"))*(1+Calc_ROM_2[Powercor]))*(1+GST))/DiY,8),0,1)))</f>
        <v>#REF!</v>
      </c>
      <c r="K292" s="89" t="e" cm="1">
        <f t="array" ref="K292">IF(K286=0,"-",
IF($D$249=#REF!,
IF(K291=INDEX(#REF!,MATCH(Calc_Rates!$C291&amp;"_"&amp;Calc_Rates!$F291,#REF!,0),MATCH(Calc_Rates!K$9,#REF!,0)),0,1),
IF(ROUND(K291,8)=ROUND((((
SUMIFS(Calc_NetworkF_2[United Energy],Calc_NetworkF_2[[Cost item]:[Cost item]],$C285,Calc_NetworkF_2[[Customer type]:[Customer type]],$F286)+
SUMIFS(Calc_Fixed_2[United Energy],Calc_Fixed_2[[Customer type]:[Customer type]],Calc_Rates!$F291)+
SUMIFS(Calc_Fixed_2[United Energy],Calc_Fixed_2[[Customer type]:[Customer type]],"All"))*(1+Calc_ROM_2[United Energy]))*(1+GST))/DiY,8),0,1)))</f>
        <v>#REF!</v>
      </c>
    </row>
    <row r="293" spans="2:14" x14ac:dyDescent="0.25">
      <c r="B293"/>
    </row>
    <row r="294" spans="2:14" ht="15.75" x14ac:dyDescent="0.25">
      <c r="B294"/>
      <c r="C294" s="34" t="s">
        <v>216</v>
      </c>
      <c r="D294" s="34" t="s">
        <v>37</v>
      </c>
      <c r="E294" s="34" t="s">
        <v>38</v>
      </c>
      <c r="F294" s="34" t="s">
        <v>30</v>
      </c>
      <c r="G294" s="49" t="s">
        <v>204</v>
      </c>
      <c r="H294" s="49" t="s">
        <v>205</v>
      </c>
      <c r="I294" s="49" t="s">
        <v>206</v>
      </c>
      <c r="J294" s="49" t="s">
        <v>207</v>
      </c>
      <c r="K294" s="49" t="s">
        <v>208</v>
      </c>
      <c r="N294" s="68"/>
    </row>
    <row r="295" spans="2:14" x14ac:dyDescent="0.25">
      <c r="B295"/>
      <c r="C295" s="18" t="s">
        <v>217</v>
      </c>
      <c r="D295" s="18" t="s">
        <v>66</v>
      </c>
      <c r="E295" s="18" t="s">
        <v>218</v>
      </c>
      <c r="F295" s="18" t="s">
        <v>46</v>
      </c>
      <c r="G295" s="69">
        <f>SUMIFS(Calc_EnviroVEU_2[Ausnet],Calc_EnviroVEU_2[[Fixed/Variable]:[Fixed/Variable]],$D295,Calc_EnviroVEU_2[[Customer type]:[Customer type]],$F295,Calc_EnviroVEU_2[[Cost item]:[Cost item]],"VEU cost")+
SUMIFS(Calc_EnviroLRET_2[Ausnet],Calc_EnviroLRET_2[[Fixed/Variable]:[Fixed/Variable]],$D295,Calc_EnviroLRET_2[[Customer type]:[Customer type]],$F295,Calc_EnviroLRET_2[[Cost item]:[Cost item]],"LRET cost")+
SUMIFS(Calc_EnviroSRES_2[Ausnet],Calc_EnviroSRES_2[[Fixed/Variable]:[Fixed/Variable]],$D295,Calc_EnviroSRES_2[[Customer type]:[Customer type]],$F295,Calc_EnviroSRES_2[[Cost item]:[Cost item]],"SRES cost")</f>
        <v>2.5111351252848226E-2</v>
      </c>
      <c r="H295" s="69">
        <f>SUMIFS(Calc_EnviroVEU_2[Citipower],Calc_EnviroVEU_2[[Fixed/Variable]:[Fixed/Variable]],$D295,Calc_EnviroVEU_2[[Customer type]:[Customer type]],$F295,Calc_EnviroVEU_2[[Cost item]:[Cost item]],"VEU cost")+
SUMIFS(Calc_EnviroLRET_2[Citipower],Calc_EnviroLRET_2[[Fixed/Variable]:[Fixed/Variable]],$D295,Calc_EnviroLRET_2[[Customer type]:[Customer type]],$F295,Calc_EnviroLRET_2[[Cost item]:[Cost item]],"LRET cost")+
SUMIFS(Calc_EnviroSRES_2[Citipower],Calc_EnviroSRES_2[[Fixed/Variable]:[Fixed/Variable]],$D295,Calc_EnviroSRES_2[[Customer type]:[Customer type]],$F295,Calc_EnviroSRES_2[[Cost item]:[Cost item]],"SRES cost")</f>
        <v>2.5111351252848226E-2</v>
      </c>
      <c r="I295" s="69">
        <f>SUMIFS(Calc_EnviroVEU_2[Jemena],Calc_EnviroVEU_2[[Fixed/Variable]:[Fixed/Variable]],$D295,Calc_EnviroVEU_2[[Customer type]:[Customer type]],$F295,Calc_EnviroVEU_2[[Cost item]:[Cost item]],"VEU cost")+
SUMIFS(Calc_EnviroLRET_2[Jemena],Calc_EnviroLRET_2[[Fixed/Variable]:[Fixed/Variable]],$D295,Calc_EnviroLRET_2[[Customer type]:[Customer type]],$F295,Calc_EnviroLRET_2[[Cost item]:[Cost item]],"LRET cost")+
SUMIFS(Calc_EnviroSRES_2[Jemena],Calc_EnviroSRES_2[[Fixed/Variable]:[Fixed/Variable]],$D295,Calc_EnviroSRES_2[[Customer type]:[Customer type]],$F295,Calc_EnviroSRES_2[[Cost item]:[Cost item]],"SRES cost")</f>
        <v>2.5111351252848226E-2</v>
      </c>
      <c r="J295" s="69">
        <f>SUMIFS(Calc_EnviroVEU_2[Powercor],Calc_EnviroVEU_2[[Fixed/Variable]:[Fixed/Variable]],$D295,Calc_EnviroVEU_2[[Customer type]:[Customer type]],$F295,Calc_EnviroVEU_2[[Cost item]:[Cost item]],"VEU cost")+
SUMIFS(Calc_EnviroLRET_2[Powercor],Calc_EnviroLRET_2[[Fixed/Variable]:[Fixed/Variable]],$D295,Calc_EnviroLRET_2[[Customer type]:[Customer type]],$F295,Calc_EnviroLRET_2[[Cost item]:[Cost item]],"LRET cost")+
SUMIFS(Calc_EnviroSRES_2[Powercor],Calc_EnviroSRES_2[[Fixed/Variable]:[Fixed/Variable]],$D295,Calc_EnviroSRES_2[[Customer type]:[Customer type]],$F295,Calc_EnviroSRES_2[[Cost item]:[Cost item]],"SRES cost")</f>
        <v>2.5111351252848226E-2</v>
      </c>
      <c r="K295" s="69">
        <f>SUMIFS(Calc_EnviroVEU_2[United Energy],Calc_EnviroVEU_2[[Fixed/Variable]:[Fixed/Variable]],$D295,Calc_EnviroVEU_2[[Customer type]:[Customer type]],$F295,Calc_EnviroVEU_2[[Cost item]:[Cost item]],"VEU cost")+
SUMIFS(Calc_EnviroLRET_2[United Energy],Calc_EnviroLRET_2[[Fixed/Variable]:[Fixed/Variable]],$D295,Calc_EnviroLRET_2[[Customer type]:[Customer type]],$F295,Calc_EnviroLRET_2[[Cost item]:[Cost item]],"LRET cost")+
SUMIFS(Calc_EnviroSRES_2[United Energy],Calc_EnviroSRES_2[[Fixed/Variable]:[Fixed/Variable]],$D295,Calc_EnviroSRES_2[[Customer type]:[Customer type]],$F295,Calc_EnviroSRES_2[[Cost item]:[Cost item]],"SRES cost")</f>
        <v>2.5111351252848226E-2</v>
      </c>
    </row>
    <row r="296" spans="2:14" x14ac:dyDescent="0.25">
      <c r="B296"/>
      <c r="C296" s="18" t="s">
        <v>209</v>
      </c>
      <c r="D296" s="18" t="s">
        <v>66</v>
      </c>
      <c r="E296" s="18" t="s">
        <v>218</v>
      </c>
      <c r="F296" s="18" t="s">
        <v>46</v>
      </c>
      <c r="G296" s="69">
        <f>SUMIFS(Calc_OtherCosts_2[Ausnet],Calc_OtherCosts_2[[Fixed/Variable]:[Fixed/Variable]],$D296,Calc_OtherCosts_2[[Customer type]:[Customer type]],$F296)</f>
        <v>6.9911999999999991E-4</v>
      </c>
      <c r="H296" s="69">
        <f>SUMIFS(Calc_OtherCosts_2[Citipower],Calc_OtherCosts_2[[Fixed/Variable]:[Fixed/Variable]],$D296,Calc_OtherCosts_2[[Customer type]:[Customer type]],$F296)</f>
        <v>6.9911999999999991E-4</v>
      </c>
      <c r="I296" s="69">
        <f>SUMIFS(Calc_OtherCosts_2[Jemena],Calc_OtherCosts_2[[Fixed/Variable]:[Fixed/Variable]],$D296,Calc_OtherCosts_2[[Customer type]:[Customer type]],$F296)</f>
        <v>6.9911999999999991E-4</v>
      </c>
      <c r="J296" s="69">
        <f>SUMIFS(Calc_OtherCosts_2[Powercor],Calc_OtherCosts_2[[Fixed/Variable]:[Fixed/Variable]],$D296,Calc_OtherCosts_2[[Customer type]:[Customer type]],$F296)</f>
        <v>6.9911999999999991E-4</v>
      </c>
      <c r="K296" s="69">
        <f>SUMIFS(Calc_OtherCosts_2[United Energy],Calc_OtherCosts_2[[Fixed/Variable]:[Fixed/Variable]],$D296,Calc_OtherCosts_2[[Customer type]:[Customer type]],$F296)</f>
        <v>6.9911999999999991E-4</v>
      </c>
    </row>
    <row r="297" spans="2:14" x14ac:dyDescent="0.25">
      <c r="B297"/>
      <c r="C297" s="18" t="s">
        <v>219</v>
      </c>
      <c r="D297" s="18" t="s">
        <v>66</v>
      </c>
      <c r="E297" s="18" t="s">
        <v>218</v>
      </c>
      <c r="F297" s="18" t="s">
        <v>31</v>
      </c>
      <c r="G297" s="66">
        <f>SUMIFS(Calc_WholesaleRES_2[Ausnet],Calc_WholesaleRES_2[[Fixed/Variable]:[Fixed/Variable]],$D297,Calc_WholesaleRES_2[[Customer type]:[Customer type]],$F297,Calc_WholesaleRES_2[[Cost item]:[Cost item]],$C297)</f>
        <v>7.1239999999999998E-2</v>
      </c>
      <c r="H297" s="66">
        <f>SUMIFS(Calc_WholesaleRES_2[Citipower],Calc_WholesaleRES_2[[Fixed/Variable]:[Fixed/Variable]],$D297,Calc_WholesaleRES_2[[Customer type]:[Customer type]],$F297,Calc_WholesaleRES_2[[Cost item]:[Cost item]],$C297)</f>
        <v>6.7539999999999989E-2</v>
      </c>
      <c r="I297" s="66">
        <f>SUMIFS(Calc_WholesaleRES_2[Jemena],Calc_WholesaleRES_2[[Fixed/Variable]:[Fixed/Variable]],$D297,Calc_WholesaleRES_2[[Customer type]:[Customer type]],$F297,Calc_WholesaleRES_2[[Cost item]:[Cost item]],$C297)</f>
        <v>7.354999999999999E-2</v>
      </c>
      <c r="J297" s="66">
        <f>SUMIFS(Calc_WholesaleRES_2[Powercor],Calc_WholesaleRES_2[[Fixed/Variable]:[Fixed/Variable]],$D297,Calc_WholesaleRES_2[[Customer type]:[Customer type]],$F297,Calc_WholesaleRES_2[[Cost item]:[Cost item]],$C297)</f>
        <v>6.9529999999999995E-2</v>
      </c>
      <c r="K297" s="66">
        <f>SUMIFS(Calc_WholesaleRES_2[United Energy],Calc_WholesaleRES_2[[Fixed/Variable]:[Fixed/Variable]],$D297,Calc_WholesaleRES_2[[Customer type]:[Customer type]],$F297,Calc_WholesaleRES_2[[Cost item]:[Cost item]],$C297)</f>
        <v>7.4079999999999993E-2</v>
      </c>
    </row>
    <row r="298" spans="2:14" x14ac:dyDescent="0.25">
      <c r="B298"/>
      <c r="C298" s="18" t="s">
        <v>219</v>
      </c>
      <c r="D298" s="18" t="s">
        <v>66</v>
      </c>
      <c r="E298" s="18" t="s">
        <v>218</v>
      </c>
      <c r="F298" s="18" t="s">
        <v>32</v>
      </c>
      <c r="G298" s="66">
        <f>SUMIFS(Calc_WholesaleSME_2[Ausnet],Calc_WholesaleSME_2[[Fixed/Variable]:[Fixed/Variable]],$D298,Calc_WholesaleSME_2[[Customer type]:[Customer type]],$F298,Calc_WholesaleSME_2[[Cost item]:[Cost item]],$C298)</f>
        <v>6.2880000000000005E-2</v>
      </c>
      <c r="H298" s="66">
        <f>SUMIFS(Calc_WholesaleSME_2[Citipower],Calc_WholesaleSME_2[[Fixed/Variable]:[Fixed/Variable]],$D298,Calc_WholesaleSME_2[[Customer type]:[Customer type]],$F298,Calc_WholesaleSME_2[[Cost item]:[Cost item]],$C298)</f>
        <v>6.4129999999999993E-2</v>
      </c>
      <c r="I298" s="66">
        <f>SUMIFS(Calc_WholesaleSME_2[Jemena],Calc_WholesaleSME_2[[Fixed/Variable]:[Fixed/Variable]],$D298,Calc_WholesaleSME_2[[Customer type]:[Customer type]],$F298,Calc_WholesaleSME_2[[Cost item]:[Cost item]],$C298)</f>
        <v>6.4189999999999997E-2</v>
      </c>
      <c r="J298" s="66">
        <f>SUMIFS(Calc_WholesaleSME_2[Powercor],Calc_WholesaleSME_2[[Fixed/Variable]:[Fixed/Variable]],$D298,Calc_WholesaleSME_2[[Customer type]:[Customer type]],$F298,Calc_WholesaleSME_2[[Cost item]:[Cost item]],$C298)</f>
        <v>6.1110000000000005E-2</v>
      </c>
      <c r="K298" s="66">
        <f>SUMIFS(Calc_WholesaleSME_2[United Energy],Calc_WholesaleSME_2[[Fixed/Variable]:[Fixed/Variable]],$D298,Calc_WholesaleSME_2[[Customer type]:[Customer type]],$F298,Calc_WholesaleSME_2[[Cost item]:[Cost item]],$C298)</f>
        <v>6.5500000000000003E-2</v>
      </c>
    </row>
    <row r="299" spans="2:14" x14ac:dyDescent="0.25">
      <c r="B299"/>
      <c r="C299" s="18" t="s">
        <v>220</v>
      </c>
      <c r="D299" s="18" t="s">
        <v>66</v>
      </c>
      <c r="E299" s="18" t="s">
        <v>218</v>
      </c>
      <c r="F299" s="18" t="s">
        <v>31</v>
      </c>
      <c r="G299" s="69">
        <f>(SUMIFS(G$295:G$298,$F$295:$F$298,"All")+SUMIFS(G$295:G$298,$F$295:$F$298,$F299))*INDEX(Calc_Losses_2[[Ausnet]:[United Energy]],MATCH("Total loss factor",Calc_Losses_2[[Cost item]:[Cost item]],0),MATCH(G$294,Calc_Losses_2[[#Headers],[Ausnet]:[United Energy]],0))</f>
        <v>6.8287807483536894E-3</v>
      </c>
      <c r="H299" s="69">
        <f>(SUMIFS(H$295:H$298,$F$295:$F$298,"All")+SUMIFS(H$295:H$298,$F$295:$F$298,$F299))*INDEX(Calc_Losses_2[[Ausnet]:[United Energy]],MATCH("Total loss factor",Calc_Losses_2[[Cost item]:[Cost item]],0),MATCH(H$294,Calc_Losses_2[[#Headers],[Ausnet]:[United Energy]],0))</f>
        <v>4.6611663955500949E-3</v>
      </c>
      <c r="I299" s="69">
        <f>(SUMIFS(I$295:I$298,$F$295:$F$298,"All")+SUMIFS(I$295:I$298,$F$295:$F$298,$F299))*INDEX(Calc_Losses_2[[Ausnet]:[United Energy]],MATCH("Total loss factor",Calc_Losses_2[[Cost item]:[Cost item]],0),MATCH(I$294,Calc_Losses_2[[#Headers],[Ausnet]:[United Energy]],0))</f>
        <v>4.1596554726653599E-3</v>
      </c>
      <c r="J299" s="69">
        <f>(SUMIFS(J$295:J$298,$F$295:$F$298,"All")+SUMIFS(J$295:J$298,$F$295:$F$298,$F299))*INDEX(Calc_Losses_2[[Ausnet]:[United Energy]],MATCH("Total loss factor",Calc_Losses_2[[Cost item]:[Cost item]],0),MATCH(J$294,Calc_Losses_2[[#Headers],[Ausnet]:[United Energy]],0))</f>
        <v>7.0854926010312583E-3</v>
      </c>
      <c r="K299" s="69">
        <f>(SUMIFS(K$295:K$298,$F$295:$F$298,"All")+SUMIFS(K$295:K$298,$F$295:$F$298,$F299))*INDEX(Calc_Losses_2[[Ausnet]:[United Energy]],MATCH("Total loss factor",Calc_Losses_2[[Cost item]:[Cost item]],0),MATCH(K$294,Calc_Losses_2[[#Headers],[Ausnet]:[United Energy]],0))</f>
        <v>4.7984785237615828E-3</v>
      </c>
    </row>
    <row r="300" spans="2:14" x14ac:dyDescent="0.25">
      <c r="B300"/>
      <c r="C300" s="18" t="s">
        <v>220</v>
      </c>
      <c r="D300" s="18" t="s">
        <v>66</v>
      </c>
      <c r="E300" s="18" t="s">
        <v>218</v>
      </c>
      <c r="F300" s="18" t="s">
        <v>32</v>
      </c>
      <c r="G300" s="69">
        <f>(SUMIFS(G$295:G$298,$F$295:$F$298,"All")+SUMIFS(G$295:G$298,$F$295:$F$298,$F300))*INDEX(Calc_Losses_2[[Ausnet]:[United Energy]],MATCH("Total loss factor",Calc_Losses_2[[Cost item]:[Cost item]],0),MATCH(G$294,Calc_Losses_2[[#Headers],[Ausnet]:[United Energy]],0))</f>
        <v>6.2405444799536903E-3</v>
      </c>
      <c r="H300" s="69">
        <f>(SUMIFS(H$295:H$298,$F$295:$F$298,"All")+SUMIFS(H$295:H$298,$F$295:$F$298,$F300))*INDEX(Calc_Losses_2[[Ausnet]:[United Energy]],MATCH("Total loss factor",Calc_Losses_2[[Cost item]:[Cost item]],0),MATCH(H$294,Calc_Losses_2[[#Headers],[Ausnet]:[United Energy]],0))</f>
        <v>4.4908986165500949E-3</v>
      </c>
      <c r="I300" s="69">
        <f>(SUMIFS(I$295:I$298,$F$295:$F$298,"All")+SUMIFS(I$295:I$298,$F$295:$F$298,$F300))*INDEX(Calc_Losses_2[[Ausnet]:[United Energy]],MATCH("Total loss factor",Calc_Losses_2[[Cost item]:[Cost item]],0),MATCH(I$294,Calc_Losses_2[[#Headers],[Ausnet]:[United Energy]],0))</f>
        <v>3.7678057286653619E-3</v>
      </c>
      <c r="J300" s="69">
        <f>(SUMIFS(J$295:J$298,$F$295:$F$298,"All")+SUMIFS(J$295:J$298,$F$295:$F$298,$F300))*INDEX(Calc_Losses_2[[Ausnet]:[United Energy]],MATCH("Total loss factor",Calc_Losses_2[[Cost item]:[Cost item]],0),MATCH(J$294,Calc_Losses_2[[#Headers],[Ausnet]:[United Energy]],0))</f>
        <v>6.4597368551585332E-3</v>
      </c>
      <c r="K300" s="69">
        <f>(SUMIFS(K$295:K$298,$F$295:$F$298,"All")+SUMIFS(K$295:K$298,$F$295:$F$298,$F300))*INDEX(Calc_Losses_2[[Ausnet]:[United Energy]],MATCH("Total loss factor",Calc_Losses_2[[Cost item]:[Cost item]],0),MATCH(K$294,Calc_Losses_2[[#Headers],[Ausnet]:[United Energy]],0))</f>
        <v>4.386317631761583E-3</v>
      </c>
    </row>
    <row r="301" spans="2:14" x14ac:dyDescent="0.25">
      <c r="B301"/>
    </row>
    <row r="302" spans="2:14" ht="15.75" x14ac:dyDescent="0.25">
      <c r="B302"/>
      <c r="C302" s="23" t="s">
        <v>221</v>
      </c>
    </row>
    <row r="303" spans="2:14" ht="15.75" outlineLevel="1" x14ac:dyDescent="0.25">
      <c r="B303"/>
      <c r="C303" s="1" t="s">
        <v>374</v>
      </c>
    </row>
    <row r="304" spans="2:14" ht="15.75" outlineLevel="1" x14ac:dyDescent="0.25">
      <c r="B304"/>
      <c r="C304" s="70" t="s">
        <v>157</v>
      </c>
    </row>
    <row r="305" spans="2:11" outlineLevel="1" x14ac:dyDescent="0.25">
      <c r="B305"/>
      <c r="C305" s="18" t="s">
        <v>222</v>
      </c>
      <c r="D305" s="18" t="s">
        <v>9</v>
      </c>
      <c r="E305" s="18" t="s">
        <v>218</v>
      </c>
      <c r="F305" s="18" t="s">
        <v>31</v>
      </c>
      <c r="G305" s="50">
        <f>SUMIFS(Calc_NetworkV_2[Ausnet],Calc_NetworkV_2[[Cost item]:[Cost item]],$C304,Calc_NetworkV_2[[Customer type]:[Customer type]],$F305)</f>
        <v>0.11450300000000001</v>
      </c>
      <c r="H305" s="50">
        <f>SUMIFS(Calc_NetworkV_2[Citipower],Calc_NetworkV_2[[Cost item]:[Cost item]],$C304,Calc_NetworkV_2[[Customer type]:[Customer type]],$F305)</f>
        <v>0</v>
      </c>
      <c r="I305" s="50">
        <f>SUMIFS(Calc_NetworkV_2[Jemena],Calc_NetworkV_2[[Cost item]:[Cost item]],$C304,Calc_NetworkV_2[[Customer type]:[Customer type]],$F305)</f>
        <v>0</v>
      </c>
      <c r="J305" s="50">
        <f>SUMIFS(Calc_NetworkV_2[Powercor],Calc_NetworkV_2[[Cost item]:[Cost item]],$C304,Calc_NetworkV_2[[Customer type]:[Customer type]],$F305)</f>
        <v>0</v>
      </c>
      <c r="K305" s="50">
        <f>SUMIFS(Calc_NetworkV_2[United Energy],Calc_NetworkV_2[[Cost item]:[Cost item]],$C304,Calc_NetworkV_2[[Customer type]:[Customer type]],$F305)</f>
        <v>0</v>
      </c>
    </row>
    <row r="306" spans="2:11" outlineLevel="1" x14ac:dyDescent="0.25">
      <c r="B306"/>
      <c r="C306" s="18" t="s">
        <v>216</v>
      </c>
      <c r="D306" s="18" t="s">
        <v>9</v>
      </c>
      <c r="E306" s="18" t="s">
        <v>218</v>
      </c>
      <c r="F306" s="18" t="s">
        <v>31</v>
      </c>
      <c r="G306" s="50">
        <f>SUMIFS(Calc_Variable_2[Ausnet],Calc_Variable_2[Customer type],"All")+SUMIFS(Calc_Variable_2[Ausnet],Calc_Variable_2[Customer type],$F306)</f>
        <v>0.10387925200120192</v>
      </c>
      <c r="H306" s="50">
        <f>SUMIFS(Calc_Variable_2[Citipower],Calc_Variable_2[[Customer type]:[Customer type]],"All")+SUMIFS(Calc_Variable_2[Citipower],Calc_Variable_2[[Customer type]:[Customer type]],$F306)</f>
        <v>9.801163764839832E-2</v>
      </c>
      <c r="I306" s="50">
        <f>SUMIFS(Calc_Variable_2[Jemena],Calc_Variable_2[[Customer type]:[Customer type]],"All")+SUMIFS(Calc_Variable_2[Jemena],Calc_Variable_2[[Customer type]:[Customer type]],$F306)</f>
        <v>0.10352012672551358</v>
      </c>
      <c r="J306" s="50">
        <f>SUMIFS(Calc_Variable_2[Powercor],Calc_Variable_2[[Customer type]:[Customer type]],"All")+SUMIFS(Calc_Variable_2[Powercor],Calc_Variable_2[[Customer type]:[Customer type]],$F306)</f>
        <v>0.10242596385387949</v>
      </c>
      <c r="K306" s="50">
        <f>SUMIFS(Calc_Variable_2[United Energy],Calc_Variable_2[[Customer type]:[Customer type]],"All")+SUMIFS(Calc_Variable_2[United Energy],Calc_Variable_2[[Customer type]:[Customer type]],$F306)</f>
        <v>0.10468894977660981</v>
      </c>
    </row>
    <row r="307" spans="2:11" outlineLevel="1" x14ac:dyDescent="0.25">
      <c r="B307"/>
      <c r="C307" s="18" t="s">
        <v>139</v>
      </c>
      <c r="D307" s="18" t="s">
        <v>9</v>
      </c>
      <c r="E307" s="18" t="s">
        <v>218</v>
      </c>
      <c r="F307" s="18" t="s">
        <v>31</v>
      </c>
      <c r="G307" s="62" cm="1">
        <f t="array" ref="G307">IF(G305=0,"-",
(G305+G306)*Calc_ROM_2[Ausnet])</f>
        <v>1.3190288020872597E-2</v>
      </c>
      <c r="H307" s="62" t="str" cm="1">
        <f t="array" ref="H307">IF(H305=0,"-",
(H305+H306)*Calc_ROM_2[Citipower])</f>
        <v>-</v>
      </c>
      <c r="I307" s="62" t="str" cm="1">
        <f t="array" ref="I307">IF(I305=0,"-",
(I305+I306)*Calc_ROM_2[Jemena])</f>
        <v>-</v>
      </c>
      <c r="J307" s="62" t="str" cm="1">
        <f t="array" ref="J307">IF(J305=0,"-",
(J305+J306)*Calc_ROM_2[Powercor])</f>
        <v>-</v>
      </c>
      <c r="K307" s="62" t="str" cm="1">
        <f t="array" ref="K307">IF(K305=0,"-",
(K305+K306)*Calc_ROM_2[United Energy])</f>
        <v>-</v>
      </c>
    </row>
    <row r="308" spans="2:11" outlineLevel="1" x14ac:dyDescent="0.25">
      <c r="B308"/>
      <c r="C308" s="18" t="s">
        <v>213</v>
      </c>
      <c r="D308" s="18" t="s">
        <v>9</v>
      </c>
      <c r="E308" s="18" t="s">
        <v>218</v>
      </c>
      <c r="F308" s="18" t="s">
        <v>31</v>
      </c>
      <c r="G308" s="62">
        <f>IF(G305=0,"-",
(G305+G306+G307)*GST)</f>
        <v>2.3157254002207455E-2</v>
      </c>
      <c r="H308" s="62" t="str">
        <f>IF(H305=0,"-",
(H305+H306+H307)*GST)</f>
        <v>-</v>
      </c>
      <c r="I308" s="62" t="str">
        <f>IF(I305=0,"-",
(I305+I306+I307)*GST)</f>
        <v>-</v>
      </c>
      <c r="J308" s="62" t="str">
        <f>IF(J305=0,"-",
(J305+J306+J307)*GST)</f>
        <v>-</v>
      </c>
      <c r="K308" s="62" t="str">
        <f>IF(K305=0,"-",
(K305+K306+K307)*GST)</f>
        <v>-</v>
      </c>
    </row>
    <row r="309" spans="2:11" outlineLevel="1" x14ac:dyDescent="0.25">
      <c r="B309"/>
      <c r="C309" s="18" t="str">
        <f>C304&amp;" charge"</f>
        <v>Block 1 charge</v>
      </c>
      <c r="D309" s="18" t="s">
        <v>9</v>
      </c>
      <c r="E309" s="18" t="s">
        <v>218</v>
      </c>
      <c r="F309" s="18" t="s">
        <v>31</v>
      </c>
      <c r="G309" s="63">
        <f>IF(G305=0,"-",
G305+G306+G307+G308)</f>
        <v>0.25472979402428197</v>
      </c>
      <c r="H309" s="63" t="str">
        <f t="shared" ref="H309:K309" si="62">IF(H305=0,"-",
H305+H306+H307+H308)</f>
        <v>-</v>
      </c>
      <c r="I309" s="63" t="str">
        <f t="shared" si="62"/>
        <v>-</v>
      </c>
      <c r="J309" s="63" t="str">
        <f t="shared" si="62"/>
        <v>-</v>
      </c>
      <c r="K309" s="63" t="str">
        <f t="shared" si="62"/>
        <v>-</v>
      </c>
    </row>
    <row r="310" spans="2:11" hidden="1" outlineLevel="1" x14ac:dyDescent="0.25">
      <c r="B310"/>
      <c r="G310" s="89" t="e" cm="1">
        <f t="array" ref="G310">IF($D$249=#REF!,
IF(G309=INDEX(#REF!,MATCH(Calc_Rates!$C309&amp;"_"&amp;Calc_Rates!$F309,#REF!,0),MATCH(Calc_Rates!G$9,#REF!,0)),0,1),
IF(G309="-","-",
IF(ROUND(G309,8)=ROUND((((
SUMIFS(Calc_Variable_2[Ausnet],Calc_Variable_2[Customer type],Calc_Rates!$F309)+
SUMIFS(Calc_Variable_2[Ausnet],Calc_Variable_2[Customer type],"All")+G305)*(1+Calc_ROM_2[Ausnet]))*(1+GST)),8),0,1)))</f>
        <v>#REF!</v>
      </c>
      <c r="H310" s="89" t="e" cm="1">
        <f t="array" ref="H310">IF($D$249=#REF!,
IF(H309=INDEX(#REF!,MATCH(Calc_Rates!$C309&amp;"_"&amp;Calc_Rates!$F309,#REF!,0),MATCH(Calc_Rates!H$9,#REF!,0)),0,1),
IF(H309="-","-",
IF(ROUND(H309,8)=ROUND((((
SUMIFS(Calc_Variable_2[Citipower],Calc_Variable_2[Customer type],Calc_Rates!$F309)+
SUMIFS(Calc_Variable_2[Citipower],Calc_Variable_2[Customer type],"All")+H305)*(1+Calc_ROM_2[Citipower]))*(1+GST)),8),0,1)))</f>
        <v>#REF!</v>
      </c>
      <c r="I310" s="89" t="e" cm="1">
        <f t="array" ref="I310">IF($D$249=#REF!,
IF(I309=INDEX(#REF!,MATCH(Calc_Rates!$C309&amp;"_"&amp;Calc_Rates!$F309,#REF!,0),MATCH(Calc_Rates!I$9,#REF!,0)),0,1),
IF(I309="-","-",
IF(ROUND(I309,8)=ROUND((((
SUMIFS(Calc_Variable_2[Jemena],Calc_Variable_2[Customer type],Calc_Rates!$F309)+
SUMIFS(Calc_Variable_2[Jemena],Calc_Variable_2[Customer type],"All")+I305)*(1+Calc_ROM_2[Jemena]))*(1+GST)),8),0,1)))</f>
        <v>#REF!</v>
      </c>
      <c r="J310" s="89" t="e" cm="1">
        <f t="array" ref="J310">IF($D$249=#REF!,
IF(J309=INDEX(#REF!,MATCH(Calc_Rates!$C309&amp;"_"&amp;Calc_Rates!$F309,#REF!,0),MATCH(Calc_Rates!J$9,#REF!,0)),0,1),
IF(J309="-","-",
IF(ROUND(J309,8)=ROUND((((
SUMIFS(Calc_Variable_2[Powercor],Calc_Variable_2[Customer type],Calc_Rates!$F309)+
SUMIFS(Calc_Variable_2[Powercor],Calc_Variable_2[Customer type],"All")+J305)*(1+Calc_ROM_2[Powercor]))*(1+GST)),8),0,1)))</f>
        <v>#REF!</v>
      </c>
      <c r="K310" s="89" t="e" cm="1">
        <f t="array" ref="K310">IF($D$249=#REF!,
IF(K309=INDEX(#REF!,MATCH(Calc_Rates!$C309&amp;"_"&amp;Calc_Rates!$F309,#REF!,0),MATCH(Calc_Rates!K$9,#REF!,0)),0,1),
IF(K309="-","-",
IF(ROUND(K309,8)=ROUND((((
SUMIFS(Calc_Variable_2[United Energy],Calc_Variable_2[[Customer type]:[Customer type]],Calc_Rates!$F309)+
SUMIFS(Calc_Variable_2[United Energy],Calc_Variable_2[[Customer type]:[Customer type]],"All")+K305)*(1+Calc_ROM_2[United Energy]))*(1+GST)),8),0,1)))</f>
        <v>#REF!</v>
      </c>
    </row>
    <row r="311" spans="2:11" ht="15.75" outlineLevel="1" x14ac:dyDescent="0.25">
      <c r="B311"/>
      <c r="C311" s="70" t="s">
        <v>164</v>
      </c>
    </row>
    <row r="312" spans="2:11" outlineLevel="1" x14ac:dyDescent="0.25">
      <c r="B312"/>
      <c r="C312" s="18" t="s">
        <v>222</v>
      </c>
      <c r="D312" s="18" t="s">
        <v>9</v>
      </c>
      <c r="E312" s="18" t="s">
        <v>218</v>
      </c>
      <c r="F312" s="18" t="s">
        <v>31</v>
      </c>
      <c r="G312" s="50">
        <f>SUMIFS(Calc_NetworkV_2[Ausnet],Calc_NetworkV_2[[Cost item]:[Cost item]],$C311,Calc_NetworkV_2[[Customer type]:[Customer type]],$F312)</f>
        <v>0.128382</v>
      </c>
      <c r="H312" s="50">
        <f>SUMIFS(Calc_NetworkV_2[Citipower],Calc_NetworkV_2[[Cost item]:[Cost item]],$C311,Calc_NetworkV_2[[Customer type]:[Customer type]],$F312)</f>
        <v>0</v>
      </c>
      <c r="I312" s="50">
        <f>SUMIFS(Calc_NetworkV_2[Jemena],Calc_NetworkV_2[[Cost item]:[Cost item]],$C311,Calc_NetworkV_2[[Customer type]:[Customer type]],$F312)</f>
        <v>0</v>
      </c>
      <c r="J312" s="50">
        <f>SUMIFS(Calc_NetworkV_2[Powercor],Calc_NetworkV_2[[Cost item]:[Cost item]],$C311,Calc_NetworkV_2[[Customer type]:[Customer type]],$F312)</f>
        <v>0</v>
      </c>
      <c r="K312" s="50">
        <f>SUMIFS(Calc_NetworkV_2[United Energy],Calc_NetworkV_2[[Cost item]:[Cost item]],$C311,Calc_NetworkV_2[[Customer type]:[Customer type]],$F312)</f>
        <v>0</v>
      </c>
    </row>
    <row r="313" spans="2:11" outlineLevel="1" x14ac:dyDescent="0.25">
      <c r="B313"/>
      <c r="C313" s="18" t="s">
        <v>216</v>
      </c>
      <c r="D313" s="18" t="s">
        <v>9</v>
      </c>
      <c r="E313" s="18" t="s">
        <v>218</v>
      </c>
      <c r="F313" s="18" t="s">
        <v>31</v>
      </c>
      <c r="G313" s="50">
        <f>SUMIFS(Calc_Variable_2[Ausnet],Calc_Variable_2[[Customer type]:[Customer type]],"All")+SUMIFS(Calc_Variable_2[Ausnet],Calc_Variable_2[[Customer type]:[Customer type]],$F313)</f>
        <v>0.10387925200120192</v>
      </c>
      <c r="H313" s="50">
        <f>SUMIFS(Calc_Variable_2[Citipower],Calc_Variable_2[[Customer type]:[Customer type]],"All")+SUMIFS(Calc_Variable_2[Citipower],Calc_Variable_2[[Customer type]:[Customer type]],$F313)</f>
        <v>9.801163764839832E-2</v>
      </c>
      <c r="I313" s="50">
        <f>SUMIFS(Calc_Variable_2[Jemena],Calc_Variable_2[[Customer type]:[Customer type]],"All")+SUMIFS(Calc_Variable_2[Jemena],Calc_Variable_2[[Customer type]:[Customer type]],$F313)</f>
        <v>0.10352012672551358</v>
      </c>
      <c r="J313" s="50">
        <f>SUMIFS(Calc_Variable_2[Powercor],Calc_Variable_2[[Customer type]:[Customer type]],"All")+SUMIFS(Calc_Variable_2[Powercor],Calc_Variable_2[[Customer type]:[Customer type]],$F313)</f>
        <v>0.10242596385387949</v>
      </c>
      <c r="K313" s="50">
        <f>SUMIFS(Calc_Variable_2[United Energy],Calc_Variable_2[[Customer type]:[Customer type]],"All")+SUMIFS(Calc_Variable_2[United Energy],Calc_Variable_2[[Customer type]:[Customer type]],$F313)</f>
        <v>0.10468894977660981</v>
      </c>
    </row>
    <row r="314" spans="2:11" outlineLevel="1" x14ac:dyDescent="0.25">
      <c r="B314"/>
      <c r="C314" s="18" t="s">
        <v>139</v>
      </c>
      <c r="D314" s="18" t="s">
        <v>9</v>
      </c>
      <c r="E314" s="18" t="s">
        <v>218</v>
      </c>
      <c r="F314" s="18" t="s">
        <v>31</v>
      </c>
      <c r="G314" s="62" cm="1">
        <f t="array" ref="G314">IF(G312=0,"-",
(G312+G313)*Calc_ROM_2[Ausnet])</f>
        <v>1.4028579620872596E-2</v>
      </c>
      <c r="H314" s="62" t="str" cm="1">
        <f t="array" ref="H314">IF(H312=0,"-",
(H312+H313)*Calc_ROM_2[Citipower])</f>
        <v>-</v>
      </c>
      <c r="I314" s="62" t="str" cm="1">
        <f t="array" ref="I314">IF(I312=0,"-",
(I312+I313)*Calc_ROM_2[Jemena])</f>
        <v>-</v>
      </c>
      <c r="J314" s="62" t="str" cm="1">
        <f t="array" ref="J314">IF(J312=0,"-",
(J312+J313)*Calc_ROM_2[Powercor])</f>
        <v>-</v>
      </c>
      <c r="K314" s="62" t="str" cm="1">
        <f t="array" ref="K314">IF(K312=0,"-",
(K312+K313)*Calc_ROM_2[United Energy])</f>
        <v>-</v>
      </c>
    </row>
    <row r="315" spans="2:11" outlineLevel="1" x14ac:dyDescent="0.25">
      <c r="B315"/>
      <c r="C315" s="18" t="s">
        <v>213</v>
      </c>
      <c r="D315" s="18" t="s">
        <v>9</v>
      </c>
      <c r="E315" s="18" t="s">
        <v>218</v>
      </c>
      <c r="F315" s="18" t="s">
        <v>31</v>
      </c>
      <c r="G315" s="62">
        <f>IF(G312=0,"-",
(G312+G313+G314)*GST)</f>
        <v>2.4628983162207449E-2</v>
      </c>
      <c r="H315" s="62" t="str">
        <f>IF(H312=0,"-",
(H312+H313+H314)*GST)</f>
        <v>-</v>
      </c>
      <c r="I315" s="62" t="str">
        <f>IF(I312=0,"-",
(I312+I313+I314)*GST)</f>
        <v>-</v>
      </c>
      <c r="J315" s="62" t="str">
        <f>IF(J312=0,"-",
(J312+J313+J314)*GST)</f>
        <v>-</v>
      </c>
      <c r="K315" s="62" t="str">
        <f>IF(K312=0,"-",
(K312+K313+K314)*GST)</f>
        <v>-</v>
      </c>
    </row>
    <row r="316" spans="2:11" outlineLevel="1" x14ac:dyDescent="0.25">
      <c r="B316"/>
      <c r="C316" s="18" t="str">
        <f>C311&amp;" charge"</f>
        <v>Balance charge</v>
      </c>
      <c r="D316" s="18" t="s">
        <v>9</v>
      </c>
      <c r="E316" s="18" t="s">
        <v>218</v>
      </c>
      <c r="F316" s="18" t="s">
        <v>31</v>
      </c>
      <c r="G316" s="63">
        <f>IF(G312=0,"-",
G312+G313+G314+G315)</f>
        <v>0.27091881478428192</v>
      </c>
      <c r="H316" s="63" t="str">
        <f t="shared" ref="H316" si="63">IF(H312=0,"-",
H312+H313+H314+H315)</f>
        <v>-</v>
      </c>
      <c r="I316" s="63" t="str">
        <f t="shared" ref="I316" si="64">IF(I312=0,"-",
I312+I313+I314+I315)</f>
        <v>-</v>
      </c>
      <c r="J316" s="63" t="str">
        <f t="shared" ref="J316" si="65">IF(J312=0,"-",
J312+J313+J314+J315)</f>
        <v>-</v>
      </c>
      <c r="K316" s="63" t="str">
        <f t="shared" ref="K316" si="66">IF(K312=0,"-",
K312+K313+K314+K315)</f>
        <v>-</v>
      </c>
    </row>
    <row r="317" spans="2:11" hidden="1" outlineLevel="1" x14ac:dyDescent="0.25">
      <c r="B317"/>
      <c r="G317" s="89" t="e" cm="1">
        <f t="array" ref="G317">IF($D$249=#REF!,
IF(G316=INDEX(#REF!,MATCH(Calc_Rates!$C316&amp;"_"&amp;Calc_Rates!$F316,#REF!,0),MATCH(Calc_Rates!G$9,#REF!,0)),0,1),
IF(G316="-","-",
IF(ROUND(G316,8)=ROUND((((
SUMIFS(Calc_Variable_2[Ausnet],Calc_Variable_2[Customer type],Calc_Rates!$F316)+
SUMIFS(Calc_Variable_2[Ausnet],Calc_Variable_2[Customer type],"All")+G312)*(1+Calc_ROM_2[Ausnet]))*(1+GST)),8),0,1)))</f>
        <v>#REF!</v>
      </c>
      <c r="H317" s="89" t="e" cm="1">
        <f t="array" ref="H317">IF($D$249=#REF!,
IF(H316=INDEX(#REF!,MATCH(Calc_Rates!$C316&amp;"_"&amp;Calc_Rates!$F316,#REF!,0),MATCH(Calc_Rates!H$9,#REF!,0)),0,1),
IF(H316="-","-",
IF(ROUND(H316,8)=ROUND((((
SUMIFS(Calc_Variable_2[Citipower],Calc_Variable_2[Customer type],Calc_Rates!$F316)+
SUMIFS(Calc_Variable_2[Citipower],Calc_Variable_2[Customer type],"All")+H312)*(1+Calc_ROM_2[Citipower]))*(1+GST)),8),0,1)))</f>
        <v>#REF!</v>
      </c>
      <c r="I317" s="89" t="e" cm="1">
        <f t="array" ref="I317">IF($D$249=#REF!,
IF(I316=INDEX(#REF!,MATCH(Calc_Rates!$C316&amp;"_"&amp;Calc_Rates!$F316,#REF!,0),MATCH(Calc_Rates!I$9,#REF!,0)),0,1),
IF(I316="-","-",
IF(ROUND(I316,8)=ROUND((((
SUMIFS(Calc_Variable_2[Jemena],Calc_Variable_2[Customer type],Calc_Rates!$F316)+
SUMIFS(Calc_Variable_2[Jemena],Calc_Variable_2[Customer type],"All")+I312)*(1+Calc_ROM_2[Jemena]))*(1+GST)),8),0,1)))</f>
        <v>#REF!</v>
      </c>
      <c r="J317" s="89" t="e" cm="1">
        <f t="array" ref="J317">IF($D$249=#REF!,
IF(J316=INDEX(#REF!,MATCH(Calc_Rates!$C316&amp;"_"&amp;Calc_Rates!$F316,#REF!,0),MATCH(Calc_Rates!J$9,#REF!,0)),0,1),
IF(J316="-","-",
IF(ROUND(J316,8)=ROUND((((
SUMIFS(Calc_Variable_2[Powercor],Calc_Variable_2[[Customer type]:[Customer type]],Calc_Rates!$F316)+
SUMIFS(Calc_Variable_2[Powercor],Calc_Variable_2[[Customer type]:[Customer type]],"All")+J312)*(1+Calc_ROM_2[Powercor]))*(1+GST)),8),0,1)))</f>
        <v>#REF!</v>
      </c>
      <c r="K317" s="89" t="e" cm="1">
        <f t="array" ref="K317">IF($D$249=#REF!,
IF(K316=INDEX(#REF!,MATCH(Calc_Rates!$C316&amp;"_"&amp;Calc_Rates!$F316,#REF!,0),MATCH(Calc_Rates!K$9,#REF!,0)),0,1),
IF(K316="-","-",
IF(ROUND(K316,8)=ROUND((((
SUMIFS(Calc_Variable_2[United Energy],Calc_Variable_2[[Customer type]:[Customer type]],Calc_Rates!$F316)+
SUMIFS(Calc_Variable_2[United Energy],Calc_Variable_2[[Customer type]:[Customer type]],"All")+K312)*(1+Calc_ROM_2[United Energy]))*(1+GST)),8),0,1)))</f>
        <v>#REF!</v>
      </c>
    </row>
    <row r="318" spans="2:11" ht="15.75" outlineLevel="1" x14ac:dyDescent="0.25">
      <c r="B318"/>
      <c r="C318" s="70" t="s">
        <v>338</v>
      </c>
    </row>
    <row r="319" spans="2:11" outlineLevel="1" x14ac:dyDescent="0.25">
      <c r="B319"/>
      <c r="C319" s="18" t="s">
        <v>222</v>
      </c>
      <c r="D319" s="18" t="s">
        <v>9</v>
      </c>
      <c r="E319" s="18" t="s">
        <v>218</v>
      </c>
      <c r="F319" s="18" t="s">
        <v>31</v>
      </c>
      <c r="G319" s="50">
        <f>SUMIFS(Calc_NetworkV_2[Ausnet],Calc_NetworkV_2[[Cost item]:[Cost item]],$C318,Calc_NetworkV_2[[Customer type]:[Customer type]],$F319)</f>
        <v>0</v>
      </c>
      <c r="H319" s="50">
        <f>SUMIFS(Calc_NetworkV_2[Citipower],Calc_NetworkV_2[[Cost item]:[Cost item]],$C318,Calc_NetworkV_2[[Customer type]:[Customer type]],$F319)</f>
        <v>8.0500000000000002E-2</v>
      </c>
      <c r="I319" s="50">
        <f>SUMIFS(Calc_NetworkV_2[Jemena],Calc_NetworkV_2[[Cost item]:[Cost item]],$C318,Calc_NetworkV_2[[Customer type]:[Customer type]],$F319)</f>
        <v>8.6699999999999999E-2</v>
      </c>
      <c r="J319" s="50">
        <f>SUMIFS(Calc_NetworkV_2[Powercor],Calc_NetworkV_2[[Cost item]:[Cost item]],$C318,Calc_NetworkV_2[[Customer type]:[Customer type]],$F319)</f>
        <v>8.1500000000000003E-2</v>
      </c>
      <c r="K319" s="50">
        <f>SUMIFS(Calc_NetworkV_2[United Energy],Calc_NetworkV_2[[Cost item]:[Cost item]],$C318,Calc_NetworkV_2[[Customer type]:[Customer type]],$F319)</f>
        <v>7.9899999999999999E-2</v>
      </c>
    </row>
    <row r="320" spans="2:11" outlineLevel="1" x14ac:dyDescent="0.25">
      <c r="B320"/>
      <c r="C320" s="18" t="s">
        <v>216</v>
      </c>
      <c r="D320" s="18" t="s">
        <v>9</v>
      </c>
      <c r="E320" s="18" t="s">
        <v>218</v>
      </c>
      <c r="F320" s="18" t="s">
        <v>31</v>
      </c>
      <c r="G320" s="50">
        <f>SUMIFS(Calc_Variable_2[Ausnet],Calc_Variable_2[[Customer type]:[Customer type]],"All")+SUMIFS(Calc_Variable_2[Ausnet],Calc_Variable_2[[Customer type]:[Customer type]],$F320)</f>
        <v>0.10387925200120192</v>
      </c>
      <c r="H320" s="50">
        <f>SUMIFS(Calc_Variable_2[Citipower],Calc_Variable_2[[Customer type]:[Customer type]],"All")+SUMIFS(Calc_Variable_2[Citipower],Calc_Variable_2[[Customer type]:[Customer type]],$F320)</f>
        <v>9.801163764839832E-2</v>
      </c>
      <c r="I320" s="50">
        <f>SUMIFS(Calc_Variable_2[Jemena],Calc_Variable_2[[Customer type]:[Customer type]],"All")+SUMIFS(Calc_Variable_2[Jemena],Calc_Variable_2[[Customer type]:[Customer type]],$F320)</f>
        <v>0.10352012672551358</v>
      </c>
      <c r="J320" s="50">
        <f>SUMIFS(Calc_Variable_2[Powercor],Calc_Variable_2[[Customer type]:[Customer type]],"All")+SUMIFS(Calc_Variable_2[Powercor],Calc_Variable_2[[Customer type]:[Customer type]],$F320)</f>
        <v>0.10242596385387949</v>
      </c>
      <c r="K320" s="50">
        <f>SUMIFS(Calc_Variable_2[United Energy],Calc_Variable_2[[Customer type]:[Customer type]],"All")+SUMIFS(Calc_Variable_2[United Energy],Calc_Variable_2[[Customer type]:[Customer type]],$F320)</f>
        <v>0.10468894977660981</v>
      </c>
    </row>
    <row r="321" spans="2:11" outlineLevel="1" x14ac:dyDescent="0.25">
      <c r="B321"/>
      <c r="C321" s="18" t="s">
        <v>139</v>
      </c>
      <c r="D321" s="18" t="s">
        <v>9</v>
      </c>
      <c r="E321" s="18" t="s">
        <v>218</v>
      </c>
      <c r="F321" s="18" t="s">
        <v>31</v>
      </c>
      <c r="G321" s="62" t="str" cm="1">
        <f t="array" ref="G321">IF(G319=0,"-",
(G319+G320)*Calc_ROM_2[Ausnet])</f>
        <v>-</v>
      </c>
      <c r="H321" s="62" cm="1">
        <f t="array" ref="H321">IF(H319=0,"-",
(H319+H320)*Calc_ROM_2[Citipower])</f>
        <v>1.0782102913963259E-2</v>
      </c>
      <c r="I321" s="62" cm="1">
        <f t="array" ref="I321">IF(I319=0,"-",
(I319+I320)*Calc_ROM_2[Jemena])</f>
        <v>1.1489295654221021E-2</v>
      </c>
      <c r="J321" s="62" cm="1">
        <f t="array" ref="J321">IF(J319=0,"-",
(J319+J320)*Calc_ROM_2[Powercor])</f>
        <v>1.1109128216774322E-2</v>
      </c>
      <c r="K321" s="62" cm="1">
        <f t="array" ref="K321">IF(K319=0,"-",
(K319+K320)*Calc_ROM_2[United Energy])</f>
        <v>1.1149172566507232E-2</v>
      </c>
    </row>
    <row r="322" spans="2:11" outlineLevel="1" x14ac:dyDescent="0.25">
      <c r="B322"/>
      <c r="C322" s="18" t="s">
        <v>213</v>
      </c>
      <c r="D322" s="18" t="s">
        <v>9</v>
      </c>
      <c r="E322" s="18" t="s">
        <v>218</v>
      </c>
      <c r="F322" s="18" t="s">
        <v>31</v>
      </c>
      <c r="G322" s="62" t="str">
        <f>IF(G319=0,"-",
(G319+G320+G321)*GST)</f>
        <v>-</v>
      </c>
      <c r="H322" s="62">
        <f>IF(H319=0,"-",
(H319+H320+H321)*GST)</f>
        <v>1.892937405623616E-2</v>
      </c>
      <c r="I322" s="62">
        <f>IF(I319=0,"-",
(I319+I320+I321)*GST)</f>
        <v>2.0170942237973461E-2</v>
      </c>
      <c r="J322" s="62">
        <f>IF(J319=0,"-",
(J319+J320+J321)*GST)</f>
        <v>1.9503509207065381E-2</v>
      </c>
      <c r="K322" s="62">
        <f>IF(K319=0,"-",
(K319+K320+K321)*GST)</f>
        <v>1.9573812234311705E-2</v>
      </c>
    </row>
    <row r="323" spans="2:11" outlineLevel="1" x14ac:dyDescent="0.25">
      <c r="B323"/>
      <c r="C323" s="18" t="str">
        <f>C318&amp;" charge"</f>
        <v>Single rate charge</v>
      </c>
      <c r="D323" s="18" t="s">
        <v>9</v>
      </c>
      <c r="E323" s="18" t="s">
        <v>218</v>
      </c>
      <c r="F323" s="18" t="s">
        <v>31</v>
      </c>
      <c r="G323" s="63" t="str">
        <f>IF(G319=0,"-",
G319+G320+G321+G322)</f>
        <v>-</v>
      </c>
      <c r="H323" s="63">
        <f t="shared" ref="H323" si="67">IF(H319=0,"-",
H319+H320+H321+H322)</f>
        <v>0.20822311461859774</v>
      </c>
      <c r="I323" s="63">
        <f t="shared" ref="I323" si="68">IF(I319=0,"-",
I319+I320+I321+I322)</f>
        <v>0.22188036461770808</v>
      </c>
      <c r="J323" s="63">
        <f t="shared" ref="J323" si="69">IF(J319=0,"-",
J319+J320+J321+J322)</f>
        <v>0.21453860127771918</v>
      </c>
      <c r="K323" s="63">
        <f t="shared" ref="K323" si="70">IF(K319=0,"-",
K319+K320+K321+K322)</f>
        <v>0.21531193457742875</v>
      </c>
    </row>
    <row r="324" spans="2:11" hidden="1" outlineLevel="1" x14ac:dyDescent="0.25">
      <c r="B324"/>
      <c r="G324" s="89" t="e" cm="1">
        <f t="array" ref="G324">IF($D$249=#REF!,
IF(G323=INDEX(#REF!,MATCH(Calc_Rates!$C323&amp;"_"&amp;Calc_Rates!$F323,#REF!,0),MATCH(Calc_Rates!G$9,#REF!,0)),0,1),
IF(G323="-","-",
IF(ROUND(G323,8)=ROUND((((
SUMIFS(Calc_Variable_2[Ausnet],Calc_Variable_2[Customer type],Calc_Rates!$F323)+
SUMIFS(Calc_Variable_2[Ausnet],Calc_Variable_2[Customer type],"All")+G319)*(1+Calc_ROM_2[Ausnet]))*(1+GST)),8),0,1)))</f>
        <v>#REF!</v>
      </c>
      <c r="H324" s="89" t="e" cm="1">
        <f t="array" ref="H324">IF($D$249=#REF!,
IF(H323=INDEX(#REF!,MATCH(Calc_Rates!$C323&amp;"_"&amp;Calc_Rates!$F323,#REF!,0),MATCH(Calc_Rates!H$9,#REF!,0)),0,1),
IF(H323="-","-",
IF(ROUND(H323,8)=ROUND((((
SUMIFS(Calc_Variable_2[Citipower],Calc_Variable_2[Customer type],Calc_Rates!$F323)+
SUMIFS(Calc_Variable_2[Citipower],Calc_Variable_2[Customer type],"All")+H319)*(1+Calc_ROM_2[Citipower]))*(1+GST)),8),0,1)))</f>
        <v>#REF!</v>
      </c>
      <c r="I324" s="89" t="e" cm="1">
        <f t="array" ref="I324">IF($D$249=#REF!,
IF(I323=INDEX(#REF!,MATCH(Calc_Rates!$C323&amp;"_"&amp;Calc_Rates!$F323,#REF!,0),MATCH(Calc_Rates!I$9,#REF!,0)),0,1),
IF(I323="-","-",
IF(ROUND(I323,8)=ROUND((((
SUMIFS(Calc_Variable_2[Jemena],Calc_Variable_2[Customer type],Calc_Rates!$F323)+
SUMIFS(Calc_Variable_2[Jemena],Calc_Variable_2[Customer type],"All")+I319)*(1+Calc_ROM_2[Jemena]))*(1+GST)),8),0,1)))</f>
        <v>#REF!</v>
      </c>
      <c r="J324" s="89" t="e" cm="1">
        <f t="array" ref="J324">IF($D$249=#REF!,
IF(J323=INDEX(#REF!,MATCH(Calc_Rates!$C323&amp;"_"&amp;Calc_Rates!$F323,#REF!,0),MATCH(Calc_Rates!J$9,#REF!,0)),0,1),
IF(J323="-","-",
IF(ROUND(J323,8)=ROUND((((
SUMIFS(Calc_Variable_2[Powercor],Calc_Variable_2[[Customer type]:[Customer type]],Calc_Rates!$F323)+
SUMIFS(Calc_Variable_2[Powercor],Calc_Variable_2[[Customer type]:[Customer type]],"All")+J319)*(1+Calc_ROM_2[Powercor]))*(1+GST)),8),0,1)))</f>
        <v>#REF!</v>
      </c>
      <c r="K324" s="89" t="e" cm="1">
        <f t="array" ref="K324">IF($D$249=#REF!,
IF(K323=INDEX(#REF!,MATCH(Calc_Rates!$C323&amp;"_"&amp;Calc_Rates!$F323,#REF!,0),MATCH(Calc_Rates!K$9,#REF!,0)),0,1),
IF(K323="-","-",
IF(ROUND(K323,8)=ROUND((((
SUMIFS(Calc_Variable_2[United Energy],Calc_Variable_2[[Customer type]:[Customer type]],Calc_Rates!$F323)+
SUMIFS(Calc_Variable_2[United Energy],Calc_Variable_2[[Customer type]:[Customer type]],"All")+K319)*(1+Calc_ROM_2[United Energy]))*(1+GST)),8),0,1)))</f>
        <v>#REF!</v>
      </c>
    </row>
    <row r="325" spans="2:11" ht="15.75" outlineLevel="1" x14ac:dyDescent="0.25">
      <c r="B325"/>
      <c r="C325" s="1" t="s">
        <v>375</v>
      </c>
    </row>
    <row r="326" spans="2:11" ht="15.75" outlineLevel="1" x14ac:dyDescent="0.25">
      <c r="B326"/>
      <c r="C326" s="70" t="s">
        <v>166</v>
      </c>
    </row>
    <row r="327" spans="2:11" outlineLevel="1" x14ac:dyDescent="0.25">
      <c r="B327"/>
      <c r="C327" s="18" t="s">
        <v>222</v>
      </c>
      <c r="D327" s="18" t="s">
        <v>9</v>
      </c>
      <c r="E327" s="18" t="s">
        <v>218</v>
      </c>
      <c r="F327" s="18" t="s">
        <v>31</v>
      </c>
      <c r="G327" s="50">
        <f>SUMIFS(Calc_NetworkV_2[Ausnet],Calc_NetworkV_2[[Cost item]:[Cost item]],$C326,Calc_NetworkV_2[[Customer type]:[Customer type]],$F327)</f>
        <v>0.20853200000000002</v>
      </c>
      <c r="H327" s="50">
        <f>SUMIFS(Calc_NetworkV_2[Citipower],Calc_NetworkV_2[[Cost item]:[Cost item]],$C326,Calc_NetworkV_2[[Customer type]:[Customer type]],$F327)</f>
        <v>0.15939999999999999</v>
      </c>
      <c r="I327" s="50">
        <f>SUMIFS(Calc_NetworkV_2[Jemena],Calc_NetworkV_2[[Cost item]:[Cost item]],$C326,Calc_NetworkV_2[[Customer type]:[Customer type]],$F327)</f>
        <v>0.13492000000000001</v>
      </c>
      <c r="J327" s="50">
        <f>SUMIFS(Calc_NetworkV_2[Powercor],Calc_NetworkV_2[[Cost item]:[Cost item]],$C326,Calc_NetworkV_2[[Customer type]:[Customer type]],$F327)</f>
        <v>0.15869999999999998</v>
      </c>
      <c r="K327" s="50">
        <f>SUMIFS(Calc_NetworkV_2[United Energy],Calc_NetworkV_2[[Cost item]:[Cost item]],$C326,Calc_NetworkV_2[[Customer type]:[Customer type]],$F327)</f>
        <v>0.15789999999999998</v>
      </c>
    </row>
    <row r="328" spans="2:11" outlineLevel="1" x14ac:dyDescent="0.25">
      <c r="B328"/>
      <c r="C328" s="18" t="s">
        <v>216</v>
      </c>
      <c r="D328" s="18" t="s">
        <v>9</v>
      </c>
      <c r="E328" s="18" t="s">
        <v>218</v>
      </c>
      <c r="F328" s="18" t="s">
        <v>31</v>
      </c>
      <c r="G328" s="50">
        <f>SUMIFS(Calc_Variable_2[Ausnet],Calc_Variable_2[[Customer type]:[Customer type]],"All")+SUMIFS(Calc_Variable_2[Ausnet],Calc_Variable_2[[Customer type]:[Customer type]],$F328)</f>
        <v>0.10387925200120192</v>
      </c>
      <c r="H328" s="50">
        <f>SUMIFS(Calc_Variable_2[Citipower],Calc_Variable_2[[Customer type]:[Customer type]],"All")+SUMIFS(Calc_Variable_2[Citipower],Calc_Variable_2[[Customer type]:[Customer type]],$F328)</f>
        <v>9.801163764839832E-2</v>
      </c>
      <c r="I328" s="50">
        <f>SUMIFS(Calc_Variable_2[Jemena],Calc_Variable_2[[Customer type]:[Customer type]],"All")+SUMIFS(Calc_Variable_2[Jemena],Calc_Variable_2[[Customer type]:[Customer type]],$F328)</f>
        <v>0.10352012672551358</v>
      </c>
      <c r="J328" s="50">
        <f>SUMIFS(Calc_Variable_2[Powercor],Calc_Variable_2[[Customer type]:[Customer type]],"All")+SUMIFS(Calc_Variable_2[Powercor],Calc_Variable_2[[Customer type]:[Customer type]],$F328)</f>
        <v>0.10242596385387949</v>
      </c>
      <c r="K328" s="50">
        <f>SUMIFS(Calc_Variable_2[United Energy],Calc_Variable_2[[Customer type]:[Customer type]],"All")+SUMIFS(Calc_Variable_2[United Energy],Calc_Variable_2[[Customer type]:[Customer type]],$F328)</f>
        <v>0.10468894977660981</v>
      </c>
    </row>
    <row r="329" spans="2:11" outlineLevel="1" x14ac:dyDescent="0.25">
      <c r="B329"/>
      <c r="C329" s="18" t="s">
        <v>139</v>
      </c>
      <c r="D329" s="18" t="s">
        <v>9</v>
      </c>
      <c r="E329" s="18" t="s">
        <v>218</v>
      </c>
      <c r="F329" s="18" t="s">
        <v>31</v>
      </c>
      <c r="G329" s="62" cm="1">
        <f t="array" ref="G329">IF(G327=0,"-",
(G327+G328)*Calc_ROM_2[Ausnet])</f>
        <v>1.88696396208726E-2</v>
      </c>
      <c r="H329" s="62" cm="1">
        <f t="array" ref="H329">IF(H327=0,"-",
(H327+H328)*Calc_ROM_2[Citipower])</f>
        <v>1.5547662913963258E-2</v>
      </c>
      <c r="I329" s="62" cm="1">
        <f t="array" ref="I329">IF(I327=0,"-",
(I327+I328)*Calc_ROM_2[Jemena])</f>
        <v>1.4401783654221022E-2</v>
      </c>
      <c r="J329" s="62" cm="1">
        <f t="array" ref="J329">IF(J327=0,"-",
(J327+J328)*Calc_ROM_2[Powercor])</f>
        <v>1.5772008216774321E-2</v>
      </c>
      <c r="K329" s="62" cm="1">
        <f t="array" ref="K329">IF(K327=0,"-",
(K327+K328)*Calc_ROM_2[United Energy])</f>
        <v>1.5860372566507231E-2</v>
      </c>
    </row>
    <row r="330" spans="2:11" outlineLevel="1" x14ac:dyDescent="0.25">
      <c r="B330"/>
      <c r="C330" s="18" t="s">
        <v>213</v>
      </c>
      <c r="D330" s="18" t="s">
        <v>9</v>
      </c>
      <c r="E330" s="18" t="s">
        <v>218</v>
      </c>
      <c r="F330" s="18" t="s">
        <v>31</v>
      </c>
      <c r="G330" s="62">
        <f>IF(G327=0,"-",
(G327+G328+G329)*GST)</f>
        <v>3.3128089162207462E-2</v>
      </c>
      <c r="H330" s="62">
        <f>IF(H327=0,"-",
(H327+H328+H329)*GST)</f>
        <v>2.7295930056236158E-2</v>
      </c>
      <c r="I330" s="62">
        <f>IF(I327=0,"-",
(I327+I328+I329)*GST)</f>
        <v>2.5284191037973466E-2</v>
      </c>
      <c r="J330" s="62">
        <f>IF(J327=0,"-",
(J327+J328+J329)*GST)</f>
        <v>2.7689797207065381E-2</v>
      </c>
      <c r="K330" s="62">
        <f>IF(K327=0,"-",
(K327+K328+K329)*GST)</f>
        <v>2.7844932234311705E-2</v>
      </c>
    </row>
    <row r="331" spans="2:11" outlineLevel="1" x14ac:dyDescent="0.25">
      <c r="B331"/>
      <c r="C331" s="18" t="str">
        <f>C326&amp;" charge"</f>
        <v>Peak charge</v>
      </c>
      <c r="D331" s="18" t="s">
        <v>9</v>
      </c>
      <c r="E331" s="18" t="s">
        <v>218</v>
      </c>
      <c r="F331" s="18" t="s">
        <v>31</v>
      </c>
      <c r="G331" s="63">
        <f>IF(G327=0,"-",
G327+G328+G329+G330)</f>
        <v>0.36440898078428202</v>
      </c>
      <c r="H331" s="63">
        <f t="shared" ref="H331" si="71">IF(H327=0,"-",
H327+H328+H329+H330)</f>
        <v>0.30025523061859771</v>
      </c>
      <c r="I331" s="63">
        <f t="shared" ref="I331" si="72">IF(I327=0,"-",
I327+I328+I329+I330)</f>
        <v>0.2781261014177081</v>
      </c>
      <c r="J331" s="63">
        <f t="shared" ref="J331" si="73">IF(J327=0,"-",
J327+J328+J329+J330)</f>
        <v>0.30458776927771919</v>
      </c>
      <c r="K331" s="63">
        <f t="shared" ref="K331" si="74">IF(K327=0,"-",
K327+K328+K329+K330)</f>
        <v>0.30629425457742876</v>
      </c>
    </row>
    <row r="332" spans="2:11" hidden="1" outlineLevel="1" x14ac:dyDescent="0.25">
      <c r="B332"/>
      <c r="G332" s="89" t="e" cm="1">
        <f t="array" ref="G332">IF($D$249=#REF!,
IF(G331=INDEX(#REF!,MATCH(Calc_Rates!$C331&amp;"_"&amp;Calc_Rates!$F331,#REF!,0),MATCH(Calc_Rates!G$9,#REF!,0)),0,1),
IF(G331="-","-",
IF(ROUND(G331,8)=ROUND((((
SUMIFS(Calc_Variable_2[Ausnet],Calc_Variable_2[Customer type],Calc_Rates!$F331)+
SUMIFS(Calc_Variable_2[Ausnet],Calc_Variable_2[Customer type],"All")+G327)*(1+Calc_ROM_2[Ausnet]))*(1+GST)),8),0,1)))</f>
        <v>#REF!</v>
      </c>
      <c r="H332" s="89" t="e" cm="1">
        <f t="array" ref="H332">IF($D$249=#REF!,
IF(H331=INDEX(#REF!,MATCH(Calc_Rates!$C331&amp;"_"&amp;Calc_Rates!$F331,#REF!,0),MATCH(Calc_Rates!H$9,#REF!,0)),0,1),
IF(H331="-","-",
IF(ROUND(H331,8)=ROUND((((
SUMIFS(Calc_Variable_2[Citipower],Calc_Variable_2[Customer type],Calc_Rates!$F331)+
SUMIFS(Calc_Variable_2[Citipower],Calc_Variable_2[Customer type],"All")+H327)*(1+Calc_ROM_2[Citipower]))*(1+GST)),8),0,1)))</f>
        <v>#REF!</v>
      </c>
      <c r="I332" s="89" t="e" cm="1">
        <f t="array" ref="I332">IF($D$249=#REF!,
IF(I331=INDEX(#REF!,MATCH(Calc_Rates!$C331&amp;"_"&amp;Calc_Rates!$F331,#REF!,0),MATCH(Calc_Rates!I$9,#REF!,0)),0,1),
IF(I331="-","-",
IF(ROUND(I331,8)=ROUND((((
SUMIFS(Calc_Variable_2[Jemena],Calc_Variable_2[Customer type],Calc_Rates!$F331)+
SUMIFS(Calc_Variable_2[Jemena],Calc_Variable_2[Customer type],"All")+I327)*(1+Calc_ROM_2[Jemena]))*(1+GST)),8),0,1)))</f>
        <v>#REF!</v>
      </c>
      <c r="J332" s="89" t="e" cm="1">
        <f t="array" ref="J332">IF($D$249=#REF!,
IF(J331=INDEX(#REF!,MATCH(Calc_Rates!$C331&amp;"_"&amp;Calc_Rates!$F331,#REF!,0),MATCH(Calc_Rates!J$9,#REF!,0)),0,1),
IF(J331="-","-",
IF(ROUND(J331,8)=ROUND((((
SUMIFS(Calc_Variable_2[Powercor],Calc_Variable_2[[Customer type]:[Customer type]],Calc_Rates!$F331)+
SUMIFS(Calc_Variable_2[Powercor],Calc_Variable_2[[Customer type]:[Customer type]],"All")+J327)*(1+Calc_ROM_2[Powercor]))*(1+GST)),8),0,1)))</f>
        <v>#REF!</v>
      </c>
      <c r="K332" s="89" t="e" cm="1">
        <f t="array" ref="K332">IF($D$249=#REF!,
IF(K331=INDEX(#REF!,MATCH(Calc_Rates!$C331&amp;"_"&amp;Calc_Rates!$F331,#REF!,0),MATCH(Calc_Rates!K$9,#REF!,0)),0,1),
IF(K331="-","-",
IF(ROUND(K331,8)=ROUND((((
SUMIFS(Calc_Variable_2[United Energy],Calc_Variable_2[[Customer type]:[Customer type]],Calc_Rates!$F331)+
SUMIFS(Calc_Variable_2[United Energy],Calc_Variable_2[[Customer type]:[Customer type]],"All")+K327)*(1+Calc_ROM_2[United Energy]))*(1+GST)),8),0,1)))</f>
        <v>#REF!</v>
      </c>
    </row>
    <row r="333" spans="2:11" ht="15.75" outlineLevel="1" x14ac:dyDescent="0.25">
      <c r="B333"/>
      <c r="C333" s="70" t="s">
        <v>370</v>
      </c>
    </row>
    <row r="334" spans="2:11" outlineLevel="1" x14ac:dyDescent="0.25">
      <c r="B334"/>
      <c r="C334" s="18" t="s">
        <v>222</v>
      </c>
      <c r="D334" s="18" t="s">
        <v>9</v>
      </c>
      <c r="E334" s="18" t="s">
        <v>218</v>
      </c>
      <c r="F334" s="18" t="s">
        <v>31</v>
      </c>
      <c r="G334" s="50">
        <f>SUMIFS(Calc_NetworkV_2[Ausnet],Calc_NetworkV_2[[Cost item]:[Cost item]],$C333,Calc_NetworkV_2[[Customer type]:[Customer type]],$F334)</f>
        <v>4.3418999999999999E-2</v>
      </c>
      <c r="H334" s="50">
        <f>SUMIFS(Calc_NetworkV_2[Citipower],Calc_NetworkV_2[[Cost item]:[Cost item]],$C333,Calc_NetworkV_2[[Customer type]:[Customer type]],$F334)</f>
        <v>3.9800000000000002E-2</v>
      </c>
      <c r="I334" s="50">
        <f>SUMIFS(Calc_NetworkV_2[Jemena],Calc_NetworkV_2[[Cost item]:[Cost item]],$C333,Calc_NetworkV_2[[Customer type]:[Customer type]],$F334)</f>
        <v>3.8900000000000004E-2</v>
      </c>
      <c r="J334" s="50">
        <f>SUMIFS(Calc_NetworkV_2[Powercor],Calc_NetworkV_2[[Cost item]:[Cost item]],$C333,Calc_NetworkV_2[[Customer type]:[Customer type]],$F334)</f>
        <v>3.9599999999999996E-2</v>
      </c>
      <c r="K334" s="50">
        <f>SUMIFS(Calc_NetworkV_2[United Energy],Calc_NetworkV_2[[Cost item]:[Cost item]],$C333,Calc_NetworkV_2[[Customer type]:[Customer type]],$F334)</f>
        <v>3.95E-2</v>
      </c>
    </row>
    <row r="335" spans="2:11" outlineLevel="1" x14ac:dyDescent="0.25">
      <c r="B335"/>
      <c r="C335" s="18" t="s">
        <v>216</v>
      </c>
      <c r="D335" s="18" t="s">
        <v>9</v>
      </c>
      <c r="E335" s="18" t="s">
        <v>218</v>
      </c>
      <c r="F335" s="18" t="s">
        <v>31</v>
      </c>
      <c r="G335" s="50">
        <f>SUMIFS(Calc_Variable_2[Ausnet],Calc_Variable_2[[Customer type]:[Customer type]],"All")+SUMIFS(Calc_Variable_2[Ausnet],Calc_Variable_2[[Customer type]:[Customer type]],$F335)</f>
        <v>0.10387925200120192</v>
      </c>
      <c r="H335" s="50">
        <f>SUMIFS(Calc_Variable_2[Citipower],Calc_Variable_2[[Customer type]:[Customer type]],"All")+SUMIFS(Calc_Variable_2[Citipower],Calc_Variable_2[[Customer type]:[Customer type]],$F335)</f>
        <v>9.801163764839832E-2</v>
      </c>
      <c r="I335" s="50">
        <f>SUMIFS(Calc_Variable_2[Jemena],Calc_Variable_2[[Customer type]:[Customer type]],"All")+SUMIFS(Calc_Variable_2[Jemena],Calc_Variable_2[[Customer type]:[Customer type]],$F335)</f>
        <v>0.10352012672551358</v>
      </c>
      <c r="J335" s="50">
        <f>SUMIFS(Calc_Variable_2[Powercor],Calc_Variable_2[[Customer type]:[Customer type]],"All")+SUMIFS(Calc_Variable_2[Powercor],Calc_Variable_2[[Customer type]:[Customer type]],$F335)</f>
        <v>0.10242596385387949</v>
      </c>
      <c r="K335" s="50">
        <f>SUMIFS(Calc_Variable_2[United Energy],Calc_Variable_2[[Customer type]:[Customer type]],"All")+SUMIFS(Calc_Variable_2[United Energy],Calc_Variable_2[[Customer type]:[Customer type]],$F335)</f>
        <v>0.10468894977660981</v>
      </c>
    </row>
    <row r="336" spans="2:11" outlineLevel="1" x14ac:dyDescent="0.25">
      <c r="B336"/>
      <c r="C336" s="18" t="s">
        <v>139</v>
      </c>
      <c r="D336" s="18" t="s">
        <v>9</v>
      </c>
      <c r="E336" s="18" t="s">
        <v>218</v>
      </c>
      <c r="F336" s="18" t="s">
        <v>31</v>
      </c>
      <c r="G336" s="62" cm="1">
        <f t="array" ref="G336">IF(G334=0,"-",
(G334+G335)*Calc_ROM_2[Ausnet])</f>
        <v>8.8968144208725966E-3</v>
      </c>
      <c r="H336" s="62" cm="1">
        <f t="array" ref="H336">IF(H334=0,"-",
(H334+H335)*Calc_ROM_2[Citipower])</f>
        <v>8.3238229139632591E-3</v>
      </c>
      <c r="I336" s="62" cm="1">
        <f t="array" ref="I336">IF(I334=0,"-",
(I334+I335)*Calc_ROM_2[Jemena])</f>
        <v>8.6021756542210195E-3</v>
      </c>
      <c r="J336" s="62" cm="1">
        <f t="array" ref="J336">IF(J334=0,"-",
(J334+J335)*Calc_ROM_2[Powercor])</f>
        <v>8.5783682167743219E-3</v>
      </c>
      <c r="K336" s="62" cm="1">
        <f t="array" ref="K336">IF(K334=0,"-",
(K334+K335)*Calc_ROM_2[United Energy])</f>
        <v>8.7090125665072338E-3</v>
      </c>
    </row>
    <row r="337" spans="2:11" outlineLevel="1" x14ac:dyDescent="0.25">
      <c r="B337"/>
      <c r="C337" s="18" t="s">
        <v>213</v>
      </c>
      <c r="D337" s="18" t="s">
        <v>9</v>
      </c>
      <c r="E337" s="18" t="s">
        <v>218</v>
      </c>
      <c r="F337" s="18" t="s">
        <v>31</v>
      </c>
      <c r="G337" s="62">
        <f>IF(G334=0,"-",
(G334+G335+G336)*GST)</f>
        <v>1.5619506642207452E-2</v>
      </c>
      <c r="H337" s="62">
        <f>IF(H334=0,"-",
(H334+H335+H336)*GST)</f>
        <v>1.4613546056236158E-2</v>
      </c>
      <c r="I337" s="62">
        <f>IF(I334=0,"-",
(I334+I335+I336)*GST)</f>
        <v>1.5102230237973462E-2</v>
      </c>
      <c r="J337" s="62">
        <f>IF(J334=0,"-",
(J334+J335+J336)*GST)</f>
        <v>1.5060433207065384E-2</v>
      </c>
      <c r="K337" s="62">
        <f>IF(K334=0,"-",
(K334+K335+K336)*GST)</f>
        <v>1.5289796234311707E-2</v>
      </c>
    </row>
    <row r="338" spans="2:11" outlineLevel="1" x14ac:dyDescent="0.25">
      <c r="B338"/>
      <c r="C338" s="18" t="str">
        <f>C333&amp;" charge"</f>
        <v>Off peak charge</v>
      </c>
      <c r="D338" s="18" t="s">
        <v>9</v>
      </c>
      <c r="E338" s="18" t="s">
        <v>218</v>
      </c>
      <c r="F338" s="18" t="s">
        <v>31</v>
      </c>
      <c r="G338" s="63">
        <f>IF(G334=0,"-",
G334+G335+G336+G337)</f>
        <v>0.17181457306428197</v>
      </c>
      <c r="H338" s="63">
        <f t="shared" ref="H338" si="75">IF(H334=0,"-",
H334+H335+H336+H337)</f>
        <v>0.16074900661859773</v>
      </c>
      <c r="I338" s="63">
        <f t="shared" ref="I338" si="76">IF(I334=0,"-",
I334+I335+I336+I337)</f>
        <v>0.16612453261770807</v>
      </c>
      <c r="J338" s="63">
        <f t="shared" ref="J338" si="77">IF(J334=0,"-",
J334+J335+J336+J337)</f>
        <v>0.1656647652777192</v>
      </c>
      <c r="K338" s="63">
        <f t="shared" ref="K338" si="78">IF(K334=0,"-",
K334+K335+K336+K337)</f>
        <v>0.16818775857742876</v>
      </c>
    </row>
    <row r="339" spans="2:11" hidden="1" outlineLevel="1" x14ac:dyDescent="0.25">
      <c r="B339"/>
      <c r="G339" s="89" t="e" cm="1">
        <f t="array" ref="G339">IF($D$249=#REF!,
IF(G338=INDEX(#REF!,MATCH(Calc_Rates!$C338&amp;"_"&amp;Calc_Rates!$F338,#REF!,0),MATCH(Calc_Rates!G$9,#REF!,0)),0,1),
IF(G338="-","-",
IF(ROUND(G338,8)=ROUND((((
SUMIFS(Calc_Variable_2[Ausnet],Calc_Variable_2[Customer type],Calc_Rates!$F338)+
SUMIFS(Calc_Variable_2[Ausnet],Calc_Variable_2[Customer type],"All")+G334)*(1+Calc_ROM_2[Ausnet]))*(1+GST)),8),0,1)))</f>
        <v>#REF!</v>
      </c>
      <c r="H339" s="89" t="e" cm="1">
        <f t="array" ref="H339">IF($D$249=#REF!,
IF(H338=INDEX(#REF!,MATCH(Calc_Rates!$C338&amp;"_"&amp;Calc_Rates!$F338,#REF!,0),MATCH(Calc_Rates!H$9,#REF!,0)),0,1),
IF(H338="-","-",
IF(ROUND(H338,8)=ROUND((((
SUMIFS(Calc_Variable_2[Citipower],Calc_Variable_2[Customer type],Calc_Rates!$F338)+
SUMIFS(Calc_Variable_2[Citipower],Calc_Variable_2[Customer type],"All")+H334)*(1+Calc_ROM_2[Citipower]))*(1+GST)),8),0,1)))</f>
        <v>#REF!</v>
      </c>
      <c r="I339" s="89" t="e" cm="1">
        <f t="array" ref="I339">IF($D$249=#REF!,
IF(I338=INDEX(#REF!,MATCH(Calc_Rates!$C338&amp;"_"&amp;Calc_Rates!$F338,#REF!,0),MATCH(Calc_Rates!I$9,#REF!,0)),0,1),
IF(I338="-","-",
IF(ROUND(I338,8)=ROUND((((
SUMIFS(Calc_Variable_2[Jemena],Calc_Variable_2[Customer type],Calc_Rates!$F338)+
SUMIFS(Calc_Variable_2[Jemena],Calc_Variable_2[Customer type],"All")+I334)*(1+Calc_ROM_2[Jemena]))*(1+GST)),8),0,1)))</f>
        <v>#REF!</v>
      </c>
      <c r="J339" s="89" t="e" cm="1">
        <f t="array" ref="J339">IF($D$249=#REF!,
IF(J338=INDEX(#REF!,MATCH(Calc_Rates!$C338&amp;"_"&amp;Calc_Rates!$F338,#REF!,0),MATCH(Calc_Rates!J$9,#REF!,0)),0,1),
IF(J338="-","-",
IF(ROUND(J338,8)=ROUND((((
SUMIFS(Calc_Variable_2[Powercor],Calc_Variable_2[[Customer type]:[Customer type]],Calc_Rates!$F338)+
SUMIFS(Calc_Variable_2[Powercor],Calc_Variable_2[[Customer type]:[Customer type]],"All")+J334)*(1+Calc_ROM_2[Powercor]))*(1+GST)),8),0,1)))</f>
        <v>#REF!</v>
      </c>
      <c r="K339" s="89" t="e" cm="1">
        <f t="array" ref="K339">IF($D$249=#REF!,
IF(K338=INDEX(#REF!,MATCH(Calc_Rates!$C338&amp;"_"&amp;Calc_Rates!$F338,#REF!,0),MATCH(Calc_Rates!K$9,#REF!,0)),0,1),
IF(K338="-","-",
IF(ROUND(K338,8)=ROUND((((
SUMIFS(Calc_Variable_2[United Energy],Calc_Variable_2[[Customer type]:[Customer type]],Calc_Rates!$F338)+
SUMIFS(Calc_Variable_2[United Energy],Calc_Variable_2[[Customer type]:[Customer type]],"All")+K334)*(1+Calc_ROM_2[United Energy]))*(1+GST)),8),0,1)))</f>
        <v>#REF!</v>
      </c>
    </row>
    <row r="340" spans="2:11" ht="15.75" outlineLevel="1" x14ac:dyDescent="0.25">
      <c r="B340"/>
      <c r="C340" s="70" t="s">
        <v>223</v>
      </c>
    </row>
    <row r="341" spans="2:11" outlineLevel="1" x14ac:dyDescent="0.25">
      <c r="B341"/>
      <c r="C341" s="18" t="s">
        <v>222</v>
      </c>
      <c r="D341" s="18" t="s">
        <v>9</v>
      </c>
      <c r="E341" s="18" t="s">
        <v>218</v>
      </c>
      <c r="F341" s="18" t="s">
        <v>31</v>
      </c>
      <c r="G341" s="50">
        <f>SUMIFS(Calc_NetworkV_2[Ausnet],Calc_NetworkV_2[[Cost item]:[Cost item]],$C340,Calc_NetworkV_2[[Customer type]:[Customer type]],$F341)</f>
        <v>4.2622999999999994E-2</v>
      </c>
      <c r="H341" s="50">
        <f>SUMIFS(Calc_NetworkV_2[Citipower],Calc_NetworkV_2[[Cost item]:[Cost item]],$C340,Calc_NetworkV_2[[Customer type]:[Customer type]],$F341)</f>
        <v>2.4700000000000003E-2</v>
      </c>
      <c r="I341" s="50">
        <f>SUMIFS(Calc_NetworkV_2[Jemena],Calc_NetworkV_2[[Cost item]:[Cost item]],$C340,Calc_NetworkV_2[[Customer type]:[Customer type]],$F341)</f>
        <v>3.5990000000000001E-2</v>
      </c>
      <c r="J341" s="50">
        <f>SUMIFS(Calc_NetworkV_2[Powercor],Calc_NetworkV_2[[Cost item]:[Cost item]],$C340,Calc_NetworkV_2[[Customer type]:[Customer type]],$F341)</f>
        <v>2.3900000000000001E-2</v>
      </c>
      <c r="K341" s="50">
        <f>SUMIFS(Calc_NetworkV_2[United Energy],Calc_NetworkV_2[[Cost item]:[Cost item]],$C340,Calc_NetworkV_2[[Customer type]:[Customer type]],$F341)</f>
        <v>2.1700000000000001E-2</v>
      </c>
    </row>
    <row r="342" spans="2:11" outlineLevel="1" x14ac:dyDescent="0.25">
      <c r="B342"/>
      <c r="C342" s="18" t="s">
        <v>216</v>
      </c>
      <c r="D342" s="18" t="s">
        <v>9</v>
      </c>
      <c r="E342" s="18" t="s">
        <v>218</v>
      </c>
      <c r="F342" s="18" t="s">
        <v>31</v>
      </c>
      <c r="G342" s="50">
        <f>SUMIFS(Calc_Variable_2[Ausnet],Calc_Variable_2[[Customer type]:[Customer type]],"All")+SUMIFS(Calc_Variable_2[Ausnet],Calc_Variable_2[[Customer type]:[Customer type]],$F342)</f>
        <v>0.10387925200120192</v>
      </c>
      <c r="H342" s="50">
        <f>SUMIFS(Calc_Variable_2[Citipower],Calc_Variable_2[[Customer type]:[Customer type]],"All")+SUMIFS(Calc_Variable_2[Citipower],Calc_Variable_2[[Customer type]:[Customer type]],$F342)</f>
        <v>9.801163764839832E-2</v>
      </c>
      <c r="I342" s="50">
        <f>SUMIFS(Calc_Variable_2[Jemena],Calc_Variable_2[[Customer type]:[Customer type]],"All")+SUMIFS(Calc_Variable_2[Jemena],Calc_Variable_2[[Customer type]:[Customer type]],$F342)</f>
        <v>0.10352012672551358</v>
      </c>
      <c r="J342" s="50">
        <f>SUMIFS(Calc_Variable_2[Powercor],Calc_Variable_2[[Customer type]:[Customer type]],"All")+SUMIFS(Calc_Variable_2[Powercor],Calc_Variable_2[[Customer type]:[Customer type]],$F342)</f>
        <v>0.10242596385387949</v>
      </c>
      <c r="K342" s="50">
        <f>SUMIFS(Calc_Variable_2[United Energy],Calc_Variable_2[[Customer type]:[Customer type]],"All")+SUMIFS(Calc_Variable_2[United Energy],Calc_Variable_2[[Customer type]:[Customer type]],$F342)</f>
        <v>0.10468894977660981</v>
      </c>
    </row>
    <row r="343" spans="2:11" outlineLevel="1" x14ac:dyDescent="0.25">
      <c r="B343"/>
      <c r="C343" s="18" t="s">
        <v>139</v>
      </c>
      <c r="D343" s="18" t="s">
        <v>9</v>
      </c>
      <c r="E343" s="18" t="s">
        <v>218</v>
      </c>
      <c r="F343" s="18" t="s">
        <v>31</v>
      </c>
      <c r="G343" s="62" cm="1">
        <f t="array" ref="G343">IF(G341=0,"-",
(G341+G342)*Calc_ROM_2[Ausnet])</f>
        <v>8.8487360208725965E-3</v>
      </c>
      <c r="H343" s="62" cm="1">
        <f t="array" ref="H343">IF(H341=0,"-",
(H341+H342)*Calc_ROM_2[Citipower])</f>
        <v>7.4117829139632588E-3</v>
      </c>
      <c r="I343" s="62" cm="1">
        <f t="array" ref="I343">IF(I341=0,"-",
(I341+I342)*Calc_ROM_2[Jemena])</f>
        <v>8.4264116542210211E-3</v>
      </c>
      <c r="J343" s="62" cm="1">
        <f t="array" ref="J343">IF(J341=0,"-",
(J341+J342)*Calc_ROM_2[Powercor])</f>
        <v>7.6300882167743209E-3</v>
      </c>
      <c r="K343" s="62" cm="1">
        <f t="array" ref="K343">IF(K341=0,"-",
(K341+K342)*Calc_ROM_2[United Energy])</f>
        <v>7.6338925665072324E-3</v>
      </c>
    </row>
    <row r="344" spans="2:11" outlineLevel="1" x14ac:dyDescent="0.25">
      <c r="B344"/>
      <c r="C344" s="18" t="s">
        <v>213</v>
      </c>
      <c r="D344" s="18" t="s">
        <v>9</v>
      </c>
      <c r="E344" s="18" t="s">
        <v>218</v>
      </c>
      <c r="F344" s="18" t="s">
        <v>31</v>
      </c>
      <c r="G344" s="62">
        <f>IF(G341=0,"-",
(G341+G342+G343)*GST)</f>
        <v>1.5535098802207454E-2</v>
      </c>
      <c r="H344" s="62">
        <f>IF(H341=0,"-",
(H341+H342+H343)*GST)</f>
        <v>1.3012342056236159E-2</v>
      </c>
      <c r="I344" s="62">
        <f>IF(I341=0,"-",
(I341+I342+I343)*GST)</f>
        <v>1.4793653837973462E-2</v>
      </c>
      <c r="J344" s="62">
        <f>IF(J341=0,"-",
(J341+J342+J343)*GST)</f>
        <v>1.3395605207065382E-2</v>
      </c>
      <c r="K344" s="62">
        <f>IF(K341=0,"-",
(K341+K342+K343)*GST)</f>
        <v>1.3402284234311704E-2</v>
      </c>
    </row>
    <row r="345" spans="2:11" outlineLevel="1" x14ac:dyDescent="0.25">
      <c r="B345"/>
      <c r="C345" s="18" t="str">
        <f>C340&amp;" charge"</f>
        <v>Controlled load charge</v>
      </c>
      <c r="D345" s="18" t="s">
        <v>9</v>
      </c>
      <c r="E345" s="18" t="s">
        <v>218</v>
      </c>
      <c r="F345" s="18" t="s">
        <v>31</v>
      </c>
      <c r="G345" s="63">
        <f>IF(G341=0,"-",
G341+G342+G343+G344)</f>
        <v>0.170886086824282</v>
      </c>
      <c r="H345" s="63">
        <f t="shared" ref="H345" si="79">IF(H341=0,"-",
H341+H342+H343+H344)</f>
        <v>0.14313576261859776</v>
      </c>
      <c r="I345" s="63">
        <f t="shared" ref="I345" si="80">IF(I341=0,"-",
I341+I342+I343+I344)</f>
        <v>0.16273019221770807</v>
      </c>
      <c r="J345" s="63">
        <f t="shared" ref="J345" si="81">IF(J341=0,"-",
J341+J342+J343+J344)</f>
        <v>0.14735165727771918</v>
      </c>
      <c r="K345" s="63">
        <f t="shared" ref="K345" si="82">IF(K341=0,"-",
K341+K342+K343+K344)</f>
        <v>0.14742512657742873</v>
      </c>
    </row>
    <row r="346" spans="2:11" hidden="1" outlineLevel="1" x14ac:dyDescent="0.25">
      <c r="B346"/>
      <c r="G346" s="89" t="e" cm="1">
        <f t="array" ref="G346">IF($D$249=#REF!,
IF(G345=INDEX(#REF!,MATCH(Calc_Rates!$C345&amp;"_"&amp;Calc_Rates!$F345,#REF!,0),MATCH(Calc_Rates!G$9,#REF!,0)),0,1),
IF(G345="-","-",
IF(ROUND(G345,8)=ROUND((((
SUMIFS(Calc_Variable_2[Ausnet],Calc_Variable_2[Customer type],Calc_Rates!$F345)+
SUMIFS(Calc_Variable_2[Ausnet],Calc_Variable_2[Customer type],"All")+G341)*(1+Calc_ROM_2[Ausnet]))*(1+GST)),8),0,1)))</f>
        <v>#REF!</v>
      </c>
      <c r="H346" s="89" t="e" cm="1">
        <f t="array" ref="H346">IF($D$249=#REF!,
IF(H345=INDEX(#REF!,MATCH(Calc_Rates!$C345&amp;"_"&amp;Calc_Rates!$F345,#REF!,0),MATCH(Calc_Rates!H$9,#REF!,0)),0,1),
IF(H345="-","-",
IF(ROUND(H345,8)=ROUND((((
SUMIFS(Calc_Variable_2[Citipower],Calc_Variable_2[Customer type],Calc_Rates!$F345)+
SUMIFS(Calc_Variable_2[Citipower],Calc_Variable_2[Customer type],"All")+H341)*(1+Calc_ROM_2[Citipower]))*(1+GST)),8),0,1)))</f>
        <v>#REF!</v>
      </c>
      <c r="I346" s="89" t="e" cm="1">
        <f t="array" ref="I346">IF($D$249=#REF!,
IF(I345=INDEX(#REF!,MATCH(Calc_Rates!$C345&amp;"_"&amp;Calc_Rates!$F345,#REF!,0),MATCH(Calc_Rates!I$9,#REF!,0)),0,1),
IF(I345="-","-",
IF(ROUND(I345,8)=ROUND((((
SUMIFS(Calc_Variable_2[Jemena],Calc_Variable_2[Customer type],Calc_Rates!$F345)+
SUMIFS(Calc_Variable_2[Jemena],Calc_Variable_2[Customer type],"All")+I341)*(1+Calc_ROM_2[Jemena]))*(1+GST)),8),0,1)))</f>
        <v>#REF!</v>
      </c>
      <c r="J346" s="89" t="e" cm="1">
        <f t="array" ref="J346">IF($D$249=#REF!,
IF(J345=INDEX(#REF!,MATCH(Calc_Rates!$C345&amp;"_"&amp;Calc_Rates!$F345,#REF!,0),MATCH(Calc_Rates!J$9,#REF!,0)),0,1),
IF(J345="-","-",
IF(ROUND(J345,8)=ROUND((((
SUMIFS(Calc_Variable_2[Powercor],Calc_Variable_2[[Customer type]:[Customer type]],Calc_Rates!$F345)+
SUMIFS(Calc_Variable_2[Powercor],Calc_Variable_2[[Customer type]:[Customer type]],"All")+J341)*(1+Calc_ROM_2[Powercor]))*(1+GST)),8),0,1)))</f>
        <v>#REF!</v>
      </c>
      <c r="K346" s="89" t="e" cm="1">
        <f t="array" ref="K346">IF($D$249=#REF!,
IF(K345=INDEX(#REF!,MATCH(Calc_Rates!$C345&amp;"_"&amp;Calc_Rates!$F345,#REF!,0),MATCH(Calc_Rates!K$9,#REF!,0)),0,1),
IF(K345="-","-",
IF(ROUND(K345,8)=ROUND((((
SUMIFS(Calc_Variable_2[United Energy],Calc_Variable_2[[Customer type]:[Customer type]],Calc_Rates!$F345)+
SUMIFS(Calc_Variable_2[United Energy],Calc_Variable_2[[Customer type]:[Customer type]],"All")+K341)*(1+Calc_ROM_2[United Energy]))*(1+GST)),8),0,1)))</f>
        <v>#REF!</v>
      </c>
    </row>
    <row r="347" spans="2:11" ht="15.75" x14ac:dyDescent="0.25">
      <c r="B347"/>
      <c r="C347" s="23" t="s">
        <v>224</v>
      </c>
    </row>
    <row r="348" spans="2:11" ht="15.75" outlineLevel="1" x14ac:dyDescent="0.25">
      <c r="B348"/>
      <c r="C348" s="1" t="s">
        <v>374</v>
      </c>
    </row>
    <row r="349" spans="2:11" ht="15.75" outlineLevel="1" x14ac:dyDescent="0.25">
      <c r="B349"/>
      <c r="C349" s="70" t="s">
        <v>157</v>
      </c>
    </row>
    <row r="350" spans="2:11" outlineLevel="1" x14ac:dyDescent="0.25">
      <c r="B350"/>
      <c r="C350" s="18" t="s">
        <v>222</v>
      </c>
      <c r="D350" s="18" t="s">
        <v>9</v>
      </c>
      <c r="E350" s="18" t="s">
        <v>218</v>
      </c>
      <c r="F350" s="18" t="s">
        <v>32</v>
      </c>
      <c r="G350" s="50">
        <f>SUMIFS(Calc_NetworkV_2[Ausnet],Calc_NetworkV_2[[Cost item]:[Cost item]],$C349,Calc_NetworkV_2[[Customer type]:[Customer type]],$F350)</f>
        <v>0.155386</v>
      </c>
      <c r="H350" s="50">
        <f>SUMIFS(Calc_NetworkV_2[Citipower],Calc_NetworkV_2[[Cost item]:[Cost item]],$C349,Calc_NetworkV_2[[Customer type]:[Customer type]],$F350)</f>
        <v>0</v>
      </c>
      <c r="I350" s="50">
        <f>SUMIFS(Calc_NetworkV_2[Jemena],Calc_NetworkV_2[[Cost item]:[Cost item]],$C349,Calc_NetworkV_2[[Customer type]:[Customer type]],$F350)</f>
        <v>0</v>
      </c>
      <c r="J350" s="50">
        <f>SUMIFS(Calc_NetworkV_2[Powercor],Calc_NetworkV_2[[Cost item]:[Cost item]],$C349,Calc_NetworkV_2[[Customer type]:[Customer type]],$F350)</f>
        <v>0</v>
      </c>
      <c r="K350" s="50">
        <f>SUMIFS(Calc_NetworkV_2[United Energy],Calc_NetworkV_2[[Cost item]:[Cost item]],$C349,Calc_NetworkV_2[[Customer type]:[Customer type]],$F350)</f>
        <v>0</v>
      </c>
    </row>
    <row r="351" spans="2:11" outlineLevel="1" x14ac:dyDescent="0.25">
      <c r="B351"/>
      <c r="C351" s="18" t="s">
        <v>216</v>
      </c>
      <c r="D351" s="18" t="s">
        <v>9</v>
      </c>
      <c r="E351" s="18" t="s">
        <v>218</v>
      </c>
      <c r="F351" s="18" t="s">
        <v>32</v>
      </c>
      <c r="G351" s="50">
        <f>SUMIFS(Calc_Variable_2[Ausnet],Calc_Variable_2[[Customer type]:[Customer type]],"All")+SUMIFS(Calc_Variable_2[Ausnet],Calc_Variable_2[[Customer type]:[Customer type]],$F351)</f>
        <v>9.4931015732801924E-2</v>
      </c>
      <c r="H351" s="50">
        <f>SUMIFS(Calc_Variable_2[Citipower],Calc_Variable_2[[Customer type]:[Customer type]],"All")+SUMIFS(Calc_Variable_2[Citipower],Calc_Variable_2[[Customer type]:[Customer type]],$F351)</f>
        <v>9.4431369869398318E-2</v>
      </c>
      <c r="I351" s="50">
        <f>SUMIFS(Calc_Variable_2[Jemena],Calc_Variable_2[[Customer type]:[Customer type]],"All")+SUMIFS(Calc_Variable_2[Jemena],Calc_Variable_2[[Customer type]:[Customer type]],$F351)</f>
        <v>9.376827698151359E-2</v>
      </c>
      <c r="J351" s="50">
        <f>SUMIFS(Calc_Variable_2[Powercor],Calc_Variable_2[[Customer type]:[Customer type]],"All")+SUMIFS(Calc_Variable_2[Powercor],Calc_Variable_2[[Customer type]:[Customer type]],$F351)</f>
        <v>9.3380208108006763E-2</v>
      </c>
      <c r="K351" s="50">
        <f>SUMIFS(Calc_Variable_2[United Energy],Calc_Variable_2[[Customer type]:[Customer type]],"All")+SUMIFS(Calc_Variable_2[United Energy],Calc_Variable_2[[Customer type]:[Customer type]],$F351)</f>
        <v>9.5696788884609821E-2</v>
      </c>
    </row>
    <row r="352" spans="2:11" outlineLevel="1" x14ac:dyDescent="0.25">
      <c r="B352"/>
      <c r="C352" s="18" t="s">
        <v>139</v>
      </c>
      <c r="D352" s="18" t="s">
        <v>9</v>
      </c>
      <c r="E352" s="18" t="s">
        <v>218</v>
      </c>
      <c r="F352" s="18" t="s">
        <v>32</v>
      </c>
      <c r="G352" s="62" cm="1">
        <f t="array" ref="G352">IF(G350=0,"-",
(G350+G351)*Calc_ROM_2[Ausnet])</f>
        <v>1.5119147750261236E-2</v>
      </c>
      <c r="H352" s="62" t="str" cm="1">
        <f t="array" ref="H352">IF(H350=0,"-",
(H350+H351)*Calc_ROM_2[Citipower])</f>
        <v>-</v>
      </c>
      <c r="I352" s="62" t="str" cm="1">
        <f t="array" ref="I352">IF(I350=0,"-",
(I350+I351)*Calc_ROM_2[Jemena])</f>
        <v>-</v>
      </c>
      <c r="J352" s="62" t="str" cm="1">
        <f t="array" ref="J352">IF(J350=0,"-",
(J350+J351)*Calc_ROM_2[Powercor])</f>
        <v>-</v>
      </c>
      <c r="K352" s="62" t="str" cm="1">
        <f t="array" ref="K352">IF(K350=0,"-",
(K350+K351)*Calc_ROM_2[United Energy])</f>
        <v>-</v>
      </c>
    </row>
    <row r="353" spans="2:11" outlineLevel="1" x14ac:dyDescent="0.25">
      <c r="B353"/>
      <c r="C353" s="18" t="s">
        <v>213</v>
      </c>
      <c r="D353" s="18" t="s">
        <v>9</v>
      </c>
      <c r="E353" s="18" t="s">
        <v>218</v>
      </c>
      <c r="F353" s="18" t="s">
        <v>32</v>
      </c>
      <c r="G353" s="62">
        <f>IF(G350=0,"-",
(G350+G351+G352)*GST)</f>
        <v>2.6543616348306317E-2</v>
      </c>
      <c r="H353" s="62" t="str">
        <f>IF(H350=0,"-",
(H350+H351+H352)*GST)</f>
        <v>-</v>
      </c>
      <c r="I353" s="62" t="str">
        <f>IF(I350=0,"-",
(I350+I351+I352)*GST)</f>
        <v>-</v>
      </c>
      <c r="J353" s="62" t="str">
        <f>IF(J350=0,"-",
(J350+J351+J352)*GST)</f>
        <v>-</v>
      </c>
      <c r="K353" s="62" t="str">
        <f>IF(K350=0,"-",
(K350+K351+K352)*GST)</f>
        <v>-</v>
      </c>
    </row>
    <row r="354" spans="2:11" outlineLevel="1" x14ac:dyDescent="0.25">
      <c r="B354"/>
      <c r="C354" s="18" t="str">
        <f>C349&amp;" charge"</f>
        <v>Block 1 charge</v>
      </c>
      <c r="D354" s="18" t="s">
        <v>9</v>
      </c>
      <c r="E354" s="18" t="s">
        <v>218</v>
      </c>
      <c r="F354" s="18" t="s">
        <v>32</v>
      </c>
      <c r="G354" s="63">
        <f>IF(G350=0,"-",
G350+G351+G352+G353)</f>
        <v>0.29197977983136947</v>
      </c>
      <c r="H354" s="63" t="str">
        <f t="shared" ref="H354" si="83">IF(H350=0,"-",
H350+H351+H352+H353)</f>
        <v>-</v>
      </c>
      <c r="I354" s="63" t="str">
        <f t="shared" ref="I354" si="84">IF(I350=0,"-",
I350+I351+I352+I353)</f>
        <v>-</v>
      </c>
      <c r="J354" s="63" t="str">
        <f t="shared" ref="J354" si="85">IF(J350=0,"-",
J350+J351+J352+J353)</f>
        <v>-</v>
      </c>
      <c r="K354" s="63" t="str">
        <f t="shared" ref="K354" si="86">IF(K350=0,"-",
K350+K351+K352+K353)</f>
        <v>-</v>
      </c>
    </row>
    <row r="355" spans="2:11" hidden="1" outlineLevel="1" x14ac:dyDescent="0.25">
      <c r="B355"/>
      <c r="G355" s="89" t="e" cm="1">
        <f t="array" ref="G355">IF($D$249=#REF!,
IF(G354=INDEX(#REF!,MATCH(Calc_Rates!$C354&amp;"_"&amp;Calc_Rates!$F354,#REF!,0),MATCH(Calc_Rates!G$9,#REF!,0)),0,1),
IF(G354="-","-",
IF(ROUND(G354,8)=ROUND((((
SUMIFS(Calc_Variable_2[Ausnet],Calc_Variable_2[Customer type],Calc_Rates!$F354)+
SUMIFS(Calc_Variable_2[Ausnet],Calc_Variable_2[Customer type],"All")+G350)*(1+Calc_ROM_2[Ausnet]))*(1+GST)),8),0,1)))</f>
        <v>#REF!</v>
      </c>
      <c r="H355" s="89" t="e" cm="1">
        <f t="array" ref="H355">IF($D$249=#REF!,
IF(H354=INDEX(#REF!,MATCH(Calc_Rates!$C354&amp;"_"&amp;Calc_Rates!$F354,#REF!,0),MATCH(Calc_Rates!H$9,#REF!,0)),0,1),
IF(H354="-","-",
IF(ROUND(H354,8)=ROUND((((
SUMIFS(Calc_Variable_2[Citipower],Calc_Variable_2[Customer type],Calc_Rates!$F354)+
SUMIFS(Calc_Variable_2[Citipower],Calc_Variable_2[Customer type],"All")+H350)*(1+Calc_ROM_2[Citipower]))*(1+GST)),8),0,1)))</f>
        <v>#REF!</v>
      </c>
      <c r="I355" s="89" t="e" cm="1">
        <f t="array" ref="I355">IF($D$249=#REF!,
IF(I354=INDEX(#REF!,MATCH(Calc_Rates!$C354&amp;"_"&amp;Calc_Rates!$F354,#REF!,0),MATCH(Calc_Rates!I$9,#REF!,0)),0,1),
IF(I354="-","-",
IF(ROUND(I354,8)=ROUND((((
SUMIFS(Calc_Variable_2[Jemena],Calc_Variable_2[Customer type],Calc_Rates!$F354)+
SUMIFS(Calc_Variable_2[Jemena],Calc_Variable_2[Customer type],"All")+I350)*(1+Calc_ROM_2[Jemena]))*(1+GST)),8),0,1)))</f>
        <v>#REF!</v>
      </c>
      <c r="J355" s="89" t="e" cm="1">
        <f t="array" ref="J355">IF($D$249=#REF!,
IF(J354=INDEX(#REF!,MATCH(Calc_Rates!$C354&amp;"_"&amp;Calc_Rates!$F354,#REF!,0),MATCH(Calc_Rates!J$9,#REF!,0)),0,1),
IF(J354="-","-",
IF(ROUND(J354,8)=ROUND((((
SUMIFS(Calc_Variable_2[Powercor],Calc_Variable_2[[Customer type]:[Customer type]],Calc_Rates!$F354)+
SUMIFS(Calc_Variable_2[Powercor],Calc_Variable_2[[Customer type]:[Customer type]],"All")+J350)*(1+Calc_ROM_2[Powercor]))*(1+GST)),8),0,1)))</f>
        <v>#REF!</v>
      </c>
      <c r="K355" s="89" t="e" cm="1">
        <f t="array" ref="K355">IF($D$249=#REF!,
IF(K354=INDEX(#REF!,MATCH(Calc_Rates!$C354&amp;"_"&amp;Calc_Rates!$F354,#REF!,0),MATCH(Calc_Rates!K$9,#REF!,0)),0,1),
IF(K354="-","-",
IF(ROUND(K354,8)=ROUND((((
SUMIFS(Calc_Variable_2[United Energy],Calc_Variable_2[[Customer type]:[Customer type]],Calc_Rates!$F354)+
SUMIFS(Calc_Variable_2[United Energy],Calc_Variable_2[[Customer type]:[Customer type]],"All")+K350)*(1+Calc_ROM_2[United Energy]))*(1+GST)),8),0,1)))</f>
        <v>#REF!</v>
      </c>
    </row>
    <row r="356" spans="2:11" ht="15.75" outlineLevel="1" x14ac:dyDescent="0.25">
      <c r="B356"/>
      <c r="C356" s="70" t="s">
        <v>164</v>
      </c>
    </row>
    <row r="357" spans="2:11" outlineLevel="1" x14ac:dyDescent="0.25">
      <c r="B357"/>
      <c r="C357" s="18" t="s">
        <v>222</v>
      </c>
      <c r="D357" s="18" t="s">
        <v>9</v>
      </c>
      <c r="E357" s="18" t="s">
        <v>218</v>
      </c>
      <c r="F357" s="18" t="s">
        <v>32</v>
      </c>
      <c r="G357" s="50">
        <f>SUMIFS(Calc_NetworkV_2[Ausnet],Calc_NetworkV_2[[Cost item]:[Cost item]],$C356,Calc_NetworkV_2[[Customer type]:[Customer type]],$F357)</f>
        <v>0.182667</v>
      </c>
      <c r="H357" s="50">
        <f>SUMIFS(Calc_NetworkV_2[Citipower],Calc_NetworkV_2[[Cost item]:[Cost item]],$C356,Calc_NetworkV_2[[Customer type]:[Customer type]],$F357)</f>
        <v>0</v>
      </c>
      <c r="I357" s="50">
        <f>SUMIFS(Calc_NetworkV_2[Jemena],Calc_NetworkV_2[[Cost item]:[Cost item]],$C356,Calc_NetworkV_2[[Customer type]:[Customer type]],$F357)</f>
        <v>0</v>
      </c>
      <c r="J357" s="50">
        <f>SUMIFS(Calc_NetworkV_2[Powercor],Calc_NetworkV_2[[Cost item]:[Cost item]],$C356,Calc_NetworkV_2[[Customer type]:[Customer type]],$F357)</f>
        <v>0</v>
      </c>
      <c r="K357" s="50">
        <f>SUMIFS(Calc_NetworkV_2[United Energy],Calc_NetworkV_2[[Cost item]:[Cost item]],$C356,Calc_NetworkV_2[[Customer type]:[Customer type]],$F357)</f>
        <v>0</v>
      </c>
    </row>
    <row r="358" spans="2:11" outlineLevel="1" x14ac:dyDescent="0.25">
      <c r="B358"/>
      <c r="C358" s="18" t="s">
        <v>216</v>
      </c>
      <c r="D358" s="18" t="s">
        <v>9</v>
      </c>
      <c r="E358" s="18" t="s">
        <v>218</v>
      </c>
      <c r="F358" s="18" t="s">
        <v>32</v>
      </c>
      <c r="G358" s="50">
        <f>SUMIFS(Calc_Variable_2[Ausnet],Calc_Variable_2[[Customer type]:[Customer type]],"All")+SUMIFS(Calc_Variable_2[Ausnet],Calc_Variable_2[[Customer type]:[Customer type]],$F358)</f>
        <v>9.4931015732801924E-2</v>
      </c>
      <c r="H358" s="50">
        <f>SUMIFS(Calc_Variable_2[Citipower],Calc_Variable_2[[Customer type]:[Customer type]],"All")+SUMIFS(Calc_Variable_2[Citipower],Calc_Variable_2[[Customer type]:[Customer type]],$F358)</f>
        <v>9.4431369869398318E-2</v>
      </c>
      <c r="I358" s="50">
        <f>SUMIFS(Calc_Variable_2[Jemena],Calc_Variable_2[[Customer type]:[Customer type]],"All")+SUMIFS(Calc_Variable_2[Jemena],Calc_Variable_2[[Customer type]:[Customer type]],$F358)</f>
        <v>9.376827698151359E-2</v>
      </c>
      <c r="J358" s="50">
        <f>SUMIFS(Calc_Variable_2[Powercor],Calc_Variable_2[[Customer type]:[Customer type]],"All")+SUMIFS(Calc_Variable_2[Powercor],Calc_Variable_2[[Customer type]:[Customer type]],$F358)</f>
        <v>9.3380208108006763E-2</v>
      </c>
      <c r="K358" s="50">
        <f>SUMIFS(Calc_Variable_2[United Energy],Calc_Variable_2[[Customer type]:[Customer type]],"All")+SUMIFS(Calc_Variable_2[United Energy],Calc_Variable_2[[Customer type]:[Customer type]],$F358)</f>
        <v>9.5696788884609821E-2</v>
      </c>
    </row>
    <row r="359" spans="2:11" outlineLevel="1" x14ac:dyDescent="0.25">
      <c r="B359"/>
      <c r="C359" s="18" t="s">
        <v>139</v>
      </c>
      <c r="D359" s="18" t="s">
        <v>9</v>
      </c>
      <c r="E359" s="18" t="s">
        <v>218</v>
      </c>
      <c r="F359" s="18" t="s">
        <v>32</v>
      </c>
      <c r="G359" s="62" cm="1">
        <f t="array" ref="G359">IF(G357=0,"-",
(G357+G358)*Calc_ROM_2[Ausnet])</f>
        <v>1.6766920150261235E-2</v>
      </c>
      <c r="H359" s="62" t="str" cm="1">
        <f t="array" ref="H359">IF(H357=0,"-",
(H357+H358)*Calc_ROM_2[Citipower])</f>
        <v>-</v>
      </c>
      <c r="I359" s="62" t="str" cm="1">
        <f t="array" ref="I359">IF(I357=0,"-",
(I357+I358)*Calc_ROM_2[Jemena])</f>
        <v>-</v>
      </c>
      <c r="J359" s="62" t="str" cm="1">
        <f t="array" ref="J359">IF(J357=0,"-",
(J357+J358)*Calc_ROM_2[Powercor])</f>
        <v>-</v>
      </c>
      <c r="K359" s="62" t="str" cm="1">
        <f t="array" ref="K359">IF(K357=0,"-",
(K357+K358)*Calc_ROM_2[United Energy])</f>
        <v>-</v>
      </c>
    </row>
    <row r="360" spans="2:11" outlineLevel="1" x14ac:dyDescent="0.25">
      <c r="B360"/>
      <c r="C360" s="18" t="s">
        <v>213</v>
      </c>
      <c r="D360" s="18" t="s">
        <v>9</v>
      </c>
      <c r="E360" s="18" t="s">
        <v>218</v>
      </c>
      <c r="F360" s="18" t="s">
        <v>32</v>
      </c>
      <c r="G360" s="62">
        <f>IF(G357=0,"-",
(G357+G358+G359)*GST)</f>
        <v>2.9436493588306314E-2</v>
      </c>
      <c r="H360" s="62" t="str">
        <f>IF(H357=0,"-",
(H357+H358+H359)*GST)</f>
        <v>-</v>
      </c>
      <c r="I360" s="62" t="str">
        <f>IF(I357=0,"-",
(I357+I358+I359)*GST)</f>
        <v>-</v>
      </c>
      <c r="J360" s="62" t="str">
        <f>IF(J357=0,"-",
(J357+J358+J359)*GST)</f>
        <v>-</v>
      </c>
      <c r="K360" s="62" t="str">
        <f>IF(K357=0,"-",
(K357+K358+K359)*GST)</f>
        <v>-</v>
      </c>
    </row>
    <row r="361" spans="2:11" outlineLevel="1" x14ac:dyDescent="0.25">
      <c r="B361"/>
      <c r="C361" s="18" t="str">
        <f>C356&amp;" charge"</f>
        <v>Balance charge</v>
      </c>
      <c r="D361" s="18" t="s">
        <v>9</v>
      </c>
      <c r="E361" s="18" t="s">
        <v>218</v>
      </c>
      <c r="F361" s="18" t="s">
        <v>32</v>
      </c>
      <c r="G361" s="63">
        <f>IF(G357=0,"-",
G357+G358+G359+G360)</f>
        <v>0.32380142947136942</v>
      </c>
      <c r="H361" s="63" t="str">
        <f t="shared" ref="H361" si="87">IF(H357=0,"-",
H357+H358+H359+H360)</f>
        <v>-</v>
      </c>
      <c r="I361" s="63" t="str">
        <f t="shared" ref="I361" si="88">IF(I357=0,"-",
I357+I358+I359+I360)</f>
        <v>-</v>
      </c>
      <c r="J361" s="63" t="str">
        <f t="shared" ref="J361" si="89">IF(J357=0,"-",
J357+J358+J359+J360)</f>
        <v>-</v>
      </c>
      <c r="K361" s="63" t="str">
        <f t="shared" ref="K361" si="90">IF(K357=0,"-",
K357+K358+K359+K360)</f>
        <v>-</v>
      </c>
    </row>
    <row r="362" spans="2:11" hidden="1" outlineLevel="1" x14ac:dyDescent="0.25">
      <c r="B362"/>
      <c r="G362" s="89" t="e" cm="1">
        <f t="array" ref="G362">IF($D$249=#REF!,
IF(G361=INDEX(#REF!,MATCH(Calc_Rates!$C361&amp;"_"&amp;Calc_Rates!$F361,#REF!,0),MATCH(Calc_Rates!G$9,#REF!,0)),0,1),
IF(G361="-","-",
IF(ROUND(G361,8)=ROUND((((
SUMIFS(Calc_Variable_2[Ausnet],Calc_Variable_2[Customer type],Calc_Rates!$F361)+
SUMIFS(Calc_Variable_2[Ausnet],Calc_Variable_2[Customer type],"All")+G357)*(1+Calc_ROM_2[Ausnet]))*(1+GST)),8),0,1)))</f>
        <v>#REF!</v>
      </c>
      <c r="H362" s="89" t="e" cm="1">
        <f t="array" ref="H362">IF($D$249=#REF!,
IF(H361=INDEX(#REF!,MATCH(Calc_Rates!$C361&amp;"_"&amp;Calc_Rates!$F361,#REF!,0),MATCH(Calc_Rates!H$9,#REF!,0)),0,1),
IF(H361="-","-",
IF(ROUND(H361,8)=ROUND((((
SUMIFS(Calc_Variable_2[Citipower],Calc_Variable_2[Customer type],Calc_Rates!$F361)+
SUMIFS(Calc_Variable_2[Citipower],Calc_Variable_2[Customer type],"All")+H357)*(1+Calc_ROM_2[Citipower]))*(1+GST)),8),0,1)))</f>
        <v>#REF!</v>
      </c>
      <c r="I362" s="89" t="e" cm="1">
        <f t="array" ref="I362">IF($D$249=#REF!,
IF(I361=INDEX(#REF!,MATCH(Calc_Rates!$C361&amp;"_"&amp;Calc_Rates!$F361,#REF!,0),MATCH(Calc_Rates!I$9,#REF!,0)),0,1),
IF(I361="-","-",
IF(ROUND(I361,8)=ROUND((((
SUMIFS(Calc_Variable_2[Jemena],Calc_Variable_2[Customer type],Calc_Rates!$F361)+
SUMIFS(Calc_Variable_2[Jemena],Calc_Variable_2[Customer type],"All")+I357)*(1+Calc_ROM_2[Jemena]))*(1+GST)),8),0,1)))</f>
        <v>#REF!</v>
      </c>
      <c r="J362" s="89" t="e" cm="1">
        <f t="array" ref="J362">IF($D$249=#REF!,
IF(J361=INDEX(#REF!,MATCH(Calc_Rates!$C361&amp;"_"&amp;Calc_Rates!$F361,#REF!,0),MATCH(Calc_Rates!J$9,#REF!,0)),0,1),
IF(J361="-","-",
IF(ROUND(J361,8)=ROUND((((
SUMIFS(Calc_Variable_2[Powercor],Calc_Variable_2[[Customer type]:[Customer type]],Calc_Rates!$F361)+
SUMIFS(Calc_Variable_2[Powercor],Calc_Variable_2[[Customer type]:[Customer type]],"All")+J357)*(1+Calc_ROM_2[Powercor]))*(1+GST)),8),0,1)))</f>
        <v>#REF!</v>
      </c>
      <c r="K362" s="89" t="e" cm="1">
        <f t="array" ref="K362">IF($D$249=#REF!,
IF(K361=INDEX(#REF!,MATCH(Calc_Rates!$C361&amp;"_"&amp;Calc_Rates!$F361,#REF!,0),MATCH(Calc_Rates!K$9,#REF!,0)),0,1),
IF(K361="-","-",
IF(ROUND(K361,8)=ROUND((((
SUMIFS(Calc_Variable_2[United Energy],Calc_Variable_2[[Customer type]:[Customer type]],Calc_Rates!$F361)+
SUMIFS(Calc_Variable_2[United Energy],Calc_Variable_2[[Customer type]:[Customer type]],"All")+K357)*(1+Calc_ROM_2[United Energy]))*(1+GST)),8),0,1)))</f>
        <v>#REF!</v>
      </c>
    </row>
    <row r="363" spans="2:11" ht="15.75" outlineLevel="1" x14ac:dyDescent="0.25">
      <c r="B363"/>
      <c r="C363" s="70" t="s">
        <v>338</v>
      </c>
    </row>
    <row r="364" spans="2:11" outlineLevel="1" x14ac:dyDescent="0.25">
      <c r="B364"/>
      <c r="C364" s="18" t="s">
        <v>222</v>
      </c>
      <c r="D364" s="18" t="s">
        <v>9</v>
      </c>
      <c r="E364" s="18" t="s">
        <v>218</v>
      </c>
      <c r="F364" s="18" t="s">
        <v>32</v>
      </c>
      <c r="G364" s="50">
        <f>SUMIFS(Calc_NetworkV_2[Ausnet],Calc_NetworkV_2[[Cost item]:[Cost item]],$C363,Calc_NetworkV_2[[Customer type]:[Customer type]],$F364)</f>
        <v>0</v>
      </c>
      <c r="H364" s="50">
        <f>SUMIFS(Calc_NetworkV_2[Citipower],Calc_NetworkV_2[[Cost item]:[Cost item]],$C363,Calc_NetworkV_2[[Customer type]:[Customer type]],$F364)</f>
        <v>8.2100000000000006E-2</v>
      </c>
      <c r="I364" s="50">
        <f>SUMIFS(Calc_NetworkV_2[Jemena],Calc_NetworkV_2[[Cost item]:[Cost item]],$C363,Calc_NetworkV_2[[Customer type]:[Customer type]],$F364)</f>
        <v>0.10973000000000001</v>
      </c>
      <c r="J364" s="50">
        <f>SUMIFS(Calc_NetworkV_2[Powercor],Calc_NetworkV_2[[Cost item]:[Cost item]],$C363,Calc_NetworkV_2[[Customer type]:[Customer type]],$F364)</f>
        <v>9.2899999999999996E-2</v>
      </c>
      <c r="K364" s="50">
        <f>SUMIFS(Calc_NetworkV_2[United Energy],Calc_NetworkV_2[[Cost item]:[Cost item]],$C363,Calc_NetworkV_2[[Customer type]:[Customer type]],$F364)</f>
        <v>8.7899999999999992E-2</v>
      </c>
    </row>
    <row r="365" spans="2:11" outlineLevel="1" x14ac:dyDescent="0.25">
      <c r="B365"/>
      <c r="C365" s="18" t="s">
        <v>216</v>
      </c>
      <c r="D365" s="18" t="s">
        <v>9</v>
      </c>
      <c r="E365" s="18" t="s">
        <v>218</v>
      </c>
      <c r="F365" s="18" t="s">
        <v>32</v>
      </c>
      <c r="G365" s="50">
        <f>SUMIFS(Calc_Variable_2[Ausnet],Calc_Variable_2[[Customer type]:[Customer type]],"All")+SUMIFS(Calc_Variable_2[Ausnet],Calc_Variable_2[[Customer type]:[Customer type]],$F365)</f>
        <v>9.4931015732801924E-2</v>
      </c>
      <c r="H365" s="50">
        <f>SUMIFS(Calc_Variable_2[Citipower],Calc_Variable_2[[Customer type]:[Customer type]],"All")+SUMIFS(Calc_Variable_2[Citipower],Calc_Variable_2[[Customer type]:[Customer type]],$F365)</f>
        <v>9.4431369869398318E-2</v>
      </c>
      <c r="I365" s="50">
        <f>SUMIFS(Calc_Variable_2[Jemena],Calc_Variable_2[[Customer type]:[Customer type]],"All")+SUMIFS(Calc_Variable_2[Jemena],Calc_Variable_2[[Customer type]:[Customer type]],$F365)</f>
        <v>9.376827698151359E-2</v>
      </c>
      <c r="J365" s="50">
        <f>SUMIFS(Calc_Variable_2[Powercor],Calc_Variable_2[[Customer type]:[Customer type]],"All")+SUMIFS(Calc_Variable_2[Powercor],Calc_Variable_2[[Customer type]:[Customer type]],$F365)</f>
        <v>9.3380208108006763E-2</v>
      </c>
      <c r="K365" s="50">
        <f>SUMIFS(Calc_Variable_2[United Energy],Calc_Variable_2[[Customer type]:[Customer type]],"All")+SUMIFS(Calc_Variable_2[United Energy],Calc_Variable_2[[Customer type]:[Customer type]],$F365)</f>
        <v>9.5696788884609821E-2</v>
      </c>
    </row>
    <row r="366" spans="2:11" outlineLevel="1" x14ac:dyDescent="0.25">
      <c r="B366"/>
      <c r="C366" s="18" t="s">
        <v>139</v>
      </c>
      <c r="D366" s="18" t="s">
        <v>9</v>
      </c>
      <c r="E366" s="18" t="s">
        <v>218</v>
      </c>
      <c r="F366" s="18" t="s">
        <v>32</v>
      </c>
      <c r="G366" s="62" t="str" cm="1">
        <f t="array" ref="G366">IF(G364=0,"-",
(G364+G365)*Calc_ROM_2[Ausnet])</f>
        <v>-</v>
      </c>
      <c r="H366" s="62" cm="1">
        <f t="array" ref="H366">IF(H364=0,"-",
(H364+H365)*Calc_ROM_2[Citipower])</f>
        <v>1.0662494740111659E-2</v>
      </c>
      <c r="I366" s="62" cm="1">
        <f t="array" ref="I366">IF(I364=0,"-",
(I364+I365)*Calc_ROM_2[Jemena])</f>
        <v>1.2291295929683421E-2</v>
      </c>
      <c r="J366" s="62" cm="1">
        <f t="array" ref="J366">IF(J364=0,"-",
(J364+J365)*Calc_ROM_2[Powercor])</f>
        <v>1.125132456972361E-2</v>
      </c>
      <c r="K366" s="62" cm="1">
        <f t="array" ref="K366">IF(K364=0,"-",
(K364+K365)*Calc_ROM_2[United Energy])</f>
        <v>1.1089246048630434E-2</v>
      </c>
    </row>
    <row r="367" spans="2:11" outlineLevel="1" x14ac:dyDescent="0.25">
      <c r="B367"/>
      <c r="C367" s="18" t="s">
        <v>213</v>
      </c>
      <c r="D367" s="18" t="s">
        <v>9</v>
      </c>
      <c r="E367" s="18" t="s">
        <v>218</v>
      </c>
      <c r="F367" s="18" t="s">
        <v>32</v>
      </c>
      <c r="G367" s="62" t="str">
        <f>IF(G364=0,"-",
(G364+G365+G366)*GST)</f>
        <v>-</v>
      </c>
      <c r="H367" s="62">
        <f>IF(H364=0,"-",
(H364+H365+H366)*GST)</f>
        <v>1.8719386460951001E-2</v>
      </c>
      <c r="I367" s="62">
        <f>IF(I364=0,"-",
(I364+I365+I366)*GST)</f>
        <v>2.1578957291119704E-2</v>
      </c>
      <c r="J367" s="62">
        <f>IF(J364=0,"-",
(J364+J365+J366)*GST)</f>
        <v>1.9753153267773039E-2</v>
      </c>
      <c r="K367" s="62">
        <f>IF(K364=0,"-",
(K364+K365+K366)*GST)</f>
        <v>1.9468603493324025E-2</v>
      </c>
    </row>
    <row r="368" spans="2:11" outlineLevel="1" x14ac:dyDescent="0.25">
      <c r="B368"/>
      <c r="C368" s="18" t="str">
        <f>C363&amp;" charge"</f>
        <v>Single rate charge</v>
      </c>
      <c r="D368" s="18" t="s">
        <v>9</v>
      </c>
      <c r="E368" s="18" t="s">
        <v>218</v>
      </c>
      <c r="F368" s="18" t="s">
        <v>32</v>
      </c>
      <c r="G368" s="63" t="str">
        <f>IF(G364=0,"-",
G364+G365+G366+G367)</f>
        <v>-</v>
      </c>
      <c r="H368" s="63">
        <f t="shared" ref="H368" si="91">IF(H364=0,"-",
H364+H365+H366+H367)</f>
        <v>0.20591325107046099</v>
      </c>
      <c r="I368" s="63">
        <f t="shared" ref="I368" si="92">IF(I364=0,"-",
I364+I365+I366+I367)</f>
        <v>0.23736853020231671</v>
      </c>
      <c r="J368" s="63">
        <f t="shared" ref="J368" si="93">IF(J364=0,"-",
J364+J365+J366+J367)</f>
        <v>0.21728468594550343</v>
      </c>
      <c r="K368" s="63">
        <f t="shared" ref="K368" si="94">IF(K364=0,"-",
K364+K365+K366+K367)</f>
        <v>0.21415463842656426</v>
      </c>
    </row>
    <row r="369" spans="1:11" hidden="1" outlineLevel="1" x14ac:dyDescent="0.25">
      <c r="B369"/>
      <c r="G369" s="89" t="e" cm="1">
        <f t="array" ref="G369">IF($D$249=#REF!,
IF(G368=INDEX(#REF!,MATCH(Calc_Rates!$C368&amp;"_"&amp;Calc_Rates!$F368,#REF!,0),MATCH(Calc_Rates!G$9,#REF!,0)),0,1),
IF(G368="-","-",
IF(ROUND(G368,8)=ROUND((((
SUMIFS(Calc_Variable_2[Ausnet],Calc_Variable_2[Customer type],Calc_Rates!$F368)+
SUMIFS(Calc_Variable_2[Ausnet],Calc_Variable_2[Customer type],"All")+G364)*(1+Calc_ROM_2[Ausnet]))*(1+GST)),8),0,1)))</f>
        <v>#REF!</v>
      </c>
      <c r="H369" s="89" t="e" cm="1">
        <f t="array" ref="H369">IF($D$249=#REF!,
IF(H368=INDEX(#REF!,MATCH(Calc_Rates!$C368&amp;"_"&amp;Calc_Rates!$F368,#REF!,0),MATCH(Calc_Rates!H$9,#REF!,0)),0,1),
IF(H368="-","-",
IF(ROUND(H368,8)=ROUND((((
SUMIFS(Calc_Variable_2[Citipower],Calc_Variable_2[Customer type],Calc_Rates!$F368)+
SUMIFS(Calc_Variable_2[Citipower],Calc_Variable_2[Customer type],"All")+H364)*(1+Calc_ROM_2[Citipower]))*(1+GST)),8),0,1)))</f>
        <v>#REF!</v>
      </c>
      <c r="I369" s="89" t="e" cm="1">
        <f t="array" ref="I369">IF($D$249=#REF!,
IF(I368=INDEX(#REF!,MATCH(Calc_Rates!$C368&amp;"_"&amp;Calc_Rates!$F368,#REF!,0),MATCH(Calc_Rates!I$9,#REF!,0)),0,1),
IF(I368="-","-",
IF(ROUND(I368,8)=ROUND((((
SUMIFS(Calc_Variable_2[Jemena],Calc_Variable_2[Customer type],Calc_Rates!$F368)+
SUMIFS(Calc_Variable_2[Jemena],Calc_Variable_2[Customer type],"All")+I364)*(1+Calc_ROM_2[Jemena]))*(1+GST)),8),0,1)))</f>
        <v>#REF!</v>
      </c>
      <c r="J369" s="89" t="e" cm="1">
        <f t="array" ref="J369">IF($D$249=#REF!,
IF(J368=INDEX(#REF!,MATCH(Calc_Rates!$C368&amp;"_"&amp;Calc_Rates!$F368,#REF!,0),MATCH(Calc_Rates!J$9,#REF!,0)),0,1),
IF(J368="-","-",
IF(ROUND(J368,8)=ROUND((((
SUMIFS(Calc_Variable_2[Powercor],Calc_Variable_2[[Customer type]:[Customer type]],Calc_Rates!$F368)+
SUMIFS(Calc_Variable_2[Powercor],Calc_Variable_2[[Customer type]:[Customer type]],"All")+J364)*(1+Calc_ROM_2[Powercor]))*(1+GST)),8),0,1)))</f>
        <v>#REF!</v>
      </c>
      <c r="K369" s="89" t="e" cm="1">
        <f t="array" ref="K369">IF($D$249=#REF!,
IF(K368=INDEX(#REF!,MATCH(Calc_Rates!$C368&amp;"_"&amp;Calc_Rates!$F368,#REF!,0),MATCH(Calc_Rates!K$9,#REF!,0)),0,1),
IF(K368="-","-",
IF(ROUND(K368,8)=ROUND((((
SUMIFS(Calc_Variable_2[United Energy],Calc_Variable_2[[Customer type]:[Customer type]],Calc_Rates!$F368)+
SUMIFS(Calc_Variable_2[United Energy],Calc_Variable_2[[Customer type]:[Customer type]],"All")+K364)*(1+Calc_ROM_2[United Energy]))*(1+GST)),8),0,1)))</f>
        <v>#REF!</v>
      </c>
    </row>
    <row r="370" spans="1:11" ht="15.75" outlineLevel="1" x14ac:dyDescent="0.25">
      <c r="B370"/>
      <c r="C370" s="1" t="s">
        <v>375</v>
      </c>
    </row>
    <row r="371" spans="1:11" ht="15.75" outlineLevel="1" x14ac:dyDescent="0.25">
      <c r="B371"/>
      <c r="C371" s="70" t="s">
        <v>166</v>
      </c>
    </row>
    <row r="372" spans="1:11" outlineLevel="1" x14ac:dyDescent="0.25">
      <c r="B372"/>
      <c r="C372" s="18" t="s">
        <v>222</v>
      </c>
      <c r="D372" s="18" t="s">
        <v>9</v>
      </c>
      <c r="E372" s="18" t="s">
        <v>218</v>
      </c>
      <c r="F372" s="18" t="s">
        <v>32</v>
      </c>
      <c r="G372" s="50">
        <f>SUMIFS(Calc_NetworkV_2[Ausnet],Calc_NetworkV_2[[Cost item]:[Cost item]],$C371,Calc_NetworkV_2[[Customer type]:[Customer type]],$F372)</f>
        <v>0.17508700000000002</v>
      </c>
      <c r="H372" s="50">
        <f>SUMIFS(Calc_NetworkV_2[Citipower],Calc_NetworkV_2[[Cost item]:[Cost item]],$C371,Calc_NetworkV_2[[Customer type]:[Customer type]],$F372)</f>
        <v>0.13019999999999998</v>
      </c>
      <c r="I372" s="50">
        <f>SUMIFS(Calc_NetworkV_2[Jemena],Calc_NetworkV_2[[Cost item]:[Cost item]],$C371,Calc_NetworkV_2[[Customer type]:[Customer type]],$F372)</f>
        <v>0.14330999999999999</v>
      </c>
      <c r="J372" s="50">
        <f>SUMIFS(Calc_NetworkV_2[Powercor],Calc_NetworkV_2[[Cost item]:[Cost item]],$C371,Calc_NetworkV_2[[Customer type]:[Customer type]],$F372)</f>
        <v>0.14749999999999999</v>
      </c>
      <c r="K372" s="50">
        <f>SUMIFS(Calc_NetworkV_2[United Energy],Calc_NetworkV_2[[Cost item]:[Cost item]],$C371,Calc_NetworkV_2[[Customer type]:[Customer type]],$F372)</f>
        <v>0.1399</v>
      </c>
    </row>
    <row r="373" spans="1:11" outlineLevel="1" x14ac:dyDescent="0.25">
      <c r="B373"/>
      <c r="C373" s="18" t="s">
        <v>216</v>
      </c>
      <c r="D373" s="18" t="s">
        <v>9</v>
      </c>
      <c r="E373" s="18" t="s">
        <v>218</v>
      </c>
      <c r="F373" s="18" t="s">
        <v>32</v>
      </c>
      <c r="G373" s="50">
        <f>SUMIFS(Calc_Variable_2[Ausnet],Calc_Variable_2[[Customer type]:[Customer type]],"All")+SUMIFS(Calc_Variable_2[Ausnet],Calc_Variable_2[[Customer type]:[Customer type]],$F373)</f>
        <v>9.4931015732801924E-2</v>
      </c>
      <c r="H373" s="50">
        <f>SUMIFS(Calc_Variable_2[Citipower],Calc_Variable_2[[Customer type]:[Customer type]],"All")+SUMIFS(Calc_Variable_2[Citipower],Calc_Variable_2[[Customer type]:[Customer type]],$F373)</f>
        <v>9.4431369869398318E-2</v>
      </c>
      <c r="I373" s="50">
        <f>SUMIFS(Calc_Variable_2[Jemena],Calc_Variable_2[[Customer type]:[Customer type]],"All")+SUMIFS(Calc_Variable_2[Jemena],Calc_Variable_2[[Customer type]:[Customer type]],$F373)</f>
        <v>9.376827698151359E-2</v>
      </c>
      <c r="J373" s="50">
        <f>SUMIFS(Calc_Variable_2[Powercor],Calc_Variable_2[[Customer type]:[Customer type]],"All")+SUMIFS(Calc_Variable_2[Powercor],Calc_Variable_2[[Customer type]:[Customer type]],$F373)</f>
        <v>9.3380208108006763E-2</v>
      </c>
      <c r="K373" s="50">
        <f>SUMIFS(Calc_Variable_2[United Energy],Calc_Variable_2[[Customer type]:[Customer type]],"All")+SUMIFS(Calc_Variable_2[United Energy],Calc_Variable_2[[Customer type]:[Customer type]],$F373)</f>
        <v>9.5696788884609821E-2</v>
      </c>
    </row>
    <row r="374" spans="1:11" outlineLevel="1" x14ac:dyDescent="0.25">
      <c r="B374"/>
      <c r="C374" s="18" t="s">
        <v>139</v>
      </c>
      <c r="D374" s="18" t="s">
        <v>9</v>
      </c>
      <c r="E374" s="18" t="s">
        <v>218</v>
      </c>
      <c r="F374" s="18" t="s">
        <v>32</v>
      </c>
      <c r="G374" s="62" cm="1">
        <f t="array" ref="G374">IF(G372=0,"-",
(G372+G373)*Calc_ROM_2[Ausnet])</f>
        <v>1.6309088150261237E-2</v>
      </c>
      <c r="H374" s="62" cm="1">
        <f t="array" ref="H374">IF(H372=0,"-",
(H372+H373)*Calc_ROM_2[Citipower])</f>
        <v>1.3567734740111657E-2</v>
      </c>
      <c r="I374" s="62" cm="1">
        <f t="array" ref="I374">IF(I372=0,"-",
(I372+I373)*Calc_ROM_2[Jemena])</f>
        <v>1.4319527929683421E-2</v>
      </c>
      <c r="J374" s="62" cm="1">
        <f t="array" ref="J374">IF(J372=0,"-",
(J372+J373)*Calc_ROM_2[Powercor])</f>
        <v>1.4549164569723608E-2</v>
      </c>
      <c r="K374" s="62" cm="1">
        <f t="array" ref="K374">IF(K372=0,"-",
(K372+K373)*Calc_ROM_2[United Energy])</f>
        <v>1.4230046048630434E-2</v>
      </c>
    </row>
    <row r="375" spans="1:11" outlineLevel="1" x14ac:dyDescent="0.25">
      <c r="B375"/>
      <c r="C375" s="18" t="s">
        <v>213</v>
      </c>
      <c r="D375" s="18" t="s">
        <v>9</v>
      </c>
      <c r="E375" s="18" t="s">
        <v>218</v>
      </c>
      <c r="F375" s="18" t="s">
        <v>32</v>
      </c>
      <c r="G375" s="62">
        <f>IF(G372=0,"-",
(G372+G373+G374)*GST)</f>
        <v>2.8632710388306316E-2</v>
      </c>
      <c r="H375" s="62">
        <f>IF(H372=0,"-",
(H372+H373+H374)*GST)</f>
        <v>2.3819910460950999E-2</v>
      </c>
      <c r="I375" s="62">
        <f>IF(I372=0,"-",
(I372+I373+I374)*GST)</f>
        <v>2.5139780491119701E-2</v>
      </c>
      <c r="J375" s="62">
        <f>IF(J372=0,"-",
(J372+J373+J374)*GST)</f>
        <v>2.5542937267773038E-2</v>
      </c>
      <c r="K375" s="62">
        <f>IF(K372=0,"-",
(K372+K373+K374)*GST)</f>
        <v>2.4982683493324026E-2</v>
      </c>
    </row>
    <row r="376" spans="1:11" outlineLevel="1" x14ac:dyDescent="0.25">
      <c r="B376"/>
      <c r="C376" s="18" t="str">
        <f>C371&amp;" charge"</f>
        <v>Peak charge</v>
      </c>
      <c r="D376" s="18" t="s">
        <v>9</v>
      </c>
      <c r="E376" s="18" t="s">
        <v>218</v>
      </c>
      <c r="F376" s="18" t="s">
        <v>32</v>
      </c>
      <c r="G376" s="63">
        <f>IF(G372=0,"-",
G372+G373+G374+G375)</f>
        <v>0.31495981427136949</v>
      </c>
      <c r="H376" s="63">
        <f t="shared" ref="H376" si="95">IF(H372=0,"-",
H372+H373+H374+H375)</f>
        <v>0.26201901507046099</v>
      </c>
      <c r="I376" s="63">
        <f t="shared" ref="I376" si="96">IF(I372=0,"-",
I372+I373+I374+I375)</f>
        <v>0.27653758540231671</v>
      </c>
      <c r="J376" s="63">
        <f t="shared" ref="J376" si="97">IF(J372=0,"-",
J372+J373+J374+J375)</f>
        <v>0.28097230994550337</v>
      </c>
      <c r="K376" s="63">
        <f t="shared" ref="K376" si="98">IF(K372=0,"-",
K372+K373+K374+K375)</f>
        <v>0.27480951842656431</v>
      </c>
    </row>
    <row r="377" spans="1:11" hidden="1" outlineLevel="1" x14ac:dyDescent="0.25">
      <c r="B377"/>
      <c r="G377" s="89" t="e" cm="1">
        <f t="array" ref="G377">IF($D$249=#REF!,
IF(G376=INDEX(#REF!,MATCH(Calc_Rates!$C376&amp;"_"&amp;Calc_Rates!$F376,#REF!,0),MATCH(Calc_Rates!G$9,#REF!,0)),0,1),
IF(G376="-","-",
IF(ROUND(G376,8)=ROUND((((
SUMIFS(Calc_Variable_2[Ausnet],Calc_Variable_2[Customer type],Calc_Rates!$F376)+
SUMIFS(Calc_Variable_2[Ausnet],Calc_Variable_2[Customer type],"All")+G372)*(1+Calc_ROM_2[Ausnet]))*(1+GST)),8),0,1)))</f>
        <v>#REF!</v>
      </c>
      <c r="H377" s="89" t="e" cm="1">
        <f t="array" ref="H377">IF($D$249=#REF!,
IF(H376=INDEX(#REF!,MATCH(Calc_Rates!$C376&amp;"_"&amp;Calc_Rates!$F376,#REF!,0),MATCH(Calc_Rates!H$9,#REF!,0)),0,1),
IF(H376="-","-",
IF(ROUND(H376,8)=ROUND((((
SUMIFS(Calc_Variable_2[Citipower],Calc_Variable_2[Customer type],Calc_Rates!$F376)+
SUMIFS(Calc_Variable_2[Citipower],Calc_Variable_2[Customer type],"All")+H372)*(1+Calc_ROM_2[Citipower]))*(1+GST)),8),0,1)))</f>
        <v>#REF!</v>
      </c>
      <c r="I377" s="89" t="e" cm="1">
        <f t="array" ref="I377">IF($D$249=#REF!,
IF(I376=INDEX(#REF!,MATCH(Calc_Rates!$C376&amp;"_"&amp;Calc_Rates!$F376,#REF!,0),MATCH(Calc_Rates!I$9,#REF!,0)),0,1),
IF(I376="-","-",
IF(ROUND(I376,8)=ROUND((((
SUMIFS(Calc_Variable_2[Jemena],Calc_Variable_2[Customer type],Calc_Rates!$F376)+
SUMIFS(Calc_Variable_2[Jemena],Calc_Variable_2[Customer type],"All")+I372)*(1+Calc_ROM_2[Jemena]))*(1+GST)),8),0,1)))</f>
        <v>#REF!</v>
      </c>
      <c r="J377" s="89" t="e" cm="1">
        <f t="array" ref="J377">IF($D$249=#REF!,
IF(J376=INDEX(#REF!,MATCH(Calc_Rates!$C376&amp;"_"&amp;Calc_Rates!$F376,#REF!,0),MATCH(Calc_Rates!J$9,#REF!,0)),0,1),
IF(J376="-","-",
IF(ROUND(J376,8)=ROUND((((
SUMIFS(Calc_Variable_2[Powercor],Calc_Variable_2[[Customer type]:[Customer type]],Calc_Rates!$F376)+
SUMIFS(Calc_Variable_2[Powercor],Calc_Variable_2[[Customer type]:[Customer type]],"All")+J372)*(1+Calc_ROM_2[Powercor]))*(1+GST)),8),0,1)))</f>
        <v>#REF!</v>
      </c>
      <c r="K377" s="89" t="e" cm="1">
        <f t="array" ref="K377">IF($D$249=#REF!,
IF(K376=INDEX(#REF!,MATCH(Calc_Rates!$C376&amp;"_"&amp;Calc_Rates!$F376,#REF!,0),MATCH(Calc_Rates!K$9,#REF!,0)),0,1),
IF(K376="-","-",
IF(ROUND(K376,8)=ROUND((((
SUMIFS(Calc_Variable_2[United Energy],Calc_Variable_2[[Customer type]:[Customer type]],Calc_Rates!$F376)+
SUMIFS(Calc_Variable_2[United Energy],Calc_Variable_2[[Customer type]:[Customer type]],"All")+K372)*(1+Calc_ROM_2[United Energy]))*(1+GST)),8),0,1)))</f>
        <v>#REF!</v>
      </c>
    </row>
    <row r="378" spans="1:11" ht="15.75" outlineLevel="1" x14ac:dyDescent="0.25">
      <c r="B378"/>
      <c r="C378" s="70" t="s">
        <v>370</v>
      </c>
    </row>
    <row r="379" spans="1:11" outlineLevel="1" x14ac:dyDescent="0.25">
      <c r="B379"/>
      <c r="C379" s="18" t="s">
        <v>222</v>
      </c>
      <c r="D379" s="18" t="s">
        <v>9</v>
      </c>
      <c r="E379" s="18" t="s">
        <v>218</v>
      </c>
      <c r="F379" s="18" t="s">
        <v>32</v>
      </c>
      <c r="G379" s="50">
        <f>SUMIFS(Calc_NetworkV_2[Ausnet],Calc_NetworkV_2[[Cost item]:[Cost item]],$C378,Calc_NetworkV_2[[Customer type]:[Customer type]],$F379)</f>
        <v>4.2655999999999999E-2</v>
      </c>
      <c r="H379" s="50">
        <f>SUMIFS(Calc_NetworkV_2[Citipower],Calc_NetworkV_2[[Cost item]:[Cost item]],$C378,Calc_NetworkV_2[[Customer type]:[Customer type]],$F379)</f>
        <v>2.8900000000000002E-2</v>
      </c>
      <c r="I379" s="50">
        <f>SUMIFS(Calc_NetworkV_2[Jemena],Calc_NetworkV_2[[Cost item]:[Cost item]],$C378,Calc_NetworkV_2[[Customer type]:[Customer type]],$F379)</f>
        <v>3.0520000000000002E-2</v>
      </c>
      <c r="J379" s="50">
        <f>SUMIFS(Calc_NetworkV_2[Powercor],Calc_NetworkV_2[[Cost item]:[Cost item]],$C378,Calc_NetworkV_2[[Customer type]:[Customer type]],$F379)</f>
        <v>3.2799999999999996E-2</v>
      </c>
      <c r="K379" s="50">
        <f>SUMIFS(Calc_NetworkV_2[United Energy],Calc_NetworkV_2[[Cost item]:[Cost item]],$C378,Calc_NetworkV_2[[Customer type]:[Customer type]],$F379)</f>
        <v>3.1099999999999999E-2</v>
      </c>
    </row>
    <row r="380" spans="1:11" outlineLevel="1" x14ac:dyDescent="0.25">
      <c r="B380"/>
      <c r="C380" s="18" t="s">
        <v>216</v>
      </c>
      <c r="D380" s="18" t="s">
        <v>9</v>
      </c>
      <c r="E380" s="18" t="s">
        <v>218</v>
      </c>
      <c r="F380" s="18" t="s">
        <v>32</v>
      </c>
      <c r="G380" s="50">
        <f>SUMIFS(Calc_Variable_2[Ausnet],Calc_Variable_2[[Customer type]:[Customer type]],"All")+SUMIFS(Calc_Variable_2[Ausnet],Calc_Variable_2[[Customer type]:[Customer type]],$F380)</f>
        <v>9.4931015732801924E-2</v>
      </c>
      <c r="H380" s="50">
        <f>SUMIFS(Calc_Variable_2[Citipower],Calc_Variable_2[[Customer type]:[Customer type]],"All")+SUMIFS(Calc_Variable_2[Citipower],Calc_Variable_2[[Customer type]:[Customer type]],$F380)</f>
        <v>9.4431369869398318E-2</v>
      </c>
      <c r="I380" s="50">
        <f>SUMIFS(Calc_Variable_2[Jemena],Calc_Variable_2[[Customer type]:[Customer type]],"All")+SUMIFS(Calc_Variable_2[Jemena],Calc_Variable_2[[Customer type]:[Customer type]],$F380)</f>
        <v>9.376827698151359E-2</v>
      </c>
      <c r="J380" s="50">
        <f>SUMIFS(Calc_Variable_2[Powercor],Calc_Variable_2[[Customer type]:[Customer type]],"All")+SUMIFS(Calc_Variable_2[Powercor],Calc_Variable_2[[Customer type]:[Customer type]],$F380)</f>
        <v>9.3380208108006763E-2</v>
      </c>
      <c r="K380" s="50">
        <f>SUMIFS(Calc_Variable_2[United Energy],Calc_Variable_2[[Customer type]:[Customer type]],"All")+SUMIFS(Calc_Variable_2[United Energy],Calc_Variable_2[[Customer type]:[Customer type]],$F380)</f>
        <v>9.5696788884609821E-2</v>
      </c>
    </row>
    <row r="381" spans="1:11" ht="15.75" outlineLevel="1" collapsed="1" x14ac:dyDescent="0.25">
      <c r="A381" s="1" t="s">
        <v>19</v>
      </c>
      <c r="B381"/>
      <c r="C381" s="18" t="s">
        <v>139</v>
      </c>
      <c r="D381" s="18" t="s">
        <v>9</v>
      </c>
      <c r="E381" s="18" t="s">
        <v>218</v>
      </c>
      <c r="F381" s="18" t="s">
        <v>32</v>
      </c>
      <c r="G381" s="62" cm="1">
        <f t="array" ref="G381">IF(G379=0,"-",
(G379+G380)*Calc_ROM_2[Ausnet])</f>
        <v>8.3102557502612358E-3</v>
      </c>
      <c r="H381" s="62" cm="1">
        <f t="array" ref="H381">IF(H379=0,"-",
(H379+H380)*Calc_ROM_2[Citipower])</f>
        <v>7.4492147401116595E-3</v>
      </c>
      <c r="I381" s="62" cm="1">
        <f t="array" ref="I381">IF(I379=0,"-",
(I379+I380)*Calc_ROM_2[Jemena])</f>
        <v>7.5070119296834215E-3</v>
      </c>
      <c r="J381" s="62" cm="1">
        <f t="array" ref="J381">IF(J379=0,"-",
(J379+J380)*Calc_ROM_2[Powercor])</f>
        <v>7.6212845697236084E-3</v>
      </c>
      <c r="K381" s="62" cm="1">
        <f t="array" ref="K381">IF(K379=0,"-",
(K379+K380)*Calc_ROM_2[United Energy])</f>
        <v>7.6585260486304336E-3</v>
      </c>
    </row>
    <row r="382" spans="1:11" outlineLevel="1" x14ac:dyDescent="0.25">
      <c r="B382"/>
      <c r="C382" s="18" t="s">
        <v>213</v>
      </c>
      <c r="D382" s="18" t="s">
        <v>9</v>
      </c>
      <c r="E382" s="18" t="s">
        <v>218</v>
      </c>
      <c r="F382" s="18" t="s">
        <v>32</v>
      </c>
      <c r="G382" s="62">
        <f>IF(G379=0,"-",
(G379+G380+G381)*GST)</f>
        <v>1.4589727148306315E-2</v>
      </c>
      <c r="H382" s="62">
        <f>IF(H379=0,"-",
(H379+H380+H381)*GST)</f>
        <v>1.3078058460950998E-2</v>
      </c>
      <c r="I382" s="62">
        <f>IF(I379=0,"-",
(I379+I380+I381)*GST)</f>
        <v>1.3179528891119702E-2</v>
      </c>
      <c r="J382" s="62">
        <f>IF(J379=0,"-",
(J379+J380+J381)*GST)</f>
        <v>1.3380149267773037E-2</v>
      </c>
      <c r="K382" s="62">
        <f>IF(K379=0,"-",
(K379+K380+K381)*GST)</f>
        <v>1.3445531493324026E-2</v>
      </c>
    </row>
    <row r="383" spans="1:11" outlineLevel="1" x14ac:dyDescent="0.25">
      <c r="B383"/>
      <c r="C383" s="18" t="str">
        <f>C378&amp;" charge"</f>
        <v>Off peak charge</v>
      </c>
      <c r="D383" s="18" t="s">
        <v>9</v>
      </c>
      <c r="E383" s="18" t="s">
        <v>218</v>
      </c>
      <c r="F383" s="18" t="s">
        <v>32</v>
      </c>
      <c r="G383" s="63">
        <f>IF(G379=0,"-",
G379+G380+G381+G382)</f>
        <v>0.16048699863136945</v>
      </c>
      <c r="H383" s="63">
        <f t="shared" ref="H383" si="99">IF(H379=0,"-",
H379+H380+H381+H382)</f>
        <v>0.14385864307046098</v>
      </c>
      <c r="I383" s="63">
        <f t="shared" ref="I383" si="100">IF(I379=0,"-",
I379+I380+I381+I382)</f>
        <v>0.14497481780231672</v>
      </c>
      <c r="J383" s="63">
        <f t="shared" ref="J383" si="101">IF(J379=0,"-",
J379+J380+J381+J382)</f>
        <v>0.1471816419455034</v>
      </c>
      <c r="K383" s="63">
        <f t="shared" ref="K383" si="102">IF(K379=0,"-",
K379+K380+K381+K382)</f>
        <v>0.14790084642656429</v>
      </c>
    </row>
    <row r="384" spans="1:11" hidden="1" outlineLevel="1" x14ac:dyDescent="0.25">
      <c r="B384"/>
      <c r="G384" s="89" t="e" cm="1">
        <f t="array" ref="G384">IF($D$249=#REF!,
IF(G383=INDEX(#REF!,MATCH(Calc_Rates!$C383&amp;"_"&amp;Calc_Rates!$F383,#REF!,0),MATCH(Calc_Rates!G$9,#REF!,0)),0,1),
IF(G383="-","-",
IF(ROUND(G383,8)=ROUND((((
SUMIFS(Calc_Variable_2[Ausnet],Calc_Variable_2[Customer type],Calc_Rates!$F383)+
SUMIFS(Calc_Variable_2[Ausnet],Calc_Variable_2[Customer type],"All")+G379)*(1+Calc_ROM_2[Ausnet]))*(1+GST)),8),0,1)))</f>
        <v>#REF!</v>
      </c>
      <c r="H384" s="89" t="e" cm="1">
        <f t="array" ref="H384">IF($D$249=#REF!,
IF(H383=INDEX(#REF!,MATCH(Calc_Rates!$C383&amp;"_"&amp;Calc_Rates!$F383,#REF!,0),MATCH(Calc_Rates!H$9,#REF!,0)),0,1),
IF(H383="-","-",
IF(ROUND(H383,8)=ROUND((((
SUMIFS(Calc_Variable_2[Citipower],Calc_Variable_2[Customer type],Calc_Rates!$F383)+
SUMIFS(Calc_Variable_2[Citipower],Calc_Variable_2[Customer type],"All")+H379)*(1+Calc_ROM_2[Citipower]))*(1+GST)),8),0,1)))</f>
        <v>#REF!</v>
      </c>
      <c r="I384" s="89" t="e" cm="1">
        <f t="array" ref="I384">IF($D$249=#REF!,
IF(I383=INDEX(#REF!,MATCH(Calc_Rates!$C383&amp;"_"&amp;Calc_Rates!$F383,#REF!,0),MATCH(Calc_Rates!I$9,#REF!,0)),0,1),
IF(I383="-","-",
IF(ROUND(I383,8)=ROUND((((
SUMIFS(Calc_Variable_2[Jemena],Calc_Variable_2[Customer type],Calc_Rates!$F383)+
SUMIFS(Calc_Variable_2[Jemena],Calc_Variable_2[Customer type],"All")+I379)*(1+Calc_ROM_2[Jemena]))*(1+GST)),8),0,1)))</f>
        <v>#REF!</v>
      </c>
      <c r="J384" s="89" t="e" cm="1">
        <f t="array" ref="J384">IF($D$249=#REF!,
IF(J383=INDEX(#REF!,MATCH(Calc_Rates!$C383&amp;"_"&amp;Calc_Rates!$F383,#REF!,0),MATCH(Calc_Rates!J$9,#REF!,0)),0,1),
IF(J383="-","-",
IF(ROUND(J383,8)=ROUND((((
SUMIFS(Calc_Variable_2[Powercor],Calc_Variable_2[[Customer type]:[Customer type]],Calc_Rates!$F383)+
SUMIFS(Calc_Variable_2[Powercor],Calc_Variable_2[[Customer type]:[Customer type]],"All")+J379)*(1+Calc_ROM_2[Powercor]))*(1+GST)),8),0,1)))</f>
        <v>#REF!</v>
      </c>
      <c r="K384" s="89" t="e" cm="1">
        <f t="array" ref="K384">IF($D$249=#REF!,
IF(K383=INDEX(#REF!,MATCH(Calc_Rates!$C383&amp;"_"&amp;Calc_Rates!$F383,#REF!,0),MATCH(Calc_Rates!K$9,#REF!,0)),0,1),
IF(K383="-","-",
IF(ROUND(K383,8)=ROUND((((
SUMIFS(Calc_Variable_2[United Energy],Calc_Variable_2[[Customer type]:[Customer type]],Calc_Rates!$F383)+
SUMIFS(Calc_Variable_2[United Energy],Calc_Variable_2[[Customer type]:[Customer type]],"All")+K379)*(1+Calc_ROM_2[United Energy]))*(1+GST)),8),0,1)))</f>
        <v>#REF!</v>
      </c>
    </row>
    <row r="385" spans="2:11" x14ac:dyDescent="0.25">
      <c r="B385"/>
    </row>
    <row r="386" spans="2:11" ht="16.5" thickBot="1" x14ac:dyDescent="0.3">
      <c r="B386" s="7">
        <f ca="1">MAX(B$3:B384)+0.1</f>
        <v>7.8999999999999968</v>
      </c>
      <c r="C386" s="22" t="s">
        <v>225</v>
      </c>
      <c r="D386" s="22"/>
      <c r="E386" s="22"/>
      <c r="F386" s="22"/>
      <c r="G386" s="22"/>
      <c r="H386" s="22"/>
      <c r="I386" s="22"/>
      <c r="J386" s="22"/>
      <c r="K386" s="22"/>
    </row>
    <row r="387" spans="2:11" outlineLevel="1" x14ac:dyDescent="0.25"/>
    <row r="388" spans="2:11" ht="15.75" outlineLevel="1" x14ac:dyDescent="0.25">
      <c r="C388" s="23" t="s">
        <v>185</v>
      </c>
    </row>
    <row r="389" spans="2:11" ht="15.75" outlineLevel="1" x14ac:dyDescent="0.25">
      <c r="C389" s="43" t="s">
        <v>226</v>
      </c>
      <c r="D389" s="65">
        <f>IFERROR(INDEX(Input_CPI[Indice],MATCH($D$249,Input_CPI[Decision paper],0),1),"-")</f>
        <v>118.8</v>
      </c>
      <c r="I389" s="67"/>
    </row>
    <row r="390" spans="2:11" ht="15.75" outlineLevel="1" x14ac:dyDescent="0.25">
      <c r="C390" s="23"/>
    </row>
    <row r="391" spans="2:11" ht="15.75" outlineLevel="1" x14ac:dyDescent="0.25">
      <c r="C391" s="34" t="s">
        <v>24</v>
      </c>
      <c r="D391" s="34" t="s">
        <v>37</v>
      </c>
      <c r="E391" s="34" t="s">
        <v>38</v>
      </c>
      <c r="F391" s="34" t="s">
        <v>30</v>
      </c>
      <c r="G391" s="49" t="s">
        <v>227</v>
      </c>
      <c r="H391" s="49" t="s">
        <v>266</v>
      </c>
      <c r="J391" s="67"/>
    </row>
    <row r="392" spans="2:11" outlineLevel="1" x14ac:dyDescent="0.25">
      <c r="C392" s="18" t="s">
        <v>43</v>
      </c>
      <c r="D392" s="18"/>
      <c r="E392" s="18" t="str">
        <f>INDEX(Input_ForRateCalc[Unit],MATCH(Calc_CPI_2[[#This Row],[Cost item]],Input_ForRateCalc[Cost item],0),1)</f>
        <v>$</v>
      </c>
      <c r="F392" s="18" t="str">
        <f>INDEX(Input_ForRateCalc[Customer type],MATCH(Calc_CPI_2[[#This Row],[Cost item]],Input_ForRateCalc[Cost item],0),1)</f>
        <v>All</v>
      </c>
      <c r="G392" s="45">
        <f>IFERROR(
($D$389-
INDEX(CPI[Indice],MATCH(
INDEX(Input_ForRateCalc[[F-CurrentVDO_InputDate]:[F-NextVDO_Input]],MATCH(Calc_Rates!$C392,Input_ForRateCalc[Cost item],0),MATCH(Calc_Rates!$D$249&amp;" - input date",Inputs!H$8:Q$8,0)),
CPI[Period],0),1))/
INDEX(CPI[Indice],MATCH(
INDEX(Input_ForRateCalc[[F-CurrentVDO_InputDate]:[F-NextVDO_Input]],MATCH(Calc_Rates!$C392,Input_ForRateCalc[Cost item],0),MATCH(Calc_Rates!$D$249&amp;" - input date",Inputs!H$8:Q$8,0)),
CPI[Period],0),1),"-")</f>
        <v>7.3170731707317013E-2</v>
      </c>
      <c r="H392" s="50">
        <f>IFERROR((G392)*
INDEX(Input_ForRateCalc[[F-CurrentVDO_InputDate]:[F-NextVDO_Input]],MATCH(Calc_Rates!$C392,Input_ForRateCalc[Cost item],0),MATCH($D$249,Inputs!$H$8:$Q$8,0)),"-")</f>
        <v>8.8587804878048697</v>
      </c>
    </row>
    <row r="393" spans="2:11" outlineLevel="1" x14ac:dyDescent="0.25">
      <c r="C393" s="103" t="s">
        <v>50</v>
      </c>
      <c r="D393" s="18"/>
      <c r="E393" s="18" t="str">
        <f>INDEX(Input_ForRateCalc[Unit],MATCH(Calc_CPI_2[[#This Row],[Cost item]],Input_ForRateCalc[Cost item],0),1)</f>
        <v>$</v>
      </c>
      <c r="F393" s="18" t="str">
        <f>INDEX(Input_ForRateCalc[Customer type],MATCH(Calc_CPI_2[[#This Row],[Cost item]],Input_ForRateCalc[Cost item],0),1)</f>
        <v>All</v>
      </c>
      <c r="G393" s="45">
        <f>IFERROR(
($D$389-
INDEX(CPI[Indice],MATCH(
INDEX(Input_ForRateCalc[[F-CurrentVDO_InputDate]:[F-NextVDO_Input]],MATCH(Calc_Rates!$C393,Input_ForRateCalc[Cost item],0),MATCH(Calc_Rates!$D$249&amp;" - input date",Inputs!H$8:Q$8,0)),
CPI[Period],0),1))/
INDEX(CPI[Indice],MATCH(
INDEX(Input_ForRateCalc[[F-CurrentVDO_InputDate]:[F-NextVDO_Input]],MATCH(Calc_Rates!$C393,Input_ForRateCalc[Cost item],0),MATCH(Calc_Rates!$D$249&amp;" - input date",Inputs!H$8:Q$8,0)),
CPI[Period],0),1),"-")</f>
        <v>3.484320557491289E-2</v>
      </c>
      <c r="H393" s="50">
        <f>IFERROR((G393)*
INDEX(Input_ForRateCalc[[F-CurrentVDO_InputDate]:[F-NextVDO_Input]],MATCH(Calc_Rates!$C393,Input_ForRateCalc[Cost item],0),MATCH($D$249,Inputs!$H$8:$Q$8,0)),"-")</f>
        <v>1.3240418118466899</v>
      </c>
    </row>
    <row r="394" spans="2:11" outlineLevel="1" x14ac:dyDescent="0.25">
      <c r="C394" s="18" t="s">
        <v>52</v>
      </c>
      <c r="D394" s="18"/>
      <c r="E394" s="18" t="str">
        <f>INDEX(Input_ForRateCalc[Unit],MATCH(Calc_CPI_2[[#This Row],[Cost item]],Input_ForRateCalc[Cost item],0),1)</f>
        <v>$</v>
      </c>
      <c r="F394" s="18" t="str">
        <f>INDEX(Input_ForRateCalc[Customer type],MATCH(Calc_CPI_2[[#This Row],[Cost item]],Input_ForRateCalc[Cost item],0),1)</f>
        <v>All</v>
      </c>
      <c r="G394" s="45">
        <f>IFERROR(
($D$389-
INDEX(CPI[Indice],MATCH(
INDEX(Input_ForRateCalc[[F-CurrentVDO_InputDate]:[F-NextVDO_Input]],MATCH(Calc_Rates!$C394,Input_ForRateCalc[Cost item],0),MATCH(Calc_Rates!$D$249&amp;" - input date",Inputs!H$8:Q$8,0)),
CPI[Period],0),1))/
INDEX(CPI[Indice],MATCH(
INDEX(Input_ForRateCalc[[F-CurrentVDO_InputDate]:[F-NextVDO_Input]],MATCH(Calc_Rates!$C394,Input_ForRateCalc[Cost item],0),MATCH(Calc_Rates!$D$249&amp;" - input date",Inputs!H$8:Q$8,0)),
CPI[Period],0),1),"-")</f>
        <v>0</v>
      </c>
      <c r="H394" s="50">
        <f>IFERROR((G394)*
INDEX(Input_ForRateCalc[[F-CurrentVDO_InputDate]:[F-NextVDO_Input]],MATCH(Calc_Rates!$C394,Input_ForRateCalc[Cost item],0),MATCH($D$249,Inputs!$H$8:$Q$8,0)),"-")</f>
        <v>0</v>
      </c>
    </row>
    <row r="395" spans="2:11" outlineLevel="1" x14ac:dyDescent="0.25">
      <c r="C395" s="18" t="s">
        <v>53</v>
      </c>
      <c r="D395" s="18"/>
      <c r="E395" s="18" t="str">
        <f>INDEX(Input_ForRateCalc[Unit],MATCH(Calc_CPI_2[[#This Row],[Cost item]],Input_ForRateCalc[Cost item],0),1)</f>
        <v>$</v>
      </c>
      <c r="F395" s="18" t="str">
        <f>INDEX(Input_ForRateCalc[Customer type],MATCH(Calc_CPI_2[[#This Row],[Cost item]],Input_ForRateCalc[Cost item],0),1)</f>
        <v>All</v>
      </c>
      <c r="G395" s="45">
        <f>IFERROR(
($D$389-
INDEX(CPI[Indice],MATCH(
INDEX(Input_ForRateCalc[[F-CurrentVDO_InputDate]:[F-NextVDO_Input]],MATCH(Calc_Rates!$C395,Input_ForRateCalc[Cost item],0),MATCH(Calc_Rates!$D$249&amp;" - input date",Inputs!H$8:Q$8,0)),
CPI[Period],0),1))/
INDEX(CPI[Indice],MATCH(
INDEX(Input_ForRateCalc[[F-CurrentVDO_InputDate]:[F-NextVDO_Input]],MATCH(Calc_Rates!$C395,Input_ForRateCalc[Cost item],0),MATCH(Calc_Rates!$D$249&amp;" - input date",Inputs!H$8:Q$8,0)),
CPI[Period],0),1),"-")</f>
        <v>3.484320557491289E-2</v>
      </c>
      <c r="H395" s="50">
        <f>IFERROR((G395)*
INDEX(Input_ForRateCalc[[F-CurrentVDO_InputDate]:[F-NextVDO_Input]],MATCH(Calc_Rates!$C395,Input_ForRateCalc[Cost item],0),MATCH($D$249,Inputs!$H$8:$Q$8,0)),"-")</f>
        <v>5.8310965628212343E-2</v>
      </c>
    </row>
    <row r="396" spans="2:11" outlineLevel="1" x14ac:dyDescent="0.25">
      <c r="C396" s="48" t="s">
        <v>432</v>
      </c>
      <c r="D396" s="18"/>
      <c r="E396" s="18" t="str">
        <f>INDEX(Input_ForRateCalc[Unit],MATCH(Calc_CPI_2[[#This Row],[Cost item]],Input_ForRateCalc[Cost item],0),1)</f>
        <v>$/week</v>
      </c>
      <c r="F396" s="18" t="str">
        <f>INDEX(Input_ForRateCalc[Customer type],MATCH(Calc_CPI_2[[#This Row],[Cost item]],Input_ForRateCalc[Cost item],0),1)</f>
        <v>All</v>
      </c>
      <c r="G396" s="45">
        <f>IFERROR(
($D$389-
INDEX(CPI[Indice],MATCH(
INDEX(Input_ForRateCalc[[F-CurrentVDO_InputDate]:[F-NextVDO_Input]],MATCH(Calc_Rates!$C396,Input_ForRateCalc[Cost item],0),MATCH(Calc_Rates!$D$249&amp;" - input date",Inputs!H$8:Q$8,0)),
CPI[Period],0),1))/
INDEX(CPI[Indice],MATCH(
INDEX(Input_ForRateCalc[[F-CurrentVDO_InputDate]:[F-NextVDO_Input]],MATCH(Calc_Rates!$C396,Input_ForRateCalc[Cost item],0),MATCH(Calc_Rates!$D$249&amp;" - input date",Inputs!H$8:Q$8,0)),
CPI[Period],0),1),"-")</f>
        <v>0</v>
      </c>
      <c r="H396" s="50">
        <f>IFERROR((G396)*
INDEX(Input_ForRateCalc[[F-CurrentVDO_InputDate]:[F-NextVDO_Input]],MATCH(Calc_Rates!$C396,Input_ForRateCalc[Cost item],0),MATCH($D$249,Inputs!$H$8:$Q$8,0)),"-")</f>
        <v>0</v>
      </c>
    </row>
    <row r="397" spans="2:11" outlineLevel="1" x14ac:dyDescent="0.25">
      <c r="C397" s="35" t="s">
        <v>56</v>
      </c>
      <c r="D397" s="18"/>
      <c r="E397" s="18" t="str">
        <f>INDEX(Input_ForRateCalc[Unit],MATCH(Calc_CPI_2[[#This Row],[Cost item]],Input_ForRateCalc[Cost item],0),1)</f>
        <v>$/week</v>
      </c>
      <c r="F397" s="18" t="str">
        <f>INDEX(Input_ForRateCalc[Customer type],MATCH(Calc_CPI_2[[#This Row],[Cost item]],Input_ForRateCalc[Cost item],0),1)</f>
        <v>All</v>
      </c>
      <c r="G397" s="45">
        <f>IFERROR(
($D$389-
INDEX(CPI[Indice],MATCH(
INDEX(Input_ForRateCalc[[F-CurrentVDO_InputDate]:[F-NextVDO_Input]],MATCH(Calc_Rates!$C397,Input_ForRateCalc[Cost item],0),MATCH(Calc_Rates!$D$249&amp;" - input date",Inputs!H$8:Q$8,0)),
CPI[Period],0),1))/
INDEX(CPI[Indice],MATCH(
INDEX(Input_ForRateCalc[[F-CurrentVDO_InputDate]:[F-NextVDO_Input]],MATCH(Calc_Rates!$C397,Input_ForRateCalc[Cost item],0),MATCH(Calc_Rates!$D$249&amp;" - input date",Inputs!H$8:Q$8,0)),
CPI[Period],0),1),"-")</f>
        <v>0</v>
      </c>
      <c r="H397" s="50">
        <f>IFERROR((G397)*
INDEX(Input_ForRateCalc[[F-CurrentVDO_InputDate]:[F-NextVDO_Input]],MATCH(Calc_Rates!$C397,Input_ForRateCalc[Cost item],0),MATCH($D$249,Inputs!$H$8:$Q$8,0)),"-")</f>
        <v>0</v>
      </c>
    </row>
    <row r="398" spans="2:11" outlineLevel="1" x14ac:dyDescent="0.25">
      <c r="C398" s="35" t="s">
        <v>96</v>
      </c>
      <c r="D398" s="35"/>
      <c r="E398" s="18" t="str">
        <f>INDEX(Input_ForRateCalc[Unit],MATCH(Calc_CPI_2[[#This Row],[Cost item]],Input_ForRateCalc[Cost item],0),1)</f>
        <v>$/MWh</v>
      </c>
      <c r="F398" s="18" t="str">
        <f>INDEX(Input_ForRateCalc[Customer type],MATCH(Calc_CPI_2[[#This Row],[Cost item]],Input_ForRateCalc[Cost item],0),1)</f>
        <v>All</v>
      </c>
      <c r="G398" s="45">
        <f>IFERROR(
($D$389-
INDEX(CPI[Indice],MATCH(
INDEX(Input_ForRateCalc[[F-CurrentVDO_InputDate]:[F-NextVDO_Input]],MATCH(Calc_Rates!$C398,Input_ForRateCalc[Cost item],0),MATCH(Calc_Rates!$D$249&amp;" - input date",Inputs!H$8:Q$8,0)),
CPI[Period],0),1))/
INDEX(CPI[Indice],MATCH(
INDEX(Input_ForRateCalc[[F-CurrentVDO_InputDate]:[F-NextVDO_Input]],MATCH(Calc_Rates!$C398,Input_ForRateCalc[Cost item],0),MATCH(Calc_Rates!$D$249&amp;" - input date",Inputs!H$8:Q$8,0)),
CPI[Period],0),1),"-")</f>
        <v>0</v>
      </c>
      <c r="H398" s="50">
        <f>IFERROR((G398)*
INDEX(Input_ForRateCalc[[F-CurrentVDO_InputDate]:[F-NextVDO_Input]],MATCH(Calc_Rates!$C398,Input_ForRateCalc[Cost item],0),MATCH($D$249,Inputs!$H$8:$Q$8,0)),"-")</f>
        <v>0</v>
      </c>
    </row>
    <row r="399" spans="2:11" outlineLevel="1" x14ac:dyDescent="0.25"/>
    <row r="400" spans="2:11" ht="15.75" outlineLevel="1" x14ac:dyDescent="0.25">
      <c r="C400" s="23" t="s">
        <v>220</v>
      </c>
    </row>
    <row r="401" spans="1:11" ht="15.75" outlineLevel="1" x14ac:dyDescent="0.25">
      <c r="C401" s="34" t="s">
        <v>24</v>
      </c>
      <c r="D401" s="34" t="s">
        <v>37</v>
      </c>
      <c r="E401" s="34" t="s">
        <v>38</v>
      </c>
      <c r="F401" s="34" t="s">
        <v>30</v>
      </c>
      <c r="G401" s="49" t="s">
        <v>204</v>
      </c>
      <c r="H401" s="49" t="s">
        <v>205</v>
      </c>
      <c r="I401" s="49" t="s">
        <v>206</v>
      </c>
      <c r="J401" s="49" t="s">
        <v>207</v>
      </c>
      <c r="K401" s="49" t="s">
        <v>208</v>
      </c>
    </row>
    <row r="402" spans="1:11" outlineLevel="1" x14ac:dyDescent="0.25">
      <c r="C402" s="18" t="s">
        <v>229</v>
      </c>
      <c r="D402" s="18" t="s">
        <v>9</v>
      </c>
      <c r="E402" s="18" t="s">
        <v>140</v>
      </c>
      <c r="F402" s="18" t="s">
        <v>46</v>
      </c>
      <c r="G402" s="73" cm="1">
        <f t="array" ref="G402">IFERROR(INDEX(Input_ForRateCalc[[F-CurrentVDO_InputDate]:[F-NextVDO_Input]],MATCH(Calc_Losses_2[[#This Row],[Cost item]:[Cost item]]&amp;" - "&amp;Calc_Losses_2[[#Headers],[Ausnet]],Input_ForRateCalc[[Cost item]:[Cost item]],0),MATCH($D$249,Inputs!$H$8:$Q$8,0)),"-")</f>
        <v>1.0016499999999999</v>
      </c>
      <c r="H402" s="73" cm="1">
        <f t="array" ref="H402">IFERROR(INDEX(Input_ForRateCalc[[F-CurrentVDO_InputDate]:[F-NextVDO_Input]],MATCH(Calc_Losses_2[[#This Row],[Cost item]:[Cost item]]&amp;" - "&amp;Calc_Losses_2[[#Headers],[Citipower]],Input_ForRateCalc[[Cost item]:[Cost item]],0),MATCH($D$249,Inputs!$H$8:$Q$8,0)),"-")</f>
        <v>0.99756</v>
      </c>
      <c r="I402" s="73" cm="1">
        <f t="array" ref="I402">IFERROR(INDEX(Input_ForRateCalc[[F-CurrentVDO_InputDate]:[F-NextVDO_Input]],MATCH(Calc_Losses_2[[#This Row],[Cost item]:[Cost item]]&amp;" - "&amp;Calc_Losses_2[[#Headers],[Jemena]],Input_ForRateCalc[[Cost item]:[Cost item]],0),MATCH($D$249,Inputs!$H$8:$Q$8,0)),"-")</f>
        <v>0.99891111111111108</v>
      </c>
      <c r="J402" s="73" cm="1">
        <f t="array" ref="J402">IFERROR(INDEX(Input_ForRateCalc[[F-CurrentVDO_InputDate]:[F-NextVDO_Input]],MATCH(Calc_Losses_2[[#This Row],[Cost item]:[Cost item]]&amp;" - "&amp;Calc_Losses_2[[#Headers],[Powercor]],Input_ForRateCalc[[Cost item]:[Cost item]],0),MATCH($D$249,Inputs!$H$8:$Q$8,0)),"-")</f>
        <v>0.99418636363636348</v>
      </c>
      <c r="K402" s="73" cm="1">
        <f t="array" ref="K402">IFERROR(INDEX(Input_ForRateCalc[[F-CurrentVDO_InputDate]:[F-NextVDO_Input]],MATCH(Calc_Losses_2[[#This Row],[Cost item]:[Cost item]]&amp;" - "&amp;Calc_Losses_2[[#Headers],[United Energy]],Input_ForRateCalc[[Cost item]:[Cost item]],0),MATCH($D$249,Inputs!$H$8:$Q$8,0)),"-")</f>
        <v>0.99576000000000009</v>
      </c>
    </row>
    <row r="403" spans="1:11" outlineLevel="1" x14ac:dyDescent="0.25">
      <c r="C403" s="18" t="s">
        <v>230</v>
      </c>
      <c r="D403" s="18" t="s">
        <v>9</v>
      </c>
      <c r="E403" s="18" t="s">
        <v>140</v>
      </c>
      <c r="F403" s="18" t="s">
        <v>46</v>
      </c>
      <c r="G403" s="73" cm="1">
        <f t="array" ref="G403">IFERROR(INDEX(Input_ForRateCalc[[F-CurrentVDO_InputDate]:[F-NextVDO_Input]],MATCH(Calc_Losses_2[[#This Row],[Cost item]:[Cost item]]&amp;" - "&amp;Calc_Losses_2[[#Headers],[Ausnet]],Input_ForRateCalc[[Cost item]:[Cost item]],0),MATCH($D$249,Inputs!$H$8:$Q$8,0)),"-")</f>
        <v>1.0686</v>
      </c>
      <c r="H403" s="73" cm="1">
        <f t="array" ref="H403">IFERROR(INDEX(Input_ForRateCalc[[F-CurrentVDO_InputDate]:[F-NextVDO_Input]],MATCH(Calc_Losses_2[[#This Row],[Cost item]:[Cost item]]&amp;" - "&amp;Calc_Losses_2[[#Headers],[Citipower]],Input_ForRateCalc[[Cost item]:[Cost item]],0),MATCH($D$249,Inputs!$H$8:$Q$8,0)),"-")</f>
        <v>1.0525</v>
      </c>
      <c r="I403" s="73" cm="1">
        <f t="array" ref="I403">IFERROR(INDEX(Input_ForRateCalc[[F-CurrentVDO_InputDate]:[F-NextVDO_Input]],MATCH(Calc_Losses_2[[#This Row],[Cost item]:[Cost item]]&amp;" - "&amp;Calc_Losses_2[[#Headers],[Jemena]],Input_ForRateCalc[[Cost item]:[Cost item]],0),MATCH($D$249,Inputs!$H$8:$Q$8,0)),"-")</f>
        <v>1.0429999999999999</v>
      </c>
      <c r="J403" s="73" cm="1">
        <f t="array" ref="J403">IFERROR(INDEX(Input_ForRateCalc[[F-CurrentVDO_InputDate]:[F-NextVDO_Input]],MATCH(Calc_Losses_2[[#This Row],[Cost item]:[Cost item]]&amp;" - "&amp;Calc_Losses_2[[#Headers],[Powercor]],Input_ForRateCalc[[Cost item]:[Cost item]],0),MATCH($D$249,Inputs!$H$8:$Q$8,0)),"-")</f>
        <v>1.0806</v>
      </c>
      <c r="K403" s="73" cm="1">
        <f t="array" ref="K403">IFERROR(INDEX(Input_ForRateCalc[[F-CurrentVDO_InputDate]:[F-NextVDO_Input]],MATCH(Calc_Losses_2[[#This Row],[Cost item]:[Cost item]]&amp;" - "&amp;Calc_Losses_2[[#Headers],[United Energy]],Input_ForRateCalc[[Cost item]:[Cost item]],0),MATCH($D$249,Inputs!$H$8:$Q$8,0)),"-")</f>
        <v>1.0525</v>
      </c>
    </row>
    <row r="404" spans="1:11" outlineLevel="1" x14ac:dyDescent="0.25">
      <c r="C404" s="35" t="s">
        <v>231</v>
      </c>
      <c r="D404" s="18" t="s">
        <v>9</v>
      </c>
      <c r="E404" s="35" t="s">
        <v>140</v>
      </c>
      <c r="F404" s="18" t="s">
        <v>46</v>
      </c>
      <c r="G404" s="60">
        <f>(G402*G403)-1</f>
        <v>7.0363189999999909E-2</v>
      </c>
      <c r="H404" s="60">
        <f t="shared" ref="H404:K404" si="103">(H402*H403)-1</f>
        <v>4.9931900000000029E-2</v>
      </c>
      <c r="I404" s="60">
        <f t="shared" si="103"/>
        <v>4.1864288888888712E-2</v>
      </c>
      <c r="J404" s="60">
        <f t="shared" si="103"/>
        <v>7.4317784545454346E-2</v>
      </c>
      <c r="K404" s="60">
        <f t="shared" si="103"/>
        <v>4.8037400000000119E-2</v>
      </c>
    </row>
    <row r="405" spans="1:11" outlineLevel="1" x14ac:dyDescent="0.25">
      <c r="B405"/>
    </row>
    <row r="406" spans="1:11" ht="15.75" outlineLevel="1" collapsed="1" x14ac:dyDescent="0.25">
      <c r="A406" s="1" t="s">
        <v>19</v>
      </c>
      <c r="C406" s="23" t="s">
        <v>139</v>
      </c>
    </row>
    <row r="407" spans="1:11" ht="15.75" outlineLevel="1" x14ac:dyDescent="0.25">
      <c r="C407" s="34" t="s">
        <v>24</v>
      </c>
      <c r="D407" s="34" t="s">
        <v>37</v>
      </c>
      <c r="E407" s="34" t="s">
        <v>38</v>
      </c>
      <c r="F407" s="34" t="s">
        <v>30</v>
      </c>
      <c r="G407" s="49" t="s">
        <v>204</v>
      </c>
      <c r="H407" s="49" t="s">
        <v>205</v>
      </c>
      <c r="I407" s="49" t="s">
        <v>206</v>
      </c>
      <c r="J407" s="49" t="s">
        <v>207</v>
      </c>
      <c r="K407" s="49" t="s">
        <v>208</v>
      </c>
    </row>
    <row r="408" spans="1:11" outlineLevel="1" x14ac:dyDescent="0.25">
      <c r="C408" s="18" t="s">
        <v>139</v>
      </c>
      <c r="D408" s="18" t="s">
        <v>9</v>
      </c>
      <c r="E408" s="18" t="s">
        <v>140</v>
      </c>
      <c r="F408" s="18" t="s">
        <v>46</v>
      </c>
      <c r="G408" s="73" cm="1">
        <f t="array" ref="G408">IFERROR(INDEX(Input_ForRateCalc[[F-CurrentVDO_InputDate]:[F-NextVDO_Input]],MATCH(Calc_ROM_2[[#This Row],[Cost item]:[Cost item]],Input_ForRateCalc[[Cost item]:[Cost item]],0),MATCH($D$249,Inputs!$H$8:$Q$8,0)),"-")</f>
        <v>6.0400000000000002E-2</v>
      </c>
      <c r="H408" s="73" cm="1">
        <f t="array" ref="H408">IFERROR(INDEX(Input_ForRateCalc[[F-CurrentVDO_InputDate]:[F-NextVDO_Input]],MATCH(Calc_ROM_2[[#This Row],[Cost item]:[Cost item]],Input_ForRateCalc[[Cost item]:[Cost item]],0),MATCH($D$249,Inputs!$H$8:$Q$8,0)),"-")</f>
        <v>6.0400000000000002E-2</v>
      </c>
      <c r="I408" s="73" cm="1">
        <f t="array" ref="I408">IFERROR(INDEX(Input_ForRateCalc[[F-CurrentVDO_InputDate]:[F-NextVDO_Input]],MATCH(Calc_ROM_2[[#This Row],[Cost item]:[Cost item]],Input_ForRateCalc[[Cost item]:[Cost item]],0),MATCH($D$249,Inputs!$H$8:$Q$8,0)),"-")</f>
        <v>6.0400000000000002E-2</v>
      </c>
      <c r="J408" s="73" cm="1">
        <f t="array" ref="J408">IFERROR(INDEX(Input_ForRateCalc[[F-CurrentVDO_InputDate]:[F-NextVDO_Input]],MATCH(Calc_ROM_2[[#This Row],[Cost item]:[Cost item]],Input_ForRateCalc[[Cost item]:[Cost item]],0),MATCH($D$249,Inputs!$H$8:$Q$8,0)),"-")</f>
        <v>6.0400000000000002E-2</v>
      </c>
      <c r="K408" s="73" cm="1">
        <f t="array" ref="K408">IFERROR(INDEX(Input_ForRateCalc[[F-CurrentVDO_InputDate]:[F-NextVDO_Input]],MATCH(Calc_ROM_2[[#This Row],[Cost item]:[Cost item]],Input_ForRateCalc[[Cost item]:[Cost item]],0),MATCH($D$249,Inputs!$H$8:$Q$8,0)),"-")</f>
        <v>6.0400000000000002E-2</v>
      </c>
    </row>
    <row r="409" spans="1:11" x14ac:dyDescent="0.25">
      <c r="B409"/>
    </row>
    <row r="410" spans="1:11" x14ac:dyDescent="0.25">
      <c r="B410"/>
    </row>
    <row r="411" spans="1:11" ht="16.5" thickBot="1" x14ac:dyDescent="0.3">
      <c r="B411" s="165">
        <f ca="1">MAX(B$3:B410)+0.1</f>
        <v>7.9999999999999964</v>
      </c>
      <c r="C411" s="22" t="s">
        <v>232</v>
      </c>
      <c r="D411" s="22"/>
      <c r="E411" s="22"/>
      <c r="F411" s="22"/>
      <c r="G411" s="22"/>
      <c r="H411" s="22"/>
      <c r="I411" s="22"/>
      <c r="J411" s="22"/>
      <c r="K411" s="22"/>
    </row>
    <row r="412" spans="1:11" outlineLevel="1" x14ac:dyDescent="0.25"/>
    <row r="413" spans="1:11" ht="15.75" outlineLevel="1" collapsed="1" x14ac:dyDescent="0.25">
      <c r="A413" s="1" t="s">
        <v>19</v>
      </c>
      <c r="C413" s="34" t="s">
        <v>24</v>
      </c>
      <c r="D413" s="34" t="s">
        <v>37</v>
      </c>
      <c r="E413" s="34" t="s">
        <v>38</v>
      </c>
      <c r="F413" s="34" t="s">
        <v>30</v>
      </c>
      <c r="G413" s="49" t="s">
        <v>204</v>
      </c>
      <c r="H413" s="49" t="s">
        <v>205</v>
      </c>
      <c r="I413" s="49" t="s">
        <v>206</v>
      </c>
      <c r="J413" s="49" t="s">
        <v>207</v>
      </c>
      <c r="K413" s="49" t="s">
        <v>208</v>
      </c>
    </row>
    <row r="414" spans="1:11" outlineLevel="1" x14ac:dyDescent="0.25">
      <c r="C414" s="18" t="s">
        <v>228</v>
      </c>
      <c r="D414" s="18" t="s">
        <v>44</v>
      </c>
      <c r="E414" s="18" t="s">
        <v>45</v>
      </c>
      <c r="F414" s="18" t="s">
        <v>46</v>
      </c>
      <c r="G414" s="50" cm="1">
        <f t="array" ref="G414">IFERROR(
IFERROR(INDEX(Calc_CPI_2[[CPI uplift factor]:[CPI uplift factor]],MATCH($C414&amp;" - base",Calc_CPI_2[[Cost item]:[Cost item]],0),1),0)+
IFERROR(INDEX(Calc_CPI_2[[CPI uplift factor]:[CPI uplift factor]],MATCH($C414&amp;" - regulatory cost allowance",Calc_CPI_2[[Cost item]:[Cost item]],0),1),0)+
INDEX(Input_ForRateCalc[[F-CurrentVDO_InputDate]:[F-NextVDO_Input]],MATCH(Calc_Retail_2[[#This Row],[Cost item]:[Cost item]]&amp;" - base",Input_ForRateCalc[[Cost item]:[Cost item]],0),MATCH($D$249,Inputs!$H$8:$Q$8,0))+
INDEX(Input_ForRateCalc[[F-CurrentVDO_InputDate]:[F-NextVDO_Input]],MATCH(Calc_Retail_2[[#This Row],[Cost item]:[Cost item]]&amp;" - 5 min settlement allowance",Input_ForRateCalc[[Cost item]:[Cost item]],0),MATCH($D$249,Inputs!$H$8:$Q$8,0))+
INDEX(Input_ForRateCalc[[F-CurrentVDO_InputDate]:[F-NextVDO_Input]],MATCH(Calc_Retail_2[[#This Row],[Cost item]:[Cost item]]&amp;" - regulatory cost allowance",Input_ForRateCalc[[Cost item]:[Cost item]],0),MATCH($D$249,Inputs!$H$8:$Q$8,0))+
INDEX(Input_ForRateCalc[[F-CurrentVDO_InputDate]:[F-NextVDO_Input]],MATCH(Calc_Retail_2[[#This Row],[Cost item]:[Cost item]]&amp;" - bad debt allowance",Input_ForRateCalc[[Cost item]:[Cost item]],0),MATCH($D$249,Inputs!$H$8:$Q$8,0)),"-")</f>
        <v>146.76936048780485</v>
      </c>
      <c r="H414" s="50" cm="1">
        <f t="array" ref="H414">IFERROR(
IFERROR(INDEX(Calc_CPI_2[[CPI uplift factor]:[CPI uplift factor]],MATCH($C414&amp;" - base",Calc_CPI_2[[Cost item]:[Cost item]],0),1),0)+
IFERROR(INDEX(Calc_CPI_2[[CPI uplift factor]:[CPI uplift factor]],MATCH($C414&amp;" - regulatory cost allowance",Calc_CPI_2[[Cost item]:[Cost item]],0),1),0)+
INDEX(Input_ForRateCalc[[F-CurrentVDO_InputDate]:[F-NextVDO_Input]],MATCH(Calc_Retail_2[[#This Row],[Cost item]:[Cost item]]&amp;" - base",Input_ForRateCalc[[Cost item]:[Cost item]],0),MATCH($D$249,Inputs!$H$8:$Q$8,0))+
INDEX(Input_ForRateCalc[[F-CurrentVDO_InputDate]:[F-NextVDO_Input]],MATCH(Calc_Retail_2[[#This Row],[Cost item]:[Cost item]]&amp;" - 5 min settlement allowance",Input_ForRateCalc[[Cost item]:[Cost item]],0),MATCH($D$249,Inputs!$H$8:$Q$8,0))+
INDEX(Input_ForRateCalc[[F-CurrentVDO_InputDate]:[F-NextVDO_Input]],MATCH(Calc_Retail_2[[#This Row],[Cost item]:[Cost item]]&amp;" - regulatory cost allowance",Input_ForRateCalc[[Cost item]:[Cost item]],0),MATCH($D$249,Inputs!$H$8:$Q$8,0))+
INDEX(Input_ForRateCalc[[F-CurrentVDO_InputDate]:[F-NextVDO_Input]],MATCH(Calc_Retail_2[[#This Row],[Cost item]:[Cost item]]&amp;" - bad debt allowance",Input_ForRateCalc[[Cost item]:[Cost item]],0),MATCH($D$249,Inputs!$H$8:$Q$8,0)),"-")</f>
        <v>146.76936048780485</v>
      </c>
      <c r="I414" s="50" cm="1">
        <f t="array" ref="I414">IFERROR(
IFERROR(INDEX(Calc_CPI_2[[CPI uplift factor]:[CPI uplift factor]],MATCH($C414&amp;" - base",Calc_CPI_2[[Cost item]:[Cost item]],0),1),0)+
IFERROR(INDEX(Calc_CPI_2[[CPI uplift factor]:[CPI uplift factor]],MATCH($C414&amp;" - regulatory cost allowance",Calc_CPI_2[[Cost item]:[Cost item]],0),1),0)+
INDEX(Input_ForRateCalc[[F-CurrentVDO_InputDate]:[F-NextVDO_Input]],MATCH(Calc_Retail_2[[#This Row],[Cost item]:[Cost item]]&amp;" - base",Input_ForRateCalc[[Cost item]:[Cost item]],0),MATCH($D$249,Inputs!$H$8:$Q$8,0))+
INDEX(Input_ForRateCalc[[F-CurrentVDO_InputDate]:[F-NextVDO_Input]],MATCH(Calc_Retail_2[[#This Row],[Cost item]:[Cost item]]&amp;" - 5 min settlement allowance",Input_ForRateCalc[[Cost item]:[Cost item]],0),MATCH($D$249,Inputs!$H$8:$Q$8,0))+
INDEX(Input_ForRateCalc[[F-CurrentVDO_InputDate]:[F-NextVDO_Input]],MATCH(Calc_Retail_2[[#This Row],[Cost item]:[Cost item]]&amp;" - regulatory cost allowance",Input_ForRateCalc[[Cost item]:[Cost item]],0),MATCH($D$249,Inputs!$H$8:$Q$8,0))+
INDEX(Input_ForRateCalc[[F-CurrentVDO_InputDate]:[F-NextVDO_Input]],MATCH(Calc_Retail_2[[#This Row],[Cost item]:[Cost item]]&amp;" - bad debt allowance",Input_ForRateCalc[[Cost item]:[Cost item]],0),MATCH($D$249,Inputs!$H$8:$Q$8,0)),"-")</f>
        <v>146.76936048780485</v>
      </c>
      <c r="J414" s="50" cm="1">
        <f t="array" ref="J414">IFERROR(
IFERROR(INDEX(Calc_CPI_2[[CPI uplift factor]:[CPI uplift factor]],MATCH($C414&amp;" - base",Calc_CPI_2[[Cost item]:[Cost item]],0),1),0)+
IFERROR(INDEX(Calc_CPI_2[[CPI uplift factor]:[CPI uplift factor]],MATCH($C414&amp;" - regulatory cost allowance",Calc_CPI_2[[Cost item]:[Cost item]],0),1),0)+
INDEX(Input_ForRateCalc[[F-CurrentVDO_InputDate]:[F-NextVDO_Input]],MATCH(Calc_Retail_2[[#This Row],[Cost item]:[Cost item]]&amp;" - base",Input_ForRateCalc[[Cost item]:[Cost item]],0),MATCH($D$249,Inputs!$H$8:$Q$8,0))+
INDEX(Input_ForRateCalc[[F-CurrentVDO_InputDate]:[F-NextVDO_Input]],MATCH(Calc_Retail_2[[#This Row],[Cost item]:[Cost item]]&amp;" - 5 min settlement allowance",Input_ForRateCalc[[Cost item]:[Cost item]],0),MATCH($D$249,Inputs!$H$8:$Q$8,0))+
INDEX(Input_ForRateCalc[[F-CurrentVDO_InputDate]:[F-NextVDO_Input]],MATCH(Calc_Retail_2[[#This Row],[Cost item]:[Cost item]]&amp;" - regulatory cost allowance",Input_ForRateCalc[[Cost item]:[Cost item]],0),MATCH($D$249,Inputs!$H$8:$Q$8,0))+
INDEX(Input_ForRateCalc[[F-CurrentVDO_InputDate]:[F-NextVDO_Input]],MATCH(Calc_Retail_2[[#This Row],[Cost item]:[Cost item]]&amp;" - bad debt allowance",Input_ForRateCalc[[Cost item]:[Cost item]],0),MATCH($D$249,Inputs!$H$8:$Q$8,0)),"-")</f>
        <v>146.76936048780485</v>
      </c>
      <c r="K414" s="50" cm="1">
        <f t="array" ref="K414">IFERROR(
IFERROR(INDEX(Calc_CPI_2[[CPI uplift factor]:[CPI uplift factor]],MATCH($C414&amp;" - base",Calc_CPI_2[[Cost item]:[Cost item]],0),1),0)+
IFERROR(INDEX(Calc_CPI_2[[CPI uplift factor]:[CPI uplift factor]],MATCH($C414&amp;" - regulatory cost allowance",Calc_CPI_2[[Cost item]:[Cost item]],0),1),0)+
INDEX(Input_ForRateCalc[[F-CurrentVDO_InputDate]:[F-NextVDO_Input]],MATCH(Calc_Retail_2[[#This Row],[Cost item]:[Cost item]]&amp;" - base",Input_ForRateCalc[[Cost item]:[Cost item]],0),MATCH($D$249,Inputs!$H$8:$Q$8,0))+
INDEX(Input_ForRateCalc[[F-CurrentVDO_InputDate]:[F-NextVDO_Input]],MATCH(Calc_Retail_2[[#This Row],[Cost item]:[Cost item]]&amp;" - 5 min settlement allowance",Input_ForRateCalc[[Cost item]:[Cost item]],0),MATCH($D$249,Inputs!$H$8:$Q$8,0))+
INDEX(Input_ForRateCalc[[F-CurrentVDO_InputDate]:[F-NextVDO_Input]],MATCH(Calc_Retail_2[[#This Row],[Cost item]:[Cost item]]&amp;" - regulatory cost allowance",Input_ForRateCalc[[Cost item]:[Cost item]],0),MATCH($D$249,Inputs!$H$8:$Q$8,0))+
INDEX(Input_ForRateCalc[[F-CurrentVDO_InputDate]:[F-NextVDO_Input]],MATCH(Calc_Retail_2[[#This Row],[Cost item]:[Cost item]]&amp;" - bad debt allowance",Input_ForRateCalc[[Cost item]:[Cost item]],0),MATCH($D$249,Inputs!$H$8:$Q$8,0)),"-")</f>
        <v>146.76936048780485</v>
      </c>
    </row>
    <row r="415" spans="1:11" outlineLevel="1" x14ac:dyDescent="0.25">
      <c r="C415" s="35" t="s">
        <v>50</v>
      </c>
      <c r="D415" s="35" t="s">
        <v>44</v>
      </c>
      <c r="E415" s="18" t="s">
        <v>45</v>
      </c>
      <c r="F415" s="18" t="s">
        <v>46</v>
      </c>
      <c r="G415" s="50" cm="1">
        <f t="array" ref="G415">IFERROR(
IFERROR(INDEX(Calc_CPI_2[[CPI uplift factor]:[CPI uplift factor]],MATCH($C415,Calc_CPI_2[[Cost item]:[Cost item]],0),1),0)+
INDEX(Input_ForRateCalc[[F-CurrentVDO_InputDate]:[F-NextVDO_Input]],MATCH(Calc_Retail_2[[#This Row],[Cost item]:[Cost item]],Input_ForRateCalc[[Cost item]:[Cost item]],0),MATCH($D$249,Inputs!$H$8:$Q$8,0)),"-")</f>
        <v>39.324041811846691</v>
      </c>
      <c r="H415" s="50" cm="1">
        <f t="array" ref="H415">IFERROR(
IFERROR(INDEX(Calc_CPI_2[[CPI uplift factor]:[CPI uplift factor]],MATCH($C415,Calc_CPI_2[[Cost item]:[Cost item]],0),1),0)+
INDEX(Input_ForRateCalc[[F-CurrentVDO_InputDate]:[F-NextVDO_Input]],MATCH(Calc_Retail_2[[#This Row],[Cost item]:[Cost item]],Input_ForRateCalc[[Cost item]:[Cost item]],0),MATCH($D$249,Inputs!$H$8:$Q$8,0)),"-")</f>
        <v>39.324041811846691</v>
      </c>
      <c r="I415" s="50" cm="1">
        <f t="array" ref="I415">IFERROR(
IFERROR(INDEX(Calc_CPI_2[[CPI uplift factor]:[CPI uplift factor]],MATCH($C415,Calc_CPI_2[[Cost item]:[Cost item]],0),1),0)+
INDEX(Input_ForRateCalc[[F-CurrentVDO_InputDate]:[F-NextVDO_Input]],MATCH(Calc_Retail_2[[#This Row],[Cost item]:[Cost item]],Input_ForRateCalc[[Cost item]:[Cost item]],0),MATCH($D$249,Inputs!$H$8:$Q$8,0)),"-")</f>
        <v>39.324041811846691</v>
      </c>
      <c r="J415" s="50" cm="1">
        <f t="array" ref="J415">IFERROR(
IFERROR(INDEX(Calc_CPI_2[[CPI uplift factor]:[CPI uplift factor]],MATCH($C415,Calc_CPI_2[[Cost item]:[Cost item]],0),1),0)+
INDEX(Input_ForRateCalc[[F-CurrentVDO_InputDate]:[F-NextVDO_Input]],MATCH(Calc_Retail_2[[#This Row],[Cost item]:[Cost item]],Input_ForRateCalc[[Cost item]:[Cost item]],0),MATCH($D$249,Inputs!$H$8:$Q$8,0)),"-")</f>
        <v>39.324041811846691</v>
      </c>
      <c r="K415" s="50" cm="1">
        <f t="array" ref="K415">IFERROR(
IFERROR(INDEX(Calc_CPI_2[[CPI uplift factor]:[CPI uplift factor]],MATCH($C415,Calc_CPI_2[[Cost item]:[Cost item]],0),1),0)+
INDEX(Input_ForRateCalc[[F-CurrentVDO_InputDate]:[F-NextVDO_Input]],MATCH(Calc_Retail_2[[#This Row],[Cost item]:[Cost item]],Input_ForRateCalc[[Cost item]:[Cost item]],0),MATCH($D$249,Inputs!$H$8:$Q$8,0)),"-")</f>
        <v>39.324041811846691</v>
      </c>
    </row>
    <row r="417" spans="1:16" ht="16.5" thickBot="1" x14ac:dyDescent="0.3">
      <c r="B417" s="7">
        <f ca="1">MAX(B$3:B416)+0.1</f>
        <v>8.0999999999999961</v>
      </c>
      <c r="C417" s="22" t="s">
        <v>209</v>
      </c>
      <c r="D417" s="22"/>
      <c r="E417" s="22"/>
      <c r="F417" s="22"/>
      <c r="G417" s="22"/>
      <c r="H417" s="22"/>
      <c r="I417" s="22"/>
      <c r="J417" s="22"/>
      <c r="K417" s="22"/>
    </row>
    <row r="418" spans="1:16" outlineLevel="1" x14ac:dyDescent="0.25"/>
    <row r="419" spans="1:16" ht="15.75" outlineLevel="1" x14ac:dyDescent="0.25">
      <c r="C419" s="34" t="s">
        <v>24</v>
      </c>
      <c r="D419" s="34" t="s">
        <v>37</v>
      </c>
      <c r="E419" s="34" t="s">
        <v>38</v>
      </c>
      <c r="F419" s="34" t="s">
        <v>30</v>
      </c>
      <c r="G419" s="49" t="s">
        <v>204</v>
      </c>
      <c r="H419" s="49" t="s">
        <v>205</v>
      </c>
      <c r="I419" s="49" t="s">
        <v>206</v>
      </c>
      <c r="J419" s="49" t="s">
        <v>207</v>
      </c>
      <c r="K419" s="49" t="s">
        <v>208</v>
      </c>
    </row>
    <row r="420" spans="1:16" outlineLevel="1" x14ac:dyDescent="0.25">
      <c r="C420" s="18" t="s">
        <v>53</v>
      </c>
      <c r="D420" s="18" t="s">
        <v>44</v>
      </c>
      <c r="E420" s="18" t="s">
        <v>45</v>
      </c>
      <c r="F420" s="18" t="s">
        <v>46</v>
      </c>
      <c r="G420" s="50" cm="1">
        <f t="array" ref="G420">IFERROR(
IFERROR(INDEX(Calc_CPI_2[[CPI uplift factor]:[CPI uplift factor]],MATCH($C420,Calc_CPI_2[[Cost item]:[Cost item]],0),1),0)+
INDEX(Input_ForRateCalc[[F-CurrentVDO_InputDate]:[F-NextVDO_Input]],MATCH(Calc_OtherCosts_2[[#This Row],[Cost item]:[Cost item]],Input_ForRateCalc[[Cost item]:[Cost item]],0),MATCH($D$249,Inputs!$H$8:$Q$8,0)),"-")</f>
        <v>1.7318356791579066</v>
      </c>
      <c r="H420" s="50" cm="1">
        <f t="array" ref="H420">IFERROR(
IFERROR(INDEX(Calc_CPI_2[[CPI uplift factor]:[CPI uplift factor]],MATCH($C420,Calc_CPI_2[[Cost item]:[Cost item]],0),1),0)+
INDEX(Input_ForRateCalc[[F-CurrentVDO_InputDate]:[F-NextVDO_Input]],MATCH(Calc_OtherCosts_2[[#This Row],[Cost item]:[Cost item]],Input_ForRateCalc[[Cost item]:[Cost item]],0),MATCH($D$249,Inputs!$H$8:$Q$8,0)),"-")</f>
        <v>1.7318356791579066</v>
      </c>
      <c r="I420" s="50" cm="1">
        <f t="array" ref="I420">IFERROR(
IFERROR(INDEX(Calc_CPI_2[[CPI uplift factor]:[CPI uplift factor]],MATCH($C420,Calc_CPI_2[[Cost item]:[Cost item]],0),1),0)+
INDEX(Input_ForRateCalc[[F-CurrentVDO_InputDate]:[F-NextVDO_Input]],MATCH(Calc_OtherCosts_2[[#This Row],[Cost item]:[Cost item]],Input_ForRateCalc[[Cost item]:[Cost item]],0),MATCH($D$249,Inputs!$H$8:$Q$8,0)),"-")</f>
        <v>1.7318356791579066</v>
      </c>
      <c r="J420" s="50" cm="1">
        <f t="array" ref="J420">IFERROR(
IFERROR(INDEX(Calc_CPI_2[[CPI uplift factor]:[CPI uplift factor]],MATCH($C420,Calc_CPI_2[[Cost item]:[Cost item]],0),1),0)+
INDEX(Input_ForRateCalc[[F-CurrentVDO_InputDate]:[F-NextVDO_Input]],MATCH(Calc_OtherCosts_2[[#This Row],[Cost item]:[Cost item]],Input_ForRateCalc[[Cost item]:[Cost item]],0),MATCH($D$249,Inputs!$H$8:$Q$8,0)),"-")</f>
        <v>1.7318356791579066</v>
      </c>
      <c r="K420" s="50" cm="1">
        <f t="array" ref="K420">IFERROR(
IFERROR(INDEX(Calc_CPI_2[[CPI uplift factor]:[CPI uplift factor]],MATCH($C420,Calc_CPI_2[[Cost item]:[Cost item]],0),1),0)+
INDEX(Input_ForRateCalc[[F-CurrentVDO_InputDate]:[F-NextVDO_Input]],MATCH(Calc_OtherCosts_2[[#This Row],[Cost item]:[Cost item]],Input_ForRateCalc[[Cost item]:[Cost item]],0),MATCH($D$249,Inputs!$H$8:$Q$8,0)),"-")</f>
        <v>1.7318356791579066</v>
      </c>
      <c r="N420" s="74"/>
      <c r="P420" s="178"/>
    </row>
    <row r="421" spans="1:16" outlineLevel="1" x14ac:dyDescent="0.25">
      <c r="C421" s="18" t="s">
        <v>54</v>
      </c>
      <c r="D421" s="18" t="s">
        <v>44</v>
      </c>
      <c r="E421" s="18" t="s">
        <v>45</v>
      </c>
      <c r="F421" s="18" t="s">
        <v>46</v>
      </c>
      <c r="G421" s="50" cm="1">
        <f t="array" ref="G421">IFERROR(
IFERROR(INDEX(Calc_CPI_2[[CPI uplift factor]:[CPI uplift factor]],MATCH($C421,Calc_CPI_2[[Cost item]:[Cost item]],0),1),0)+
INDEX(Input_ForRateCalc[[F-CurrentVDO_InputDate]:[F-NextVDO_Input]],MATCH(Calc_OtherCosts_2[[#This Row],[Cost item]:[Cost item]],Input_ForRateCalc[[Cost item]:[Cost item]],0),MATCH($D$249,Inputs!$H$8:$Q$8,0)),"-")</f>
        <v>0</v>
      </c>
      <c r="H421" s="50" cm="1">
        <f t="array" ref="H421">IFERROR(
IFERROR(INDEX(Calc_CPI_2[[CPI uplift factor]:[CPI uplift factor]],MATCH($C421,Calc_CPI_2[[Cost item]:[Cost item]],0),1),0)+
INDEX(Input_ForRateCalc[[F-CurrentVDO_InputDate]:[F-NextVDO_Input]],MATCH(Calc_OtherCosts_2[[#This Row],[Cost item]:[Cost item]],Input_ForRateCalc[[Cost item]:[Cost item]],0),MATCH($D$249,Inputs!$H$8:$Q$8,0)),"-")</f>
        <v>0</v>
      </c>
      <c r="I421" s="50" cm="1">
        <f t="array" ref="I421">IFERROR(
IFERROR(INDEX(Calc_CPI_2[[CPI uplift factor]:[CPI uplift factor]],MATCH($C421,Calc_CPI_2[[Cost item]:[Cost item]],0),1),0)+
INDEX(Input_ForRateCalc[[F-CurrentVDO_InputDate]:[F-NextVDO_Input]],MATCH(Calc_OtherCosts_2[[#This Row],[Cost item]:[Cost item]],Input_ForRateCalc[[Cost item]:[Cost item]],0),MATCH($D$249,Inputs!$H$8:$Q$8,0)),"-")</f>
        <v>0</v>
      </c>
      <c r="J421" s="50" cm="1">
        <f t="array" ref="J421">IFERROR(
IFERROR(INDEX(Calc_CPI_2[[CPI uplift factor]:[CPI uplift factor]],MATCH($C421,Calc_CPI_2[[Cost item]:[Cost item]],0),1),0)+
INDEX(Input_ForRateCalc[[F-CurrentVDO_InputDate]:[F-NextVDO_Input]],MATCH(Calc_OtherCosts_2[[#This Row],[Cost item]:[Cost item]],Input_ForRateCalc[[Cost item]:[Cost item]],0),MATCH($D$249,Inputs!$H$8:$Q$8,0)),"-")</f>
        <v>0</v>
      </c>
      <c r="K421" s="50" cm="1">
        <f t="array" ref="K421">IFERROR(
IFERROR(INDEX(Calc_CPI_2[[CPI uplift factor]:[CPI uplift factor]],MATCH($C421,Calc_CPI_2[[Cost item]:[Cost item]],0),1),0)+
INDEX(Input_ForRateCalc[[F-CurrentVDO_InputDate]:[F-NextVDO_Input]],MATCH(Calc_OtherCosts_2[[#This Row],[Cost item]:[Cost item]],Input_ForRateCalc[[Cost item]:[Cost item]],0),MATCH($D$249,Inputs!$H$8:$Q$8,0)),"-")</f>
        <v>0</v>
      </c>
      <c r="N421" s="74"/>
      <c r="P421" s="178"/>
    </row>
    <row r="422" spans="1:16" outlineLevel="1" x14ac:dyDescent="0.25">
      <c r="C422" s="48" t="s">
        <v>432</v>
      </c>
      <c r="D422" s="18" t="s">
        <v>44</v>
      </c>
      <c r="E422" s="18" t="s">
        <v>45</v>
      </c>
      <c r="F422" s="18" t="s">
        <v>46</v>
      </c>
      <c r="G422" s="50" cm="1">
        <f t="array" ref="G422">IFERROR(
(IFERROR(INDEX(Calc_CPI_2[[CPI uplift factor]:[CPI uplift factor]],MATCH($C422,Calc_CPI_2[[Cost item]:[Cost item]],0),1),0)+
INDEX(Input_ForRateCalc[[F-CurrentVDO_InputDate]:[F-NextVDO_Input]],MATCH(Calc_OtherCosts_2[[#This Row],[Cost item]:[Cost item]],Input_ForRateCalc[[Cost item]:[Cost item]],0),MATCH($D$249,Inputs!$H$8:$Q$8,0)))*WiY,"-")</f>
        <v>0.61619999999999997</v>
      </c>
      <c r="H422" s="50" cm="1">
        <f t="array" ref="H422">IFERROR(
(IFERROR(INDEX(Calc_CPI_2[[CPI uplift factor]:[CPI uplift factor]],MATCH($C422,Calc_CPI_2[[Cost item]:[Cost item]],0),1),0)+
INDEX(Input_ForRateCalc[[F-CurrentVDO_InputDate]:[F-NextVDO_Input]],MATCH(Calc_OtherCosts_2[[#This Row],[Cost item]:[Cost item]],Input_ForRateCalc[[Cost item]:[Cost item]],0),MATCH($D$249,Inputs!$H$8:$Q$8,0)))*WiY,"-")</f>
        <v>0.61619999999999997</v>
      </c>
      <c r="I422" s="50" cm="1">
        <f t="array" ref="I422">IFERROR(
(IFERROR(INDEX(Calc_CPI_2[[CPI uplift factor]:[CPI uplift factor]],MATCH($C422,Calc_CPI_2[[Cost item]:[Cost item]],0),1),0)+
INDEX(Input_ForRateCalc[[F-CurrentVDO_InputDate]:[F-NextVDO_Input]],MATCH(Calc_OtherCosts_2[[#This Row],[Cost item]:[Cost item]],Input_ForRateCalc[[Cost item]:[Cost item]],0),MATCH($D$249,Inputs!$H$8:$Q$8,0)))*WiY,"-")</f>
        <v>0.61619999999999997</v>
      </c>
      <c r="J422" s="50" cm="1">
        <f t="array" ref="J422">IFERROR(
(IFERROR(INDEX(Calc_CPI_2[[CPI uplift factor]:[CPI uplift factor]],MATCH($C422,Calc_CPI_2[[Cost item]:[Cost item]],0),1),0)+
INDEX(Input_ForRateCalc[[F-CurrentVDO_InputDate]:[F-NextVDO_Input]],MATCH(Calc_OtherCosts_2[[#This Row],[Cost item]:[Cost item]],Input_ForRateCalc[[Cost item]:[Cost item]],0),MATCH($D$249,Inputs!$H$8:$Q$8,0)))*WiY,"-")</f>
        <v>0.61619999999999997</v>
      </c>
      <c r="K422" s="50" cm="1">
        <f t="array" ref="K422">IFERROR(
(IFERROR(INDEX(Calc_CPI_2[[CPI uplift factor]:[CPI uplift factor]],MATCH($C422,Calc_CPI_2[[Cost item]:[Cost item]],0),1),0)+
INDEX(Input_ForRateCalc[[F-CurrentVDO_InputDate]:[F-NextVDO_Input]],MATCH(Calc_OtherCosts_2[[#This Row],[Cost item]:[Cost item]],Input_ForRateCalc[[Cost item]:[Cost item]],0),MATCH($D$249,Inputs!$H$8:$Q$8,0)))*WiY,"-")</f>
        <v>0.61619999999999997</v>
      </c>
      <c r="N422" s="74"/>
      <c r="P422" s="178"/>
    </row>
    <row r="423" spans="1:16" outlineLevel="1" x14ac:dyDescent="0.25">
      <c r="C423" s="18" t="s">
        <v>56</v>
      </c>
      <c r="D423" s="18" t="s">
        <v>44</v>
      </c>
      <c r="E423" s="18" t="s">
        <v>45</v>
      </c>
      <c r="F423" s="18" t="s">
        <v>46</v>
      </c>
      <c r="G423" s="50" cm="1">
        <f t="array" ref="G423">IFERROR(
(IFERROR(INDEX(Calc_CPI_2[[CPI uplift factor]:[CPI uplift factor]],MATCH($C423,Calc_CPI_2[[Cost item]:[Cost item]],0),1),0)+
INDEX(Input_ForRateCalc[[F-CurrentVDO_InputDate]:[F-NextVDO_Input]],MATCH(Calc_OtherCosts_2[[#This Row],[Cost item]:[Cost item]],Input_ForRateCalc[[Cost item]:[Cost item]],0),MATCH($D$249,Inputs!$H$8:$Q$8,0)))*WiY,"-")</f>
        <v>1.3478399999999999</v>
      </c>
      <c r="H423" s="50" cm="1">
        <f t="array" ref="H423">IFERROR(
(IFERROR(INDEX(Calc_CPI_2[[CPI uplift factor]:[CPI uplift factor]],MATCH($C423,Calc_CPI_2[[Cost item]:[Cost item]],0),1),0)+
INDEX(Input_ForRateCalc[[F-CurrentVDO_InputDate]:[F-NextVDO_Input]],MATCH(Calc_OtherCosts_2[[#This Row],[Cost item]:[Cost item]],Input_ForRateCalc[[Cost item]:[Cost item]],0),MATCH($D$249,Inputs!$H$8:$Q$8,0)))*WiY,"-")</f>
        <v>1.3478399999999999</v>
      </c>
      <c r="I423" s="50" cm="1">
        <f t="array" ref="I423">IFERROR(
(IFERROR(INDEX(Calc_CPI_2[[CPI uplift factor]:[CPI uplift factor]],MATCH($C423,Calc_CPI_2[[Cost item]:[Cost item]],0),1),0)+
INDEX(Input_ForRateCalc[[F-CurrentVDO_InputDate]:[F-NextVDO_Input]],MATCH(Calc_OtherCosts_2[[#This Row],[Cost item]:[Cost item]],Input_ForRateCalc[[Cost item]:[Cost item]],0),MATCH($D$249,Inputs!$H$8:$Q$8,0)))*WiY,"-")</f>
        <v>1.3478399999999999</v>
      </c>
      <c r="J423" s="50" cm="1">
        <f t="array" ref="J423">IFERROR(
(IFERROR(INDEX(Calc_CPI_2[[CPI uplift factor]:[CPI uplift factor]],MATCH($C423,Calc_CPI_2[[Cost item]:[Cost item]],0),1),0)+
INDEX(Input_ForRateCalc[[F-CurrentVDO_InputDate]:[F-NextVDO_Input]],MATCH(Calc_OtherCosts_2[[#This Row],[Cost item]:[Cost item]],Input_ForRateCalc[[Cost item]:[Cost item]],0),MATCH($D$249,Inputs!$H$8:$Q$8,0)))*WiY,"-")</f>
        <v>1.3478399999999999</v>
      </c>
      <c r="K423" s="50" cm="1">
        <f t="array" ref="K423">IFERROR(
(IFERROR(INDEX(Calc_CPI_2[[CPI uplift factor]:[CPI uplift factor]],MATCH($C423,Calc_CPI_2[[Cost item]:[Cost item]],0),1),0)+
INDEX(Input_ForRateCalc[[F-CurrentVDO_InputDate]:[F-NextVDO_Input]],MATCH(Calc_OtherCosts_2[[#This Row],[Cost item]:[Cost item]],Input_ForRateCalc[[Cost item]:[Cost item]],0),MATCH($D$249,Inputs!$H$8:$Q$8,0)))*WiY,"-")</f>
        <v>1.3478399999999999</v>
      </c>
      <c r="N423" s="74"/>
      <c r="P423" s="178"/>
    </row>
    <row r="424" spans="1:16" ht="15.75" outlineLevel="1" collapsed="1" x14ac:dyDescent="0.25">
      <c r="A424" s="1" t="s">
        <v>19</v>
      </c>
      <c r="C424" s="18" t="s">
        <v>96</v>
      </c>
      <c r="D424" s="18" t="s">
        <v>66</v>
      </c>
      <c r="E424" s="18" t="s">
        <v>218</v>
      </c>
      <c r="F424" s="18" t="s">
        <v>46</v>
      </c>
      <c r="G424" s="50" cm="1">
        <f t="array" ref="G424">IFERROR(
(IFERROR(INDEX(Calc_CPI_2[[CPI uplift factor]:[CPI uplift factor]],MATCH($C424,Calc_CPI_2[[Cost item]:[Cost item]],0),1),0)+
INDEX(Input_ForRateCalc[[F-CurrentVDO_InputDate]:[F-NextVDO_Input]],MATCH(Calc_OtherCosts_2[[#This Row],[Cost item]:[Cost item]],Input_ForRateCalc[[Cost item]:[Cost item]],0),MATCH($D$249,Inputs!$H$8:$Q$8,0)))/1000,"-")</f>
        <v>4.0002000000000001E-4</v>
      </c>
      <c r="H424" s="50" cm="1">
        <f t="array" ref="H424">IFERROR(
(IFERROR(INDEX(Calc_CPI_2[[CPI uplift factor]:[CPI uplift factor]],MATCH($C424,Calc_CPI_2[[Cost item]:[Cost item]],0),1),0)+
INDEX(Input_ForRateCalc[[F-CurrentVDO_InputDate]:[F-NextVDO_Input]],MATCH(Calc_OtherCosts_2[[#This Row],[Cost item]:[Cost item]],Input_ForRateCalc[[Cost item]:[Cost item]],0),MATCH($D$249,Inputs!$H$8:$Q$8,0)))/1000,"-")</f>
        <v>4.0002000000000001E-4</v>
      </c>
      <c r="I424" s="50" cm="1">
        <f t="array" ref="I424">IFERROR(
(IFERROR(INDEX(Calc_CPI_2[[CPI uplift factor]:[CPI uplift factor]],MATCH($C424,Calc_CPI_2[[Cost item]:[Cost item]],0),1),0)+
INDEX(Input_ForRateCalc[[F-CurrentVDO_InputDate]:[F-NextVDO_Input]],MATCH(Calc_OtherCosts_2[[#This Row],[Cost item]:[Cost item]],Input_ForRateCalc[[Cost item]:[Cost item]],0),MATCH($D$249,Inputs!$H$8:$Q$8,0)))/1000,"-")</f>
        <v>4.0002000000000001E-4</v>
      </c>
      <c r="J424" s="50" cm="1">
        <f t="array" ref="J424">IFERROR(
(IFERROR(INDEX(Calc_CPI_2[[CPI uplift factor]:[CPI uplift factor]],MATCH($C424,Calc_CPI_2[[Cost item]:[Cost item]],0),1),0)+
INDEX(Input_ForRateCalc[[F-CurrentVDO_InputDate]:[F-NextVDO_Input]],MATCH(Calc_OtherCosts_2[[#This Row],[Cost item]:[Cost item]],Input_ForRateCalc[[Cost item]:[Cost item]],0),MATCH($D$249,Inputs!$H$8:$Q$8,0)))/1000,"-")</f>
        <v>4.0002000000000001E-4</v>
      </c>
      <c r="K424" s="50" cm="1">
        <f t="array" ref="K424">IFERROR(
(IFERROR(INDEX(Calc_CPI_2[[CPI uplift factor]:[CPI uplift factor]],MATCH($C424,Calc_CPI_2[[Cost item]:[Cost item]],0),1),0)+
INDEX(Input_ForRateCalc[[F-CurrentVDO_InputDate]:[F-NextVDO_Input]],MATCH(Calc_OtherCosts_2[[#This Row],[Cost item]:[Cost item]],Input_ForRateCalc[[Cost item]:[Cost item]],0),MATCH($D$249,Inputs!$H$8:$Q$8,0)))/1000,"-")</f>
        <v>4.0002000000000001E-4</v>
      </c>
      <c r="N424" s="74"/>
      <c r="O424" s="74"/>
      <c r="P424" s="178"/>
    </row>
    <row r="425" spans="1:16" outlineLevel="1" x14ac:dyDescent="0.25">
      <c r="C425" s="18" t="s">
        <v>98</v>
      </c>
      <c r="D425" s="18" t="s">
        <v>66</v>
      </c>
      <c r="E425" s="18" t="s">
        <v>218</v>
      </c>
      <c r="F425" s="18" t="s">
        <v>46</v>
      </c>
      <c r="G425" s="50" cm="1">
        <f t="array" ref="G425">IFERROR(
(IFERROR(INDEX(Calc_CPI_2[[CPI uplift factor]:[CPI uplift factor]],MATCH($C425,Calc_CPI_2[[Cost item]:[Cost item]],0),1),0)+
INDEX(Input_ForRateCalc[[F-CurrentVDO_InputDate]:[F-NextVDO_Input]],MATCH(Calc_OtherCosts_2[[#This Row],[Cost item]:[Cost item]],Input_ForRateCalc[[Cost item]:[Cost item]],0),MATCH($D$249,Inputs!$H$8:$Q$8,0)))/1000,"-")</f>
        <v>0</v>
      </c>
      <c r="H425" s="50" cm="1">
        <f t="array" ref="H425">IFERROR(
(IFERROR(INDEX(Calc_CPI_2[[CPI uplift factor]:[CPI uplift factor]],MATCH($C425,Calc_CPI_2[[Cost item]:[Cost item]],0),1),0)+
INDEX(Input_ForRateCalc[[F-CurrentVDO_InputDate]:[F-NextVDO_Input]],MATCH(Calc_OtherCosts_2[[#This Row],[Cost item]:[Cost item]],Input_ForRateCalc[[Cost item]:[Cost item]],0),MATCH($D$249,Inputs!$H$8:$Q$8,0)))/1000,"-")</f>
        <v>0</v>
      </c>
      <c r="I425" s="50" cm="1">
        <f t="array" ref="I425">IFERROR(
(IFERROR(INDEX(Calc_CPI_2[[CPI uplift factor]:[CPI uplift factor]],MATCH($C425,Calc_CPI_2[[Cost item]:[Cost item]],0),1),0)+
INDEX(Input_ForRateCalc[[F-CurrentVDO_InputDate]:[F-NextVDO_Input]],MATCH(Calc_OtherCosts_2[[#This Row],[Cost item]:[Cost item]],Input_ForRateCalc[[Cost item]:[Cost item]],0),MATCH($D$249,Inputs!$H$8:$Q$8,0)))/1000,"-")</f>
        <v>0</v>
      </c>
      <c r="J425" s="50" cm="1">
        <f t="array" ref="J425">IFERROR(
(IFERROR(INDEX(Calc_CPI_2[[CPI uplift factor]:[CPI uplift factor]],MATCH($C425,Calc_CPI_2[[Cost item]:[Cost item]],0),1),0)+
INDEX(Input_ForRateCalc[[F-CurrentVDO_InputDate]:[F-NextVDO_Input]],MATCH(Calc_OtherCosts_2[[#This Row],[Cost item]:[Cost item]],Input_ForRateCalc[[Cost item]:[Cost item]],0),MATCH($D$249,Inputs!$H$8:$Q$8,0)))/1000,"-")</f>
        <v>0</v>
      </c>
      <c r="K425" s="50" cm="1">
        <f t="array" ref="K425">IFERROR(
(IFERROR(INDEX(Calc_CPI_2[[CPI uplift factor]:[CPI uplift factor]],MATCH($C425,Calc_CPI_2[[Cost item]:[Cost item]],0),1),0)+
INDEX(Input_ForRateCalc[[F-CurrentVDO_InputDate]:[F-NextVDO_Input]],MATCH(Calc_OtherCosts_2[[#This Row],[Cost item]:[Cost item]],Input_ForRateCalc[[Cost item]:[Cost item]],0),MATCH($D$249,Inputs!$H$8:$Q$8,0)))/1000,"-")</f>
        <v>0</v>
      </c>
      <c r="N425" s="74"/>
      <c r="O425" s="74"/>
      <c r="P425" s="178"/>
    </row>
    <row r="426" spans="1:16" outlineLevel="1" x14ac:dyDescent="0.25">
      <c r="C426" s="35" t="s">
        <v>99</v>
      </c>
      <c r="D426" s="35" t="s">
        <v>66</v>
      </c>
      <c r="E426" s="18" t="s">
        <v>218</v>
      </c>
      <c r="F426" s="18" t="s">
        <v>46</v>
      </c>
      <c r="G426" s="50" cm="1">
        <f t="array" ref="G426">IFERROR(
(IFERROR(INDEX(Calc_CPI_2[[CPI uplift factor]:[CPI uplift factor]],MATCH($C426,Calc_CPI_2[[Cost item]:[Cost item]],0),1),0)+
INDEX(Input_ForRateCalc[[F-CurrentVDO_InputDate]:[F-NextVDO_Input]],MATCH(Calc_OtherCosts_2[[#This Row],[Cost item]:[Cost item]],Input_ForRateCalc[[Cost item]:[Cost item]],0),MATCH($D$249,Inputs!$H$8:$Q$8,0)))/1000,"-")</f>
        <v>2.9909999999999995E-4</v>
      </c>
      <c r="H426" s="50" cm="1">
        <f t="array" ref="H426">IFERROR(
(IFERROR(INDEX(Calc_CPI_2[[CPI uplift factor]:[CPI uplift factor]],MATCH($C426,Calc_CPI_2[[Cost item]:[Cost item]],0),1),0)+
INDEX(Input_ForRateCalc[[F-CurrentVDO_InputDate]:[F-NextVDO_Input]],MATCH(Calc_OtherCosts_2[[#This Row],[Cost item]:[Cost item]],Input_ForRateCalc[[Cost item]:[Cost item]],0),MATCH($D$249,Inputs!$H$8:$Q$8,0)))/1000,"-")</f>
        <v>2.9909999999999995E-4</v>
      </c>
      <c r="I426" s="50" cm="1">
        <f t="array" ref="I426">IFERROR(
(IFERROR(INDEX(Calc_CPI_2[[CPI uplift factor]:[CPI uplift factor]],MATCH($C426,Calc_CPI_2[[Cost item]:[Cost item]],0),1),0)+
INDEX(Input_ForRateCalc[[F-CurrentVDO_InputDate]:[F-NextVDO_Input]],MATCH(Calc_OtherCosts_2[[#This Row],[Cost item]:[Cost item]],Input_ForRateCalc[[Cost item]:[Cost item]],0),MATCH($D$249,Inputs!$H$8:$Q$8,0)))/1000,"-")</f>
        <v>2.9909999999999995E-4</v>
      </c>
      <c r="J426" s="50" cm="1">
        <f t="array" ref="J426">IFERROR(
(IFERROR(INDEX(Calc_CPI_2[[CPI uplift factor]:[CPI uplift factor]],MATCH($C426,Calc_CPI_2[[Cost item]:[Cost item]],0),1),0)+
INDEX(Input_ForRateCalc[[F-CurrentVDO_InputDate]:[F-NextVDO_Input]],MATCH(Calc_OtherCosts_2[[#This Row],[Cost item]:[Cost item]],Input_ForRateCalc[[Cost item]:[Cost item]],0),MATCH($D$249,Inputs!$H$8:$Q$8,0)))/1000,"-")</f>
        <v>2.9909999999999995E-4</v>
      </c>
      <c r="K426" s="50" cm="1">
        <f t="array" ref="K426">IFERROR(
(IFERROR(INDEX(Calc_CPI_2[[CPI uplift factor]:[CPI uplift factor]],MATCH($C426,Calc_CPI_2[[Cost item]:[Cost item]],0),1),0)+
INDEX(Input_ForRateCalc[[F-CurrentVDO_InputDate]:[F-NextVDO_Input]],MATCH(Calc_OtherCosts_2[[#This Row],[Cost item]:[Cost item]],Input_ForRateCalc[[Cost item]:[Cost item]],0),MATCH($D$249,Inputs!$H$8:$Q$8,0)))/1000,"-")</f>
        <v>2.9909999999999995E-4</v>
      </c>
      <c r="N426" s="74"/>
      <c r="O426" s="74"/>
      <c r="P426" s="178"/>
    </row>
    <row r="428" spans="1:16" ht="16.5" thickBot="1" x14ac:dyDescent="0.3">
      <c r="B428" s="7">
        <f ca="1">MAX(B$3:B427)+0.1</f>
        <v>8.1999999999999957</v>
      </c>
      <c r="C428" s="22" t="s">
        <v>57</v>
      </c>
      <c r="D428" s="22"/>
      <c r="E428" s="22"/>
      <c r="F428" s="22"/>
      <c r="G428" s="22"/>
      <c r="H428" s="22"/>
      <c r="I428" s="22"/>
      <c r="J428" s="22"/>
      <c r="K428" s="22"/>
      <c r="N428" s="74"/>
    </row>
    <row r="429" spans="1:16" outlineLevel="1" x14ac:dyDescent="0.25"/>
    <row r="430" spans="1:16" ht="15.75" outlineLevel="1" x14ac:dyDescent="0.25">
      <c r="C430" s="23" t="s">
        <v>233</v>
      </c>
    </row>
    <row r="431" spans="1:16" ht="15.75" outlineLevel="1" x14ac:dyDescent="0.25">
      <c r="C431" s="34" t="s">
        <v>24</v>
      </c>
      <c r="D431" s="34" t="s">
        <v>37</v>
      </c>
      <c r="E431" s="34" t="s">
        <v>38</v>
      </c>
      <c r="F431" s="34" t="s">
        <v>30</v>
      </c>
      <c r="G431" s="49" t="s">
        <v>204</v>
      </c>
      <c r="H431" s="49" t="s">
        <v>205</v>
      </c>
      <c r="I431" s="49" t="s">
        <v>206</v>
      </c>
      <c r="J431" s="49" t="s">
        <v>207</v>
      </c>
      <c r="K431" s="49" t="s">
        <v>208</v>
      </c>
    </row>
    <row r="432" spans="1:16" outlineLevel="1" x14ac:dyDescent="0.25">
      <c r="C432" s="18" t="s">
        <v>339</v>
      </c>
      <c r="D432" s="18" t="s">
        <v>44</v>
      </c>
      <c r="E432" s="18" t="s">
        <v>59</v>
      </c>
      <c r="F432" s="18" t="s">
        <v>31</v>
      </c>
      <c r="G432" s="50" cm="1">
        <f t="array" ref="G432">IFERROR(
IFERROR(INDEX(Calc_CPI_2[[CPI uplift factor]:[CPI uplift factor]],MATCH($C432,Calc_CPI_2[[Cost item]:[Cost item]],0),1),0)+
INDEX(Input_ForRateCalc[[F-CurrentVDO_InputDate]:[F-NextVDO_Input]],MATCH(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item]],0),MATCH($D$249,Inputs!$H$8:$Q$8,0)),"-")</f>
        <v>111.11</v>
      </c>
      <c r="H432" s="50" cm="1">
        <f t="array" ref="H432">IFERROR(
IFERROR(INDEX(Calc_CPI_2[[CPI uplift factor]:[CPI uplift factor]],MATCH($C432,Calc_CPI_2[[Cost item]:[Cost item]],0),1),0)+
INDEX(Input_ForRateCalc[[F-CurrentVDO_InputDate]:[F-NextVDO_Input]],MATCH(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item]],0),MATCH($D$249,Inputs!$H$8:$Q$8,0)),"-")</f>
        <v>90.009</v>
      </c>
      <c r="I432" s="50" cm="1">
        <f t="array" ref="I432">IFERROR(
IFERROR(INDEX(Calc_CPI_2[[CPI uplift factor]:[CPI uplift factor]],MATCH($C432,Calc_CPI_2[[Cost item]:[Cost item]],0),1),0)+
INDEX(Input_ForRateCalc[[F-CurrentVDO_InputDate]:[F-NextVDO_Input]],MATCH(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item]],0),MATCH($D$249,Inputs!$H$8:$Q$8,0)),"-")</f>
        <v>82.195999999999998</v>
      </c>
      <c r="J432" s="50" cm="1">
        <f t="array" ref="J432">IFERROR(
IFERROR(INDEX(Calc_CPI_2[[CPI uplift factor]:[CPI uplift factor]],MATCH($C432,Calc_CPI_2[[Cost item]:[Cost item]],0),1),0)+
INDEX(Input_ForRateCalc[[F-CurrentVDO_InputDate]:[F-NextVDO_Input]],MATCH(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item]],0),MATCH($D$249,Inputs!$H$8:$Q$8,0)),"-")</f>
        <v>139.97749999999999</v>
      </c>
      <c r="K432" s="50" cm="1">
        <f t="array" ref="K432">IFERROR(
IFERROR(INDEX(Calc_CPI_2[[CPI uplift factor]:[CPI uplift factor]],MATCH($C432,Calc_CPI_2[[Cost item]:[Cost item]],0),1),0)+
INDEX(Input_ForRateCalc[[F-CurrentVDO_InputDate]:[F-NextVDO_Input]],MATCH(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item]],0),MATCH($D$249,Inputs!$H$8:$Q$8,0)),"-")</f>
        <v>80.007999999999996</v>
      </c>
    </row>
    <row r="433" spans="1:11" outlineLevel="1" x14ac:dyDescent="0.25">
      <c r="C433" s="18" t="s">
        <v>339</v>
      </c>
      <c r="D433" s="18" t="s">
        <v>44</v>
      </c>
      <c r="E433" s="18" t="s">
        <v>59</v>
      </c>
      <c r="F433" s="18" t="s">
        <v>32</v>
      </c>
      <c r="G433" s="50" cm="1">
        <f t="array" ref="G433">IFERROR(
IFERROR(INDEX(Calc_CPI_2[[CPI uplift factor]:[CPI uplift factor]],MATCH($C433,Calc_CPI_2[[Cost item]:[Cost item]],0),1),0)+
INDEX(Input_ForRateCalc[[F-CurrentVDO_InputDate]:[F-NextVDO_Input]],MATCH(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item]],0),MATCH($D$249,Inputs!$H$8:$Q$8,0)),"-")</f>
        <v>111.11</v>
      </c>
      <c r="H433" s="50" cm="1">
        <f t="array" ref="H433">IFERROR(
IFERROR(INDEX(Calc_CPI_2[[CPI uplift factor]:[CPI uplift factor]],MATCH($C433,Calc_CPI_2[[Cost item]:[Cost item]],0),1),0)+
INDEX(Input_ForRateCalc[[F-CurrentVDO_InputDate]:[F-NextVDO_Input]],MATCH(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item]],0),MATCH($D$249,Inputs!$H$8:$Q$8,0)),"-")</f>
        <v>160.01599999999999</v>
      </c>
      <c r="I433" s="50" cm="1">
        <f t="array" ref="I433">IFERROR(
IFERROR(INDEX(Calc_CPI_2[[CPI uplift factor]:[CPI uplift factor]],MATCH($C433,Calc_CPI_2[[Cost item]:[Cost item]],0),1),0)+
INDEX(Input_ForRateCalc[[F-CurrentVDO_InputDate]:[F-NextVDO_Input]],MATCH(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item]],0),MATCH($D$249,Inputs!$H$8:$Q$8,0)),"-")</f>
        <v>134.46600000000001</v>
      </c>
      <c r="J433" s="50" cm="1">
        <f t="array" ref="J433">IFERROR(
IFERROR(INDEX(Calc_CPI_2[[CPI uplift factor]:[CPI uplift factor]],MATCH($C433,Calc_CPI_2[[Cost item]:[Cost item]],0),1),0)+
INDEX(Input_ForRateCalc[[F-CurrentVDO_InputDate]:[F-NextVDO_Input]],MATCH(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item]],0),MATCH($D$249,Inputs!$H$8:$Q$8,0)),"-")</f>
        <v>179.98150000000001</v>
      </c>
      <c r="K433" s="50" cm="1">
        <f t="array" ref="K433">IFERROR(
IFERROR(INDEX(Calc_CPI_2[[CPI uplift factor]:[CPI uplift factor]],MATCH($C433,Calc_CPI_2[[Cost item]:[Cost item]],0),1),0)+
INDEX(Input_ForRateCalc[[F-CurrentVDO_InputDate]:[F-NextVDO_Input]],MATCH(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item]],0),MATCH($D$249,Inputs!$H$8:$Q$8,0)),"-")</f>
        <v>120.01199999999999</v>
      </c>
    </row>
    <row r="434" spans="1:11" outlineLevel="1" x14ac:dyDescent="0.25">
      <c r="C434" s="18" t="s">
        <v>340</v>
      </c>
      <c r="D434" s="18" t="s">
        <v>44</v>
      </c>
      <c r="E434" s="18" t="s">
        <v>59</v>
      </c>
      <c r="F434" s="18" t="s">
        <v>31</v>
      </c>
      <c r="G434" s="50" cm="1">
        <f t="array" ref="G434">IFERROR(
IFERROR(INDEX(Calc_CPI_2[[CPI uplift factor]:[CPI uplift factor]],MATCH($C434,Calc_CPI_2[[Cost item]:[Cost item]],0),1),0)+
INDEX(Input_ForRateCalc[[F-CurrentVDO_InputDate]:[F-NextVDO_Input]],MATCH(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item]],0),MATCH($D$249,Inputs!$H$8:$Q$8,0)),"-")</f>
        <v>111.11</v>
      </c>
      <c r="H434" s="50" cm="1">
        <f t="array" ref="H434">IFERROR(
IFERROR(INDEX(Calc_CPI_2[[CPI uplift factor]:[CPI uplift factor]],MATCH($C434,Calc_CPI_2[[Cost item]:[Cost item]],0),1),0)+
INDEX(Input_ForRateCalc[[F-CurrentVDO_InputDate]:[F-NextVDO_Input]],MATCH(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item]],0),MATCH($D$249,Inputs!$H$8:$Q$8,0)),"-")</f>
        <v>90.009</v>
      </c>
      <c r="I434" s="50" cm="1">
        <f t="array" ref="I434">IFERROR(
IFERROR(INDEX(Calc_CPI_2[[CPI uplift factor]:[CPI uplift factor]],MATCH($C434,Calc_CPI_2[[Cost item]:[Cost item]],0),1),0)+
INDEX(Input_ForRateCalc[[F-CurrentVDO_InputDate]:[F-NextVDO_Input]],MATCH(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item]],0),MATCH($D$249,Inputs!$H$8:$Q$8,0)),"-")</f>
        <v>82.195999999999998</v>
      </c>
      <c r="J434" s="50" cm="1">
        <f t="array" ref="J434">IFERROR(
IFERROR(INDEX(Calc_CPI_2[[CPI uplift factor]:[CPI uplift factor]],MATCH($C434,Calc_CPI_2[[Cost item]:[Cost item]],0),1),0)+
INDEX(Input_ForRateCalc[[F-CurrentVDO_InputDate]:[F-NextVDO_Input]],MATCH(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item]],0),MATCH($D$249,Inputs!$H$8:$Q$8,0)),"-")</f>
        <v>139.97749999999999</v>
      </c>
      <c r="K434" s="50" cm="1">
        <f t="array" ref="K434">IFERROR(
IFERROR(INDEX(Calc_CPI_2[[CPI uplift factor]:[CPI uplift factor]],MATCH($C434,Calc_CPI_2[[Cost item]:[Cost item]],0),1),0)+
INDEX(Input_ForRateCalc[[F-CurrentVDO_InputDate]:[F-NextVDO_Input]],MATCH(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item]],0),MATCH($D$249,Inputs!$H$8:$Q$8,0)),"-")</f>
        <v>80.007999999999996</v>
      </c>
    </row>
    <row r="435" spans="1:11" outlineLevel="1" x14ac:dyDescent="0.25">
      <c r="C435" s="18" t="s">
        <v>340</v>
      </c>
      <c r="D435" s="18" t="s">
        <v>44</v>
      </c>
      <c r="E435" s="18" t="s">
        <v>59</v>
      </c>
      <c r="F435" s="18" t="s">
        <v>32</v>
      </c>
      <c r="G435" s="50" cm="1">
        <f t="array" ref="G435">IFERROR(
IFERROR(INDEX(Calc_CPI_2[[CPI uplift factor]:[CPI uplift factor]],MATCH($C435,Calc_CPI_2[[Cost item]:[Cost item]],0),1),0)+
INDEX(Input_ForRateCalc[[F-CurrentVDO_InputDate]:[F-NextVDO_Input]],MATCH(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item]],0),MATCH($D$249,Inputs!$H$8:$Q$8,0)),"-")</f>
        <v>111.11</v>
      </c>
      <c r="H435" s="50" cm="1">
        <f t="array" ref="H435">IFERROR(
IFERROR(INDEX(Calc_CPI_2[[CPI uplift factor]:[CPI uplift factor]],MATCH($C435,Calc_CPI_2[[Cost item]:[Cost item]],0),1),0)+
INDEX(Input_ForRateCalc[[F-CurrentVDO_InputDate]:[F-NextVDO_Input]],MATCH(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item]],0),MATCH($D$249,Inputs!$H$8:$Q$8,0)),"-")</f>
        <v>160.01599999999999</v>
      </c>
      <c r="I435" s="50" cm="1">
        <f t="array" ref="I435">IFERROR(
IFERROR(INDEX(Calc_CPI_2[[CPI uplift factor]:[CPI uplift factor]],MATCH($C435,Calc_CPI_2[[Cost item]:[Cost item]],0),1),0)+
INDEX(Input_ForRateCalc[[F-CurrentVDO_InputDate]:[F-NextVDO_Input]],MATCH(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item]],0),MATCH($D$249,Inputs!$H$8:$Q$8,0)),"-")</f>
        <v>242.124</v>
      </c>
      <c r="J435" s="50" cm="1">
        <f t="array" ref="J435">IFERROR(
IFERROR(INDEX(Calc_CPI_2[[CPI uplift factor]:[CPI uplift factor]],MATCH($C435,Calc_CPI_2[[Cost item]:[Cost item]],0),1),0)+
INDEX(Input_ForRateCalc[[F-CurrentVDO_InputDate]:[F-NextVDO_Input]],MATCH(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item]],0),MATCH($D$249,Inputs!$H$8:$Q$8,0)),"-")</f>
        <v>179.98150000000001</v>
      </c>
      <c r="K435" s="50" cm="1">
        <f t="array" ref="K435">IFERROR(
IFERROR(INDEX(Calc_CPI_2[[CPI uplift factor]:[CPI uplift factor]],MATCH($C435,Calc_CPI_2[[Cost item]:[Cost item]],0),1),0)+
INDEX(Input_ForRateCalc[[F-CurrentVDO_InputDate]:[F-NextVDO_Input]],MATCH(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item]],0),MATCH($D$249,Inputs!$H$8:$Q$8,0)),"-")</f>
        <v>120.01199999999999</v>
      </c>
    </row>
    <row r="436" spans="1:11" outlineLevel="1" x14ac:dyDescent="0.25">
      <c r="C436" s="35" t="s">
        <v>211</v>
      </c>
      <c r="D436" s="35" t="s">
        <v>44</v>
      </c>
      <c r="E436" s="18" t="s">
        <v>59</v>
      </c>
      <c r="F436" s="18" t="s">
        <v>46</v>
      </c>
      <c r="G436" s="50" cm="1">
        <f t="array" ref="G436">IFERROR(
IFERROR(INDEX(Calc_CPI_2[[CPI uplift factor]:[CPI uplift factor]],MATCH($C436,Calc_CPI_2[[Cost item]:[Cost item]],0),1),0)+
INDEX(Input_ForRateCalc[[F-CurrentVDO_InputDate]:[F-NextVDO_Input]],MATCH(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item]],0),MATCH($D$249,Inputs!$H$8:$Q$8,0)),"-")</f>
        <v>63.7</v>
      </c>
      <c r="H436" s="50" cm="1">
        <f t="array" ref="H436">IFERROR(
IFERROR(INDEX(Calc_CPI_2[[CPI uplift factor]:[CPI uplift factor]],MATCH($C436,Calc_CPI_2[[Cost item]:[Cost item]],0),1),0)+
INDEX(Input_ForRateCalc[[F-CurrentVDO_InputDate]:[F-NextVDO_Input]],MATCH(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item]],0),MATCH($D$249,Inputs!$H$8:$Q$8,0)),"-")</f>
        <v>59.4</v>
      </c>
      <c r="I436" s="50" cm="1">
        <f t="array" ref="I436">IFERROR(
IFERROR(INDEX(Calc_CPI_2[[CPI uplift factor]:[CPI uplift factor]],MATCH($C436,Calc_CPI_2[[Cost item]:[Cost item]],0),1),0)+
INDEX(Input_ForRateCalc[[F-CurrentVDO_InputDate]:[F-NextVDO_Input]],MATCH(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item]],0),MATCH($D$249,Inputs!$H$8:$Q$8,0)),"-")</f>
        <v>54.19</v>
      </c>
      <c r="J436" s="50" cm="1">
        <f t="array" ref="J436">IFERROR(
IFERROR(INDEX(Calc_CPI_2[[CPI uplift factor]:[CPI uplift factor]],MATCH($C436,Calc_CPI_2[[Cost item]:[Cost item]],0),1),0)+
INDEX(Input_ForRateCalc[[F-CurrentVDO_InputDate]:[F-NextVDO_Input]],MATCH(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item]],0),MATCH($D$249,Inputs!$H$8:$Q$8,0)),"-")</f>
        <v>58</v>
      </c>
      <c r="K436" s="50" cm="1">
        <f t="array" ref="K436">IFERROR(
IFERROR(INDEX(Calc_CPI_2[[CPI uplift factor]:[CPI uplift factor]],MATCH($C436,Calc_CPI_2[[Cost item]:[Cost item]],0),1),0)+
INDEX(Input_ForRateCalc[[F-CurrentVDO_InputDate]:[F-NextVDO_Input]],MATCH(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item]],0),MATCH($D$249,Inputs!$H$8:$Q$8,0)),"-")</f>
        <v>42.92</v>
      </c>
    </row>
    <row r="437" spans="1:11" outlineLevel="1" x14ac:dyDescent="0.25"/>
    <row r="438" spans="1:11" ht="15.75" outlineLevel="1" x14ac:dyDescent="0.25">
      <c r="C438" s="23" t="s">
        <v>234</v>
      </c>
    </row>
    <row r="439" spans="1:11" ht="15.75" outlineLevel="1" x14ac:dyDescent="0.25">
      <c r="C439" s="34" t="s">
        <v>24</v>
      </c>
      <c r="D439" s="34" t="s">
        <v>37</v>
      </c>
      <c r="E439" s="34" t="s">
        <v>38</v>
      </c>
      <c r="F439" s="34" t="s">
        <v>30</v>
      </c>
      <c r="G439" s="49" t="s">
        <v>204</v>
      </c>
      <c r="H439" s="49" t="s">
        <v>205</v>
      </c>
      <c r="I439" s="49" t="s">
        <v>206</v>
      </c>
      <c r="J439" s="49" t="s">
        <v>207</v>
      </c>
      <c r="K439" s="49" t="s">
        <v>208</v>
      </c>
    </row>
    <row r="440" spans="1:11" outlineLevel="1" x14ac:dyDescent="0.25">
      <c r="C440" s="18" t="s">
        <v>157</v>
      </c>
      <c r="D440" s="18" t="s">
        <v>66</v>
      </c>
      <c r="E440" s="18" t="s">
        <v>218</v>
      </c>
      <c r="F440" s="18" t="s">
        <v>31</v>
      </c>
      <c r="G440" s="50" cm="1">
        <f t="array" ref="G440">IFERROR(
(IFERROR(INDEX(Calc_CPI_2[[CPI uplift factor]:[CPI uplift factor]],MATCH($C440,Calc_CPI_2[[Cost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MATCH($D$249,Inputs!$H$8:$Q$8,0)))/100,"-")</f>
        <v>0.11450300000000001</v>
      </c>
      <c r="H440" s="50" t="str" cm="1">
        <f t="array" ref="H440">IFERROR(
(IFERROR(INDEX(Calc_CPI_2[[CPI uplift factor]:[CPI uplift factor]],MATCH($C440,Calc_CPI_2[[Cost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MATCH($D$249,Inputs!$H$8:$Q$8,0)))/100,"-")</f>
        <v>-</v>
      </c>
      <c r="I440" s="50" t="str" cm="1">
        <f t="array" ref="I440">IFERROR(
(IFERROR(INDEX(Calc_CPI_2[[CPI uplift factor]:[CPI uplift factor]],MATCH($C440,Calc_CPI_2[[Cost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MATCH($D$249,Inputs!$H$8:$Q$8,0)))/100,"-")</f>
        <v>-</v>
      </c>
      <c r="J440" s="50" t="str" cm="1">
        <f t="array" ref="J440">IFERROR(
(IFERROR(INDEX(Calc_CPI_2[[CPI uplift factor]:[CPI uplift factor]],MATCH($C440,Calc_CPI_2[[Cost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MATCH($D$249,Inputs!$H$8:$Q$8,0)))/100,"-")</f>
        <v>-</v>
      </c>
      <c r="K440" s="50" t="str" cm="1">
        <f t="array" ref="K440">IFERROR(
(IFERROR(INDEX(Calc_CPI_2[[CPI uplift factor]:[CPI uplift factor]],MATCH($C440,Calc_CPI_2[[Cost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MATCH($D$249,Inputs!$H$8:$Q$8,0)))/100,"-")</f>
        <v>-</v>
      </c>
    </row>
    <row r="441" spans="1:11" outlineLevel="1" x14ac:dyDescent="0.25">
      <c r="C441" s="18" t="s">
        <v>164</v>
      </c>
      <c r="D441" s="18" t="s">
        <v>66</v>
      </c>
      <c r="E441" s="18" t="s">
        <v>218</v>
      </c>
      <c r="F441" s="18" t="s">
        <v>31</v>
      </c>
      <c r="G441" s="50" cm="1">
        <f t="array" ref="G441">IFERROR(
(IFERROR(INDEX(Calc_CPI_2[[CPI uplift factor]:[CPI uplift factor]],MATCH($C441,Calc_CPI_2[[Cost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MATCH($D$249,Inputs!$H$8:$Q$8,0)))/100,"-")</f>
        <v>0.128382</v>
      </c>
      <c r="H441" s="50" t="str" cm="1">
        <f t="array" ref="H441">IFERROR(
(IFERROR(INDEX(Calc_CPI_2[[CPI uplift factor]:[CPI uplift factor]],MATCH($C441,Calc_CPI_2[[Cost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MATCH($D$249,Inputs!$H$8:$Q$8,0)))/100,"-")</f>
        <v>-</v>
      </c>
      <c r="I441" s="50" t="str" cm="1">
        <f t="array" ref="I441">IFERROR(
(IFERROR(INDEX(Calc_CPI_2[[CPI uplift factor]:[CPI uplift factor]],MATCH($C441,Calc_CPI_2[[Cost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MATCH($D$249,Inputs!$H$8:$Q$8,0)))/100,"-")</f>
        <v>-</v>
      </c>
      <c r="J441" s="50" t="str" cm="1">
        <f t="array" ref="J441">IFERROR(
(IFERROR(INDEX(Calc_CPI_2[[CPI uplift factor]:[CPI uplift factor]],MATCH($C441,Calc_CPI_2[[Cost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MATCH($D$249,Inputs!$H$8:$Q$8,0)))/100,"-")</f>
        <v>-</v>
      </c>
      <c r="K441" s="50" t="str" cm="1">
        <f t="array" ref="K441">IFERROR(
(IFERROR(INDEX(Calc_CPI_2[[CPI uplift factor]:[CPI uplift factor]],MATCH($C441,Calc_CPI_2[[Cost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MATCH($D$249,Inputs!$H$8:$Q$8,0)))/100,"-")</f>
        <v>-</v>
      </c>
    </row>
    <row r="442" spans="1:11" outlineLevel="1" x14ac:dyDescent="0.25">
      <c r="C442" s="18" t="s">
        <v>338</v>
      </c>
      <c r="D442" s="18" t="s">
        <v>66</v>
      </c>
      <c r="E442" s="18" t="s">
        <v>218</v>
      </c>
      <c r="F442" s="18" t="s">
        <v>31</v>
      </c>
      <c r="G442" s="50" t="str" cm="1">
        <f t="array" ref="G442">IFERROR(
(IFERROR(INDEX(Calc_CPI_2[[CPI uplift factor]:[CPI uplift factor]],MATCH($C442,Calc_CPI_2[[Cost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MATCH($D$249,Inputs!$H$8:$Q$8,0)))/100,"-")</f>
        <v>-</v>
      </c>
      <c r="H442" s="50" cm="1">
        <f t="array" ref="H442">IFERROR(
(IFERROR(INDEX(Calc_CPI_2[[CPI uplift factor]:[CPI uplift factor]],MATCH($C442,Calc_CPI_2[[Cost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MATCH($D$249,Inputs!$H$8:$Q$8,0)))/100,"-")</f>
        <v>8.0500000000000002E-2</v>
      </c>
      <c r="I442" s="50" cm="1">
        <f t="array" ref="I442">IFERROR(
(IFERROR(INDEX(Calc_CPI_2[[CPI uplift factor]:[CPI uplift factor]],MATCH($C442,Calc_CPI_2[[Cost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MATCH($D$249,Inputs!$H$8:$Q$8,0)))/100,"-")</f>
        <v>8.6699999999999999E-2</v>
      </c>
      <c r="J442" s="50" cm="1">
        <f t="array" ref="J442">IFERROR(
(IFERROR(INDEX(Calc_CPI_2[[CPI uplift factor]:[CPI uplift factor]],MATCH($C442,Calc_CPI_2[[Cost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MATCH($D$249,Inputs!$H$8:$Q$8,0)))/100,"-")</f>
        <v>8.1500000000000003E-2</v>
      </c>
      <c r="K442" s="50" cm="1">
        <f t="array" ref="K442">IFERROR(
(IFERROR(INDEX(Calc_CPI_2[[CPI uplift factor]:[CPI uplift factor]],MATCH($C442,Calc_CPI_2[[Cost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MATCH($D$249,Inputs!$H$8:$Q$8,0)))/100,"-")</f>
        <v>7.9899999999999999E-2</v>
      </c>
    </row>
    <row r="443" spans="1:11" outlineLevel="1" x14ac:dyDescent="0.25">
      <c r="C443" s="18" t="s">
        <v>166</v>
      </c>
      <c r="D443" s="18" t="s">
        <v>66</v>
      </c>
      <c r="E443" s="18" t="s">
        <v>218</v>
      </c>
      <c r="F443" s="18" t="s">
        <v>31</v>
      </c>
      <c r="G443" s="50" cm="1">
        <f t="array" ref="G443">IFERROR(
(IFERROR(INDEX(Calc_CPI_2[[CPI uplift factor]:[CPI uplift factor]],MATCH($C443,Calc_CPI_2[[Cost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MATCH($D$249,Inputs!$H$8:$Q$8,0)))/100,"-")</f>
        <v>0.20853200000000002</v>
      </c>
      <c r="H443" s="50" cm="1">
        <f t="array" ref="H443">IFERROR(
(IFERROR(INDEX(Calc_CPI_2[[CPI uplift factor]:[CPI uplift factor]],MATCH($C443,Calc_CPI_2[[Cost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MATCH($D$249,Inputs!$H$8:$Q$8,0)))/100,"-")</f>
        <v>0.15939999999999999</v>
      </c>
      <c r="I443" s="50" cm="1">
        <f t="array" ref="I443">IFERROR(
(IFERROR(INDEX(Calc_CPI_2[[CPI uplift factor]:[CPI uplift factor]],MATCH($C443,Calc_CPI_2[[Cost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MATCH($D$249,Inputs!$H$8:$Q$8,0)))/100,"-")</f>
        <v>0.13492000000000001</v>
      </c>
      <c r="J443" s="50" cm="1">
        <f t="array" ref="J443">IFERROR(
(IFERROR(INDEX(Calc_CPI_2[[CPI uplift factor]:[CPI uplift factor]],MATCH($C443,Calc_CPI_2[[Cost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MATCH($D$249,Inputs!$H$8:$Q$8,0)))/100,"-")</f>
        <v>0.15869999999999998</v>
      </c>
      <c r="K443" s="50" cm="1">
        <f t="array" ref="K443">IFERROR(
(IFERROR(INDEX(Calc_CPI_2[[CPI uplift factor]:[CPI uplift factor]],MATCH($C443,Calc_CPI_2[[Cost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MATCH($D$249,Inputs!$H$8:$Q$8,0)))/100,"-")</f>
        <v>0.15789999999999998</v>
      </c>
    </row>
    <row r="444" spans="1:11" outlineLevel="1" x14ac:dyDescent="0.25">
      <c r="C444" s="18" t="s">
        <v>370</v>
      </c>
      <c r="D444" s="18" t="s">
        <v>66</v>
      </c>
      <c r="E444" s="18" t="s">
        <v>218</v>
      </c>
      <c r="F444" s="18" t="s">
        <v>31</v>
      </c>
      <c r="G444" s="50" cm="1">
        <f t="array" ref="G444">IFERROR(
(IFERROR(INDEX(Calc_CPI_2[[CPI uplift factor]:[CPI uplift factor]],MATCH($C444,Calc_CPI_2[[Cost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MATCH($D$249,Inputs!$H$8:$Q$8,0)))/100,"-")</f>
        <v>4.3418999999999999E-2</v>
      </c>
      <c r="H444" s="50" cm="1">
        <f t="array" ref="H444">IFERROR(
(IFERROR(INDEX(Calc_CPI_2[[CPI uplift factor]:[CPI uplift factor]],MATCH($C444,Calc_CPI_2[[Cost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MATCH($D$249,Inputs!$H$8:$Q$8,0)))/100,"-")</f>
        <v>3.9800000000000002E-2</v>
      </c>
      <c r="I444" s="50" cm="1">
        <f t="array" ref="I444">IFERROR(
(IFERROR(INDEX(Calc_CPI_2[[CPI uplift factor]:[CPI uplift factor]],MATCH($C444,Calc_CPI_2[[Cost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MATCH($D$249,Inputs!$H$8:$Q$8,0)))/100,"-")</f>
        <v>3.8900000000000004E-2</v>
      </c>
      <c r="J444" s="50" cm="1">
        <f t="array" ref="J444">IFERROR(
(IFERROR(INDEX(Calc_CPI_2[[CPI uplift factor]:[CPI uplift factor]],MATCH($C444,Calc_CPI_2[[Cost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MATCH($D$249,Inputs!$H$8:$Q$8,0)))/100,"-")</f>
        <v>3.9599999999999996E-2</v>
      </c>
      <c r="K444" s="50" cm="1">
        <f t="array" ref="K444">IFERROR(
(IFERROR(INDEX(Calc_CPI_2[[CPI uplift factor]:[CPI uplift factor]],MATCH($C444,Calc_CPI_2[[Cost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MATCH($D$249,Inputs!$H$8:$Q$8,0)))/100,"-")</f>
        <v>3.95E-2</v>
      </c>
    </row>
    <row r="445" spans="1:11" outlineLevel="1" x14ac:dyDescent="0.25">
      <c r="C445" s="18" t="s">
        <v>223</v>
      </c>
      <c r="D445" s="18" t="s">
        <v>66</v>
      </c>
      <c r="E445" s="18" t="s">
        <v>218</v>
      </c>
      <c r="F445" s="18" t="s">
        <v>31</v>
      </c>
      <c r="G445" s="50" cm="1">
        <f t="array" ref="G445">IFERROR(
(IFERROR(INDEX(Calc_CPI_2[[CPI uplift factor]:[CPI uplift factor]],MATCH($C445,Calc_CPI_2[[Cost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MATCH($D$249,Inputs!$H$8:$Q$8,0)))/100,"-")</f>
        <v>4.2622999999999994E-2</v>
      </c>
      <c r="H445" s="50" cm="1">
        <f t="array" ref="H445">IFERROR(
(IFERROR(INDEX(Calc_CPI_2[[CPI uplift factor]:[CPI uplift factor]],MATCH($C445,Calc_CPI_2[[Cost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MATCH($D$249,Inputs!$H$8:$Q$8,0)))/100,"-")</f>
        <v>2.4700000000000003E-2</v>
      </c>
      <c r="I445" s="50" cm="1">
        <f t="array" ref="I445">IFERROR(
(IFERROR(INDEX(Calc_CPI_2[[CPI uplift factor]:[CPI uplift factor]],MATCH($C445,Calc_CPI_2[[Cost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MATCH($D$249,Inputs!$H$8:$Q$8,0)))/100,"-")</f>
        <v>3.5990000000000001E-2</v>
      </c>
      <c r="J445" s="50" cm="1">
        <f t="array" ref="J445">IFERROR(
(IFERROR(INDEX(Calc_CPI_2[[CPI uplift factor]:[CPI uplift factor]],MATCH($C445,Calc_CPI_2[[Cost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MATCH($D$249,Inputs!$H$8:$Q$8,0)))/100,"-")</f>
        <v>2.3900000000000001E-2</v>
      </c>
      <c r="K445" s="50" cm="1">
        <f t="array" ref="K445">IFERROR(
(IFERROR(INDEX(Calc_CPI_2[[CPI uplift factor]:[CPI uplift factor]],MATCH($C445,Calc_CPI_2[[Cost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MATCH($D$249,Inputs!$H$8:$Q$8,0)))/100,"-")</f>
        <v>2.1700000000000001E-2</v>
      </c>
    </row>
    <row r="446" spans="1:11" outlineLevel="1" x14ac:dyDescent="0.25">
      <c r="C446" s="18" t="s">
        <v>157</v>
      </c>
      <c r="D446" s="18" t="s">
        <v>66</v>
      </c>
      <c r="E446" s="18" t="s">
        <v>218</v>
      </c>
      <c r="F446" s="18" t="s">
        <v>32</v>
      </c>
      <c r="G446" s="50" cm="1">
        <f t="array" ref="G446">IFERROR(
(IFERROR(INDEX(Calc_CPI_2[[CPI uplift factor]:[CPI uplift factor]],MATCH($C446,Calc_CPI_2[[Cost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MATCH($D$249,Inputs!$H$8:$Q$8,0)))/100,"-")</f>
        <v>0.155386</v>
      </c>
      <c r="H446" s="50" t="str" cm="1">
        <f t="array" ref="H446">IFERROR(
(IFERROR(INDEX(Calc_CPI_2[[CPI uplift factor]:[CPI uplift factor]],MATCH($C446,Calc_CPI_2[[Cost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MATCH($D$249,Inputs!$H$8:$Q$8,0)))/100,"-")</f>
        <v>-</v>
      </c>
      <c r="I446" s="50" t="str" cm="1">
        <f t="array" ref="I446">IFERROR(
(IFERROR(INDEX(Calc_CPI_2[[CPI uplift factor]:[CPI uplift factor]],MATCH($C446,Calc_CPI_2[[Cost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MATCH($D$249,Inputs!$H$8:$Q$8,0)))/100,"-")</f>
        <v>-</v>
      </c>
      <c r="J446" s="50" t="str" cm="1">
        <f t="array" ref="J446">IFERROR(
(IFERROR(INDEX(Calc_CPI_2[[CPI uplift factor]:[CPI uplift factor]],MATCH($C446,Calc_CPI_2[[Cost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MATCH($D$249,Inputs!$H$8:$Q$8,0)))/100,"-")</f>
        <v>-</v>
      </c>
      <c r="K446" s="50" t="str" cm="1">
        <f t="array" ref="K446">IFERROR(
(IFERROR(INDEX(Calc_CPI_2[[CPI uplift factor]:[CPI uplift factor]],MATCH($C446,Calc_CPI_2[[Cost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MATCH($D$249,Inputs!$H$8:$Q$8,0)))/100,"-")</f>
        <v>-</v>
      </c>
    </row>
    <row r="447" spans="1:11" outlineLevel="1" x14ac:dyDescent="0.25">
      <c r="C447" s="18" t="s">
        <v>164</v>
      </c>
      <c r="D447" s="18" t="s">
        <v>66</v>
      </c>
      <c r="E447" s="18" t="s">
        <v>218</v>
      </c>
      <c r="F447" s="18" t="s">
        <v>32</v>
      </c>
      <c r="G447" s="50" cm="1">
        <f t="array" ref="G447">IFERROR(
(IFERROR(INDEX(Calc_CPI_2[[CPI uplift factor]:[CPI uplift factor]],MATCH($C447,Calc_CPI_2[[Cost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MATCH($D$249,Inputs!$H$8:$Q$8,0)))/100,"-")</f>
        <v>0.182667</v>
      </c>
      <c r="H447" s="50" t="str" cm="1">
        <f t="array" ref="H447">IFERROR(
(IFERROR(INDEX(Calc_CPI_2[[CPI uplift factor]:[CPI uplift factor]],MATCH($C447,Calc_CPI_2[[Cost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MATCH($D$249,Inputs!$H$8:$Q$8,0)))/100,"-")</f>
        <v>-</v>
      </c>
      <c r="I447" s="50" t="str" cm="1">
        <f t="array" ref="I447">IFERROR(
(IFERROR(INDEX(Calc_CPI_2[[CPI uplift factor]:[CPI uplift factor]],MATCH($C447,Calc_CPI_2[[Cost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MATCH($D$249,Inputs!$H$8:$Q$8,0)))/100,"-")</f>
        <v>-</v>
      </c>
      <c r="J447" s="50" t="str" cm="1">
        <f t="array" ref="J447">IFERROR(
(IFERROR(INDEX(Calc_CPI_2[[CPI uplift factor]:[CPI uplift factor]],MATCH($C447,Calc_CPI_2[[Cost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MATCH($D$249,Inputs!$H$8:$Q$8,0)))/100,"-")</f>
        <v>-</v>
      </c>
      <c r="K447" s="50" t="str" cm="1">
        <f t="array" ref="K447">IFERROR(
(IFERROR(INDEX(Calc_CPI_2[[CPI uplift factor]:[CPI uplift factor]],MATCH($C447,Calc_CPI_2[[Cost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MATCH($D$249,Inputs!$H$8:$Q$8,0)))/100,"-")</f>
        <v>-</v>
      </c>
    </row>
    <row r="448" spans="1:11" ht="15.75" outlineLevel="1" collapsed="1" x14ac:dyDescent="0.25">
      <c r="A448" s="1" t="s">
        <v>19</v>
      </c>
      <c r="C448" s="18" t="s">
        <v>338</v>
      </c>
      <c r="D448" s="18" t="s">
        <v>66</v>
      </c>
      <c r="E448" s="18" t="s">
        <v>218</v>
      </c>
      <c r="F448" s="18" t="s">
        <v>32</v>
      </c>
      <c r="G448" s="50" t="str" cm="1">
        <f t="array" ref="G448">IFERROR(
(IFERROR(INDEX(Calc_CPI_2[[CPI uplift factor]:[CPI uplift factor]],MATCH($C448,Calc_CPI_2[[Cost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MATCH($D$249,Inputs!$H$8:$Q$8,0)))/100,"-")</f>
        <v>-</v>
      </c>
      <c r="H448" s="50" cm="1">
        <f t="array" ref="H448">IFERROR(
(IFERROR(INDEX(Calc_CPI_2[[CPI uplift factor]:[CPI uplift factor]],MATCH($C448,Calc_CPI_2[[Cost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MATCH($D$249,Inputs!$H$8:$Q$8,0)))/100,"-")</f>
        <v>8.2100000000000006E-2</v>
      </c>
      <c r="I448" s="50" cm="1">
        <f t="array" ref="I448">IFERROR(
(IFERROR(INDEX(Calc_CPI_2[[CPI uplift factor]:[CPI uplift factor]],MATCH($C448,Calc_CPI_2[[Cost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MATCH($D$249,Inputs!$H$8:$Q$8,0)))/100,"-")</f>
        <v>0.10973000000000001</v>
      </c>
      <c r="J448" s="50" cm="1">
        <f t="array" ref="J448">IFERROR(
(IFERROR(INDEX(Calc_CPI_2[[CPI uplift factor]:[CPI uplift factor]],MATCH($C448,Calc_CPI_2[[Cost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MATCH($D$249,Inputs!$H$8:$Q$8,0)))/100,"-")</f>
        <v>9.2899999999999996E-2</v>
      </c>
      <c r="K448" s="50" cm="1">
        <f t="array" ref="K448">IFERROR(
(IFERROR(INDEX(Calc_CPI_2[[CPI uplift factor]:[CPI uplift factor]],MATCH($C448,Calc_CPI_2[[Cost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MATCH($D$249,Inputs!$H$8:$Q$8,0)))/100,"-")</f>
        <v>8.7899999999999992E-2</v>
      </c>
    </row>
    <row r="449" spans="1:19" outlineLevel="1" x14ac:dyDescent="0.25">
      <c r="C449" s="18" t="s">
        <v>166</v>
      </c>
      <c r="D449" s="18" t="s">
        <v>66</v>
      </c>
      <c r="E449" s="18" t="s">
        <v>218</v>
      </c>
      <c r="F449" s="18" t="s">
        <v>32</v>
      </c>
      <c r="G449" s="50" cm="1">
        <f t="array" ref="G449">IFERROR(
(IFERROR(INDEX(Calc_CPI_2[[CPI uplift factor]:[CPI uplift factor]],MATCH($C449,Calc_CPI_2[[Cost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MATCH($D$249,Inputs!$H$8:$Q$8,0)))/100,"-")</f>
        <v>0.17508700000000002</v>
      </c>
      <c r="H449" s="50" cm="1">
        <f t="array" ref="H449">IFERROR(
(IFERROR(INDEX(Calc_CPI_2[[CPI uplift factor]:[CPI uplift factor]],MATCH($C449,Calc_CPI_2[[Cost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MATCH($D$249,Inputs!$H$8:$Q$8,0)))/100,"-")</f>
        <v>0.13019999999999998</v>
      </c>
      <c r="I449" s="50" cm="1">
        <f t="array" ref="I449">IFERROR(
(IFERROR(INDEX(Calc_CPI_2[[CPI uplift factor]:[CPI uplift factor]],MATCH($C449,Calc_CPI_2[[Cost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MATCH($D$249,Inputs!$H$8:$Q$8,0)))/100,"-")</f>
        <v>0.14330999999999999</v>
      </c>
      <c r="J449" s="50" cm="1">
        <f t="array" ref="J449">IFERROR(
(IFERROR(INDEX(Calc_CPI_2[[CPI uplift factor]:[CPI uplift factor]],MATCH($C449,Calc_CPI_2[[Cost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MATCH($D$249,Inputs!$H$8:$Q$8,0)))/100,"-")</f>
        <v>0.14749999999999999</v>
      </c>
      <c r="K449" s="50" cm="1">
        <f t="array" ref="K449">IFERROR(
(IFERROR(INDEX(Calc_CPI_2[[CPI uplift factor]:[CPI uplift factor]],MATCH($C449,Calc_CPI_2[[Cost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MATCH($D$249,Inputs!$H$8:$Q$8,0)))/100,"-")</f>
        <v>0.1399</v>
      </c>
    </row>
    <row r="450" spans="1:19" outlineLevel="1" x14ac:dyDescent="0.25">
      <c r="C450" s="18" t="s">
        <v>370</v>
      </c>
      <c r="D450" s="35" t="s">
        <v>66</v>
      </c>
      <c r="E450" s="18" t="s">
        <v>218</v>
      </c>
      <c r="F450" s="18" t="s">
        <v>32</v>
      </c>
      <c r="G450" s="50" cm="1">
        <f t="array" ref="G450">IFERROR(
(IFERROR(INDEX(Calc_CPI_2[[CPI uplift factor]:[CPI uplift factor]],MATCH($C450,Calc_CPI_2[[Cost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MATCH($D$249,Inputs!$H$8:$Q$8,0)))/100,"-")</f>
        <v>4.2655999999999999E-2</v>
      </c>
      <c r="H450" s="50" cm="1">
        <f t="array" ref="H450">IFERROR(
(IFERROR(INDEX(Calc_CPI_2[[CPI uplift factor]:[CPI uplift factor]],MATCH($C450,Calc_CPI_2[[Cost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MATCH($D$249,Inputs!$H$8:$Q$8,0)))/100,"-")</f>
        <v>2.8900000000000002E-2</v>
      </c>
      <c r="I450" s="50" cm="1">
        <f t="array" ref="I450">IFERROR(
(IFERROR(INDEX(Calc_CPI_2[[CPI uplift factor]:[CPI uplift factor]],MATCH($C450,Calc_CPI_2[[Cost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MATCH($D$249,Inputs!$H$8:$Q$8,0)))/100,"-")</f>
        <v>3.0520000000000002E-2</v>
      </c>
      <c r="J450" s="50" cm="1">
        <f t="array" ref="J450">IFERROR(
(IFERROR(INDEX(Calc_CPI_2[[CPI uplift factor]:[CPI uplift factor]],MATCH($C450,Calc_CPI_2[[Cost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MATCH($D$249,Inputs!$H$8:$Q$8,0)))/100,"-")</f>
        <v>3.2799999999999996E-2</v>
      </c>
      <c r="K450" s="50" cm="1">
        <f t="array" ref="K450">IFERROR(
(IFERROR(INDEX(Calc_CPI_2[[CPI uplift factor]:[CPI uplift factor]],MATCH($C450,Calc_CPI_2[[Cost item]:[Cost item]],0),1),0)+
INDEX(Input_ForRateCalc[[F-CurrentVDO_InputDate]:[F-NextVDO_Input]],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MATCH($D$249,Inputs!$H$8:$Q$8,0)))/100,"-")</f>
        <v>3.1099999999999999E-2</v>
      </c>
    </row>
    <row r="451" spans="1:19" x14ac:dyDescent="0.25">
      <c r="N451" s="74"/>
    </row>
    <row r="452" spans="1:19" ht="16.5" thickBot="1" x14ac:dyDescent="0.3">
      <c r="B452" s="7">
        <f ca="1">MAX(B$3:B451)+0.1</f>
        <v>8.2999999999999954</v>
      </c>
      <c r="C452" s="22" t="s">
        <v>64</v>
      </c>
      <c r="D452" s="22"/>
      <c r="E452" s="22"/>
      <c r="F452" s="22"/>
      <c r="G452" s="22"/>
      <c r="H452" s="22"/>
      <c r="I452" s="22"/>
      <c r="J452" s="22"/>
      <c r="K452" s="22"/>
    </row>
    <row r="453" spans="1:19" outlineLevel="1" x14ac:dyDescent="0.25"/>
    <row r="454" spans="1:19" ht="15.75" outlineLevel="1" x14ac:dyDescent="0.25">
      <c r="C454" s="23" t="s">
        <v>235</v>
      </c>
    </row>
    <row r="455" spans="1:19" ht="15.75" outlineLevel="1" x14ac:dyDescent="0.25">
      <c r="C455" s="34" t="s">
        <v>24</v>
      </c>
      <c r="D455" s="34" t="s">
        <v>37</v>
      </c>
      <c r="E455" s="34" t="s">
        <v>38</v>
      </c>
      <c r="F455" s="34" t="s">
        <v>30</v>
      </c>
      <c r="G455" s="49" t="s">
        <v>204</v>
      </c>
      <c r="H455" s="49" t="s">
        <v>205</v>
      </c>
      <c r="I455" s="49" t="s">
        <v>206</v>
      </c>
      <c r="J455" s="49" t="s">
        <v>207</v>
      </c>
      <c r="K455" s="49" t="s">
        <v>208</v>
      </c>
    </row>
    <row r="456" spans="1:19" outlineLevel="1" x14ac:dyDescent="0.25">
      <c r="C456" s="18" t="s">
        <v>236</v>
      </c>
      <c r="D456" s="18" t="s">
        <v>66</v>
      </c>
      <c r="E456" s="18" t="s">
        <v>218</v>
      </c>
      <c r="F456" s="18" t="s">
        <v>31</v>
      </c>
      <c r="G456" s="50" cm="1">
        <f t="array" ref="G456">IFERROR(
(IFERROR(INDEX(Calc_CPI_2[[CPI uplift factor]:[CPI uplift factor]],MATCH($C456,Calc_CPI_2[[Cost item]:[Cost item]],0),1),0)+
INDEX(Input_ForRateCalc[[F-CurrentVDO_InputDate]:[F-NextVDO_Input]],MATCH(Calc_WholesaleRES_2[[#This Row],[Cost item]:[Cost item]]&amp;" - "&amp;Calc_WholesaleRES_2[[#Headers],[Ausnet]],Input_ForRateCalc[[Cost item]:[Cost item]],0),MATCH($D$249,Inputs!$H$8:$Q$8,0)))/1000,"-")</f>
        <v>7.0940000000000003E-2</v>
      </c>
      <c r="H456" s="50" cm="1">
        <f t="array" ref="H456">IFERROR(
(IFERROR(INDEX(Calc_CPI_2[[CPI uplift factor]:[CPI uplift factor]],MATCH($C456,Calc_CPI_2[[Cost item]:[Cost item]],0),1),0)+
INDEX(Input_ForRateCalc[[F-CurrentVDO_InputDate]:[F-NextVDO_Input]],MATCH(Calc_WholesaleRES_2[[#This Row],[Cost item]:[Cost item]]&amp;" - "&amp;Calc_WholesaleRES_2[[#Headers],[Citipower]],Input_ForRateCalc[[Cost item]:[Cost item]],0),MATCH($D$249,Inputs!$H$8:$Q$8,0)))/1000,"-")</f>
        <v>6.7239999999999994E-2</v>
      </c>
      <c r="I456" s="50" cm="1">
        <f t="array" ref="I456">IFERROR(
(IFERROR(INDEX(Calc_CPI_2[[CPI uplift factor]:[CPI uplift factor]],MATCH($C456,Calc_CPI_2[[Cost item]:[Cost item]],0),1),0)+
INDEX(Input_ForRateCalc[[F-CurrentVDO_InputDate]:[F-NextVDO_Input]],MATCH(Calc_WholesaleRES_2[[#This Row],[Cost item]:[Cost item]]&amp;" - "&amp;Calc_WholesaleRES_2[[#Headers],[Jemena]],Input_ForRateCalc[[Cost item]:[Cost item]],0),MATCH($D$249,Inputs!$H$8:$Q$8,0)))/1000,"-")</f>
        <v>7.3249999999999996E-2</v>
      </c>
      <c r="J456" s="50" cm="1">
        <f t="array" ref="J456">IFERROR(
(IFERROR(INDEX(Calc_CPI_2[[CPI uplift factor]:[CPI uplift factor]],MATCH($C456,Calc_CPI_2[[Cost item]:[Cost item]],0),1),0)+
INDEX(Input_ForRateCalc[[F-CurrentVDO_InputDate]:[F-NextVDO_Input]],MATCH(Calc_WholesaleRES_2[[#This Row],[Cost item]:[Cost item]]&amp;" - "&amp;Calc_WholesaleRES_2[[#Headers],[Powercor]],Input_ForRateCalc[[Cost item]:[Cost item]],0),MATCH($D$249,Inputs!$H$8:$Q$8,0)))/1000,"-")</f>
        <v>6.923E-2</v>
      </c>
      <c r="K456" s="50" cm="1">
        <f t="array" ref="K456">IFERROR(
(IFERROR(INDEX(Calc_CPI_2[[CPI uplift factor]:[CPI uplift factor]],MATCH($C456,Calc_CPI_2[[Cost item]:[Cost item]],0),1),0)+
INDEX(Input_ForRateCalc[[F-CurrentVDO_InputDate]:[F-NextVDO_Input]],MATCH(Calc_WholesaleRES_2[[#This Row],[Cost item]:[Cost item]]&amp;" - "&amp;Calc_WholesaleRES_2[[#Headers],[United Energy]],Input_ForRateCalc[[Cost item]:[Cost item]],0),MATCH($D$249,Inputs!$H$8:$Q$8,0)))/1000,"-")</f>
        <v>7.3749999999999996E-2</v>
      </c>
      <c r="N456" s="67"/>
      <c r="O456" s="67"/>
      <c r="P456" s="67"/>
      <c r="Q456" s="67"/>
      <c r="R456" s="67"/>
      <c r="S456" s="67"/>
    </row>
    <row r="457" spans="1:19" outlineLevel="1" x14ac:dyDescent="0.25">
      <c r="C457" s="18" t="s">
        <v>237</v>
      </c>
      <c r="D457" s="18" t="s">
        <v>66</v>
      </c>
      <c r="E457" s="18" t="s">
        <v>218</v>
      </c>
      <c r="F457" s="18" t="s">
        <v>31</v>
      </c>
      <c r="G457" s="50" cm="1">
        <f t="array" ref="G457">IFERROR(
(IFERROR(INDEX(Calc_CPI_2[[CPI uplift factor]:[CPI uplift factor]],MATCH($C457,Calc_CPI_2[[Cost item]:[Cost item]],0),1),0)+
INDEX(Input_ForRateCalc[[F-CurrentVDO_InputDate]:[F-NextVDO_Input]],MATCH(Calc_WholesaleRES_2[[#This Row],[Cost item]:[Cost item]]&amp;" - "&amp;Calc_WholesaleRES_2[[#Headers],[Ausnet]],Input_ForRateCalc[[Cost item]:[Cost item]],0),MATCH($D$249,Inputs!$H$8:$Q$8,0)))/1000,"-")</f>
        <v>2.9999999999999997E-4</v>
      </c>
      <c r="H457" s="50" cm="1">
        <f t="array" ref="H457">IFERROR(
(IFERROR(INDEX(Calc_CPI_2[[CPI uplift factor]:[CPI uplift factor]],MATCH($C457,Calc_CPI_2[[Cost item]:[Cost item]],0),1),0)+
INDEX(Input_ForRateCalc[[F-CurrentVDO_InputDate]:[F-NextVDO_Input]],MATCH(Calc_WholesaleRES_2[[#This Row],[Cost item]:[Cost item]]&amp;" - "&amp;Calc_WholesaleRES_2[[#Headers],[Citipower]],Input_ForRateCalc[[Cost item]:[Cost item]],0),MATCH($D$249,Inputs!$H$8:$Q$8,0)))/1000,"-")</f>
        <v>2.9999999999999997E-4</v>
      </c>
      <c r="I457" s="50" cm="1">
        <f t="array" ref="I457">IFERROR(
(IFERROR(INDEX(Calc_CPI_2[[CPI uplift factor]:[CPI uplift factor]],MATCH($C457,Calc_CPI_2[[Cost item]:[Cost item]],0),1),0)+
INDEX(Input_ForRateCalc[[F-CurrentVDO_InputDate]:[F-NextVDO_Input]],MATCH(Calc_WholesaleRES_2[[#This Row],[Cost item]:[Cost item]]&amp;" - "&amp;Calc_WholesaleRES_2[[#Headers],[Jemena]],Input_ForRateCalc[[Cost item]:[Cost item]],0),MATCH($D$249,Inputs!$H$8:$Q$8,0)))/1000,"-")</f>
        <v>2.9999999999999997E-4</v>
      </c>
      <c r="J457" s="50" cm="1">
        <f t="array" ref="J457">IFERROR(
(IFERROR(INDEX(Calc_CPI_2[[CPI uplift factor]:[CPI uplift factor]],MATCH($C457,Calc_CPI_2[[Cost item]:[Cost item]],0),1),0)+
INDEX(Input_ForRateCalc[[F-CurrentVDO_InputDate]:[F-NextVDO_Input]],MATCH(Calc_WholesaleRES_2[[#This Row],[Cost item]:[Cost item]]&amp;" - "&amp;Calc_WholesaleRES_2[[#Headers],[Powercor]],Input_ForRateCalc[[Cost item]:[Cost item]],0),MATCH($D$249,Inputs!$H$8:$Q$8,0)))/1000,"-")</f>
        <v>2.9999999999999997E-4</v>
      </c>
      <c r="K457" s="50" cm="1">
        <f t="array" ref="K457">IFERROR(
(IFERROR(INDEX(Calc_CPI_2[[CPI uplift factor]:[CPI uplift factor]],MATCH($C457,Calc_CPI_2[[Cost item]:[Cost item]],0),1),0)+
INDEX(Input_ForRateCalc[[F-CurrentVDO_InputDate]:[F-NextVDO_Input]],MATCH(Calc_WholesaleRES_2[[#This Row],[Cost item]:[Cost item]]&amp;" - "&amp;Calc_WholesaleRES_2[[#Headers],[United Energy]],Input_ForRateCalc[[Cost item]:[Cost item]],0),MATCH($D$249,Inputs!$H$8:$Q$8,0)))/1000,"-")</f>
        <v>3.3E-4</v>
      </c>
    </row>
    <row r="458" spans="1:19" outlineLevel="1" x14ac:dyDescent="0.25">
      <c r="C458" s="35" t="s">
        <v>219</v>
      </c>
      <c r="D458" s="35" t="s">
        <v>66</v>
      </c>
      <c r="E458" s="35" t="s">
        <v>218</v>
      </c>
      <c r="F458" s="18" t="s">
        <v>31</v>
      </c>
      <c r="G458" s="61">
        <f>IFERROR(G456+G457,"-")</f>
        <v>7.1239999999999998E-2</v>
      </c>
      <c r="H458" s="61">
        <f t="shared" ref="H458:K458" si="104">IFERROR(H456+H457,"-")</f>
        <v>6.7539999999999989E-2</v>
      </c>
      <c r="I458" s="61">
        <f t="shared" si="104"/>
        <v>7.354999999999999E-2</v>
      </c>
      <c r="J458" s="61">
        <f t="shared" si="104"/>
        <v>6.9529999999999995E-2</v>
      </c>
      <c r="K458" s="61">
        <f t="shared" si="104"/>
        <v>7.4079999999999993E-2</v>
      </c>
    </row>
    <row r="459" spans="1:19" outlineLevel="1" x14ac:dyDescent="0.25"/>
    <row r="460" spans="1:19" ht="15.75" outlineLevel="1" x14ac:dyDescent="0.25">
      <c r="C460" s="23" t="s">
        <v>238</v>
      </c>
    </row>
    <row r="461" spans="1:19" ht="15.75" outlineLevel="1" x14ac:dyDescent="0.25">
      <c r="C461" s="34" t="s">
        <v>24</v>
      </c>
      <c r="D461" s="34" t="s">
        <v>37</v>
      </c>
      <c r="E461" s="34" t="s">
        <v>38</v>
      </c>
      <c r="F461" s="34" t="s">
        <v>30</v>
      </c>
      <c r="G461" s="49" t="s">
        <v>204</v>
      </c>
      <c r="H461" s="49" t="s">
        <v>205</v>
      </c>
      <c r="I461" s="49" t="s">
        <v>206</v>
      </c>
      <c r="J461" s="49" t="s">
        <v>207</v>
      </c>
      <c r="K461" s="49" t="s">
        <v>208</v>
      </c>
    </row>
    <row r="462" spans="1:19" ht="15.75" outlineLevel="1" collapsed="1" x14ac:dyDescent="0.25">
      <c r="A462" s="1" t="s">
        <v>19</v>
      </c>
      <c r="C462" s="18" t="s">
        <v>239</v>
      </c>
      <c r="D462" s="18" t="s">
        <v>66</v>
      </c>
      <c r="E462" s="18" t="s">
        <v>218</v>
      </c>
      <c r="F462" s="18" t="s">
        <v>32</v>
      </c>
      <c r="G462" s="50" cm="1">
        <f t="array" ref="G462">IFERROR(
(IFERROR(INDEX(Calc_CPI_2[[CPI uplift factor]:[CPI uplift factor]],MATCH($C462,Calc_CPI_2[[Cost item]:[Cost item]],0),1),0)+
INDEX(Input_ForRateCalc[[F-CurrentVDO_InputDate]:[F-NextVDO_Input]],MATCH(Calc_WholesaleSME_2[[#This Row],[Cost item]:[Cost item]]&amp;" - "&amp;Calc_WholesaleSME_2[[#Headers],[Ausnet]],Input_ForRateCalc[[Cost item]:[Cost item]],0),MATCH($D$249,Inputs!$H$8:$Q$8,0)))/1000,"-")</f>
        <v>6.2640000000000001E-2</v>
      </c>
      <c r="H462" s="50" cm="1">
        <f t="array" ref="H462">IFERROR(
(IFERROR(INDEX(Calc_CPI_2[[CPI uplift factor]:[CPI uplift factor]],MATCH($C462,Calc_CPI_2[[Cost item]:[Cost item]],0),1),0)+
INDEX(Input_ForRateCalc[[F-CurrentVDO_InputDate]:[F-NextVDO_Input]],MATCH(Calc_WholesaleSME_2[[#This Row],[Cost item]:[Cost item]]&amp;" - "&amp;Calc_WholesaleSME_2[[#Headers],[Citipower]],Input_ForRateCalc[[Cost item]:[Cost item]],0),MATCH($D$249,Inputs!$H$8:$Q$8,0)))/1000,"-")</f>
        <v>6.3899999999999998E-2</v>
      </c>
      <c r="I462" s="50" cm="1">
        <f t="array" ref="I462">IFERROR(
(IFERROR(INDEX(Calc_CPI_2[[CPI uplift factor]:[CPI uplift factor]],MATCH($C462,Calc_CPI_2[[Cost item]:[Cost item]],0),1),0)+
INDEX(Input_ForRateCalc[[F-CurrentVDO_InputDate]:[F-NextVDO_Input]],MATCH(Calc_WholesaleSME_2[[#This Row],[Cost item]:[Cost item]]&amp;" - "&amp;Calc_WholesaleSME_2[[#Headers],[Jemena]],Input_ForRateCalc[[Cost item]:[Cost item]],0),MATCH($D$249,Inputs!$H$8:$Q$8,0)))/1000,"-")</f>
        <v>6.3960000000000003E-2</v>
      </c>
      <c r="J462" s="50" cm="1">
        <f t="array" ref="J462">IFERROR(
(IFERROR(INDEX(Calc_CPI_2[[CPI uplift factor]:[CPI uplift factor]],MATCH($C462,Calc_CPI_2[[Cost item]:[Cost item]],0),1),0)+
INDEX(Input_ForRateCalc[[F-CurrentVDO_InputDate]:[F-NextVDO_Input]],MATCH(Calc_WholesaleSME_2[[#This Row],[Cost item]:[Cost item]]&amp;" - "&amp;Calc_WholesaleSME_2[[#Headers],[Powercor]],Input_ForRateCalc[[Cost item]:[Cost item]],0),MATCH($D$249,Inputs!$H$8:$Q$8,0)))/1000,"-")</f>
        <v>6.0920000000000002E-2</v>
      </c>
      <c r="K462" s="50" cm="1">
        <f t="array" ref="K462">IFERROR(
(IFERROR(INDEX(Calc_CPI_2[[CPI uplift factor]:[CPI uplift factor]],MATCH($C462,Calc_CPI_2[[Cost item]:[Cost item]],0),1),0)+
INDEX(Input_ForRateCalc[[F-CurrentVDO_InputDate]:[F-NextVDO_Input]],MATCH(Calc_WholesaleSME_2[[#This Row],[Cost item]:[Cost item]]&amp;" - "&amp;Calc_WholesaleSME_2[[#Headers],[United Energy]],Input_ForRateCalc[[Cost item]:[Cost item]],0),MATCH($D$249,Inputs!$H$8:$Q$8,0)))/1000,"-")</f>
        <v>6.5259999999999999E-2</v>
      </c>
      <c r="N462" s="67"/>
      <c r="O462" s="67"/>
      <c r="P462" s="67"/>
      <c r="Q462" s="67"/>
      <c r="R462" s="67"/>
    </row>
    <row r="463" spans="1:19" outlineLevel="1" x14ac:dyDescent="0.25">
      <c r="C463" s="18" t="s">
        <v>240</v>
      </c>
      <c r="D463" s="18" t="s">
        <v>66</v>
      </c>
      <c r="E463" s="18" t="s">
        <v>218</v>
      </c>
      <c r="F463" s="18" t="s">
        <v>32</v>
      </c>
      <c r="G463" s="50" cm="1">
        <f t="array" ref="G463">IFERROR(
(IFERROR(INDEX(Calc_CPI_2[[CPI uplift factor]:[CPI uplift factor]],MATCH($C463,Calc_CPI_2[[Cost item]:[Cost item]],0),1),0)+
INDEX(Input_ForRateCalc[[F-CurrentVDO_InputDate]:[F-NextVDO_Input]],MATCH(Calc_WholesaleSME_2[[#This Row],[Cost item]:[Cost item]]&amp;" - "&amp;Calc_WholesaleSME_2[[#Headers],[Ausnet]],Input_ForRateCalc[[Cost item]:[Cost item]],0),MATCH($D$249,Inputs!$H$8:$Q$8,0)))/1000,"-")</f>
        <v>2.3999999999999998E-4</v>
      </c>
      <c r="H463" s="50" cm="1">
        <f t="array" ref="H463">IFERROR(
(IFERROR(INDEX(Calc_CPI_2[[CPI uplift factor]:[CPI uplift factor]],MATCH($C463,Calc_CPI_2[[Cost item]:[Cost item]],0),1),0)+
INDEX(Input_ForRateCalc[[F-CurrentVDO_InputDate]:[F-NextVDO_Input]],MATCH(Calc_WholesaleSME_2[[#This Row],[Cost item]:[Cost item]]&amp;" - "&amp;Calc_WholesaleSME_2[[#Headers],[Citipower]],Input_ForRateCalc[[Cost item]:[Cost item]],0),MATCH($D$249,Inputs!$H$8:$Q$8,0)))/1000,"-")</f>
        <v>2.3000000000000001E-4</v>
      </c>
      <c r="I463" s="50" cm="1">
        <f t="array" ref="I463">IFERROR(
(IFERROR(INDEX(Calc_CPI_2[[CPI uplift factor]:[CPI uplift factor]],MATCH($C463,Calc_CPI_2[[Cost item]:[Cost item]],0),1),0)+
INDEX(Input_ForRateCalc[[F-CurrentVDO_InputDate]:[F-NextVDO_Input]],MATCH(Calc_WholesaleSME_2[[#This Row],[Cost item]:[Cost item]]&amp;" - "&amp;Calc_WholesaleSME_2[[#Headers],[Jemena]],Input_ForRateCalc[[Cost item]:[Cost item]],0),MATCH($D$249,Inputs!$H$8:$Q$8,0)))/1000,"-")</f>
        <v>2.3000000000000001E-4</v>
      </c>
      <c r="J463" s="50" cm="1">
        <f t="array" ref="J463">IFERROR(
(IFERROR(INDEX(Calc_CPI_2[[CPI uplift factor]:[CPI uplift factor]],MATCH($C463,Calc_CPI_2[[Cost item]:[Cost item]],0),1),0)+
INDEX(Input_ForRateCalc[[F-CurrentVDO_InputDate]:[F-NextVDO_Input]],MATCH(Calc_WholesaleSME_2[[#This Row],[Cost item]:[Cost item]]&amp;" - "&amp;Calc_WholesaleSME_2[[#Headers],[Powercor]],Input_ForRateCalc[[Cost item]:[Cost item]],0),MATCH($D$249,Inputs!$H$8:$Q$8,0)))/1000,"-")</f>
        <v>1.9000000000000001E-4</v>
      </c>
      <c r="K463" s="50" cm="1">
        <f t="array" ref="K463">IFERROR(
(IFERROR(INDEX(Calc_CPI_2[[CPI uplift factor]:[CPI uplift factor]],MATCH($C463,Calc_CPI_2[[Cost item]:[Cost item]],0),1),0)+
INDEX(Input_ForRateCalc[[F-CurrentVDO_InputDate]:[F-NextVDO_Input]],MATCH(Calc_WholesaleSME_2[[#This Row],[Cost item]:[Cost item]]&amp;" - "&amp;Calc_WholesaleSME_2[[#Headers],[United Energy]],Input_ForRateCalc[[Cost item]:[Cost item]],0),MATCH($D$249,Inputs!$H$8:$Q$8,0)))/1000,"-")</f>
        <v>2.3999999999999998E-4</v>
      </c>
    </row>
    <row r="464" spans="1:19" outlineLevel="1" x14ac:dyDescent="0.25">
      <c r="C464" s="35" t="s">
        <v>219</v>
      </c>
      <c r="D464" s="35" t="s">
        <v>66</v>
      </c>
      <c r="E464" s="35" t="s">
        <v>218</v>
      </c>
      <c r="F464" s="18" t="s">
        <v>32</v>
      </c>
      <c r="G464" s="61">
        <f>IFERROR(G462+G463,"-")</f>
        <v>6.2880000000000005E-2</v>
      </c>
      <c r="H464" s="61">
        <f t="shared" ref="H464:K464" si="105">IFERROR(H462+H463,"-")</f>
        <v>6.4129999999999993E-2</v>
      </c>
      <c r="I464" s="61">
        <f t="shared" si="105"/>
        <v>6.4189999999999997E-2</v>
      </c>
      <c r="J464" s="61">
        <f t="shared" si="105"/>
        <v>6.1110000000000005E-2</v>
      </c>
      <c r="K464" s="61">
        <f t="shared" si="105"/>
        <v>6.5500000000000003E-2</v>
      </c>
    </row>
    <row r="466" spans="2:14" ht="16.5" thickBot="1" x14ac:dyDescent="0.3">
      <c r="B466" s="7">
        <f ca="1">MAX(B$3:B465)+0.1</f>
        <v>8.399999999999995</v>
      </c>
      <c r="C466" s="22" t="s">
        <v>241</v>
      </c>
      <c r="D466" s="22"/>
      <c r="E466" s="22"/>
      <c r="F466" s="22"/>
      <c r="G466" s="22"/>
      <c r="H466" s="22"/>
      <c r="I466" s="22"/>
      <c r="J466" s="22"/>
      <c r="K466" s="22"/>
    </row>
    <row r="467" spans="2:14" outlineLevel="1" x14ac:dyDescent="0.25"/>
    <row r="468" spans="2:14" ht="15.75" outlineLevel="1" x14ac:dyDescent="0.25">
      <c r="C468" s="23" t="s">
        <v>242</v>
      </c>
    </row>
    <row r="469" spans="2:14" ht="15.75" outlineLevel="1" x14ac:dyDescent="0.25">
      <c r="C469" s="34" t="s">
        <v>24</v>
      </c>
      <c r="D469" s="34" t="s">
        <v>37</v>
      </c>
      <c r="E469" s="34" t="s">
        <v>38</v>
      </c>
      <c r="F469" s="34" t="s">
        <v>30</v>
      </c>
      <c r="G469" s="49" t="s">
        <v>204</v>
      </c>
      <c r="H469" s="49" t="s">
        <v>205</v>
      </c>
      <c r="I469" s="49" t="s">
        <v>206</v>
      </c>
      <c r="J469" s="49" t="s">
        <v>207</v>
      </c>
      <c r="K469" s="49" t="s">
        <v>208</v>
      </c>
    </row>
    <row r="470" spans="2:14" outlineLevel="1" x14ac:dyDescent="0.25">
      <c r="C470" s="18" t="s">
        <v>88</v>
      </c>
      <c r="D470" s="18" t="s">
        <v>66</v>
      </c>
      <c r="E470" s="18" t="s">
        <v>89</v>
      </c>
      <c r="F470" s="18" t="s">
        <v>46</v>
      </c>
      <c r="G470" s="50" cm="1">
        <f t="array" ref="G470">IFERROR(
(IFERROR(INDEX(Calc_CPI_2[[CPI uplift factor]:[CPI uplift factor]],MATCH($C470,Calc_CPI_2[[Cost item]:[Cost item]],0),1),0)+
INDEX(Input_ForRateCalc[[F-CurrentVDO_InputDate]:[F-NextVDO_Input]],MATCH(Calc_EnviroVEU_2[[#This Row],[Cost item]:[Cost item]],Input_ForRateCalc[[Cost item]:[Cost item]],0),MATCH($D$249,Inputs!$H$8:$Q$8,0))),"-")</f>
        <v>49.642986107494764</v>
      </c>
      <c r="H470" s="50" cm="1">
        <f t="array" ref="H470">IFERROR(
(IFERROR(INDEX(Calc_CPI_2[[CPI uplift factor]:[CPI uplift factor]],MATCH($C470,Calc_CPI_2[[Cost item]:[Cost item]],0),1),0)+
INDEX(Input_ForRateCalc[[F-CurrentVDO_InputDate]:[F-NextVDO_Input]],MATCH(Calc_EnviroVEU_2[[#This Row],[Cost item]:[Cost item]],Input_ForRateCalc[[Cost item]:[Cost item]],0),MATCH($D$249,Inputs!$H$8:$Q$8,0))),"-")</f>
        <v>49.642986107494764</v>
      </c>
      <c r="I470" s="50" cm="1">
        <f t="array" ref="I470">IFERROR(
(IFERROR(INDEX(Calc_CPI_2[[CPI uplift factor]:[CPI uplift factor]],MATCH($C470,Calc_CPI_2[[Cost item]:[Cost item]],0),1),0)+
INDEX(Input_ForRateCalc[[F-CurrentVDO_InputDate]:[F-NextVDO_Input]],MATCH(Calc_EnviroVEU_2[[#This Row],[Cost item]:[Cost item]],Input_ForRateCalc[[Cost item]:[Cost item]],0),MATCH($D$249,Inputs!$H$8:$Q$8,0))),"-")</f>
        <v>49.642986107494764</v>
      </c>
      <c r="J470" s="50" cm="1">
        <f t="array" ref="J470">IFERROR(
(IFERROR(INDEX(Calc_CPI_2[[CPI uplift factor]:[CPI uplift factor]],MATCH($C470,Calc_CPI_2[[Cost item]:[Cost item]],0),1),0)+
INDEX(Input_ForRateCalc[[F-CurrentVDO_InputDate]:[F-NextVDO_Input]],MATCH(Calc_EnviroVEU_2[[#This Row],[Cost item]:[Cost item]],Input_ForRateCalc[[Cost item]:[Cost item]],0),MATCH($D$249,Inputs!$H$8:$Q$8,0))),"-")</f>
        <v>49.642986107494764</v>
      </c>
      <c r="K470" s="50" cm="1">
        <f t="array" ref="K470">IFERROR(
(IFERROR(INDEX(Calc_CPI_2[[CPI uplift factor]:[CPI uplift factor]],MATCH($C470,Calc_CPI_2[[Cost item]:[Cost item]],0),1),0)+
INDEX(Input_ForRateCalc[[F-CurrentVDO_InputDate]:[F-NextVDO_Input]],MATCH(Calc_EnviroVEU_2[[#This Row],[Cost item]:[Cost item]],Input_ForRateCalc[[Cost item]:[Cost item]],0),MATCH($D$249,Inputs!$H$8:$Q$8,0))),"-")</f>
        <v>49.642986107494764</v>
      </c>
    </row>
    <row r="471" spans="2:14" outlineLevel="1" x14ac:dyDescent="0.25">
      <c r="C471" s="18" t="s">
        <v>92</v>
      </c>
      <c r="D471" s="18" t="s">
        <v>66</v>
      </c>
      <c r="E471" s="18" t="s">
        <v>93</v>
      </c>
      <c r="F471" s="18" t="s">
        <v>46</v>
      </c>
      <c r="G471" s="45" cm="1">
        <f t="array" ref="G471">IFERROR(
(IFERROR(INDEX(Calc_CPI_2[[CPI uplift factor]:[CPI uplift factor]],MATCH($C471,Calc_CPI_2[[Cost item]:[Cost item]],0),1),0)+
INDEX(Input_ForRateCalc[[F-CurrentVDO_InputDate]:[F-NextVDO_Input]],MATCH(Calc_EnviroVEU_2[[#This Row],[Cost item]:[Cost item]],Input_ForRateCalc[[Cost item]:[Cost item]],0),MATCH($D$249,Inputs!$H$8:$Q$8,0))),"-")</f>
        <v>0.17255000000000001</v>
      </c>
      <c r="H471" s="45" cm="1">
        <f t="array" ref="H471">IFERROR(
(IFERROR(INDEX(Calc_CPI_2[[CPI uplift factor]:[CPI uplift factor]],MATCH($C471,Calc_CPI_2[[Cost item]:[Cost item]],0),1),0)+
INDEX(Input_ForRateCalc[[F-CurrentVDO_InputDate]:[F-NextVDO_Input]],MATCH(Calc_EnviroVEU_2[[#This Row],[Cost item]:[Cost item]],Input_ForRateCalc[[Cost item]:[Cost item]],0),MATCH($D$249,Inputs!$H$8:$Q$8,0))),"-")</f>
        <v>0.17255000000000001</v>
      </c>
      <c r="I471" s="45" cm="1">
        <f t="array" ref="I471">IFERROR(
(IFERROR(INDEX(Calc_CPI_2[[CPI uplift factor]:[CPI uplift factor]],MATCH($C471,Calc_CPI_2[[Cost item]:[Cost item]],0),1),0)+
INDEX(Input_ForRateCalc[[F-CurrentVDO_InputDate]:[F-NextVDO_Input]],MATCH(Calc_EnviroVEU_2[[#This Row],[Cost item]:[Cost item]],Input_ForRateCalc[[Cost item]:[Cost item]],0),MATCH($D$249,Inputs!$H$8:$Q$8,0))),"-")</f>
        <v>0.17255000000000001</v>
      </c>
      <c r="J471" s="45" cm="1">
        <f t="array" ref="J471">IFERROR(
(IFERROR(INDEX(Calc_CPI_2[[CPI uplift factor]:[CPI uplift factor]],MATCH($C471,Calc_CPI_2[[Cost item]:[Cost item]],0),1),0)+
INDEX(Input_ForRateCalc[[F-CurrentVDO_InputDate]:[F-NextVDO_Input]],MATCH(Calc_EnviroVEU_2[[#This Row],[Cost item]:[Cost item]],Input_ForRateCalc[[Cost item]:[Cost item]],0),MATCH($D$249,Inputs!$H$8:$Q$8,0))),"-")</f>
        <v>0.17255000000000001</v>
      </c>
      <c r="K471" s="45" cm="1">
        <f t="array" ref="K471">IFERROR(
(IFERROR(INDEX(Calc_CPI_2[[CPI uplift factor]:[CPI uplift factor]],MATCH($C471,Calc_CPI_2[[Cost item]:[Cost item]],0),1),0)+
INDEX(Input_ForRateCalc[[F-CurrentVDO_InputDate]:[F-NextVDO_Input]],MATCH(Calc_EnviroVEU_2[[#This Row],[Cost item]:[Cost item]],Input_ForRateCalc[[Cost item]:[Cost item]],0),MATCH($D$249,Inputs!$H$8:$Q$8,0))),"-")</f>
        <v>0.17255000000000001</v>
      </c>
    </row>
    <row r="472" spans="2:14" outlineLevel="1" x14ac:dyDescent="0.25">
      <c r="C472" s="35" t="s">
        <v>243</v>
      </c>
      <c r="D472" s="35" t="s">
        <v>66</v>
      </c>
      <c r="E472" s="35" t="s">
        <v>218</v>
      </c>
      <c r="F472" s="18" t="s">
        <v>46</v>
      </c>
      <c r="G472" s="61">
        <f>IFERROR(
IFERROR(INDEX(Calc_CPI_2[[CPI uplift factor]:[CPI uplift factor]],MATCH($C472,Calc_CPI_2[[Cost item]:[Cost item]],0),1),0)+(G470*G471)/1000,"-")</f>
        <v>8.5658972528482227E-3</v>
      </c>
      <c r="H472" s="61">
        <f>IFERROR(
IFERROR(INDEX(Calc_CPI_2[[CPI uplift factor]:[CPI uplift factor]],MATCH($C472,Calc_CPI_2[[Cost item]:[Cost item]],0),1),0)+(H470*H471)/1000,"-")</f>
        <v>8.5658972528482227E-3</v>
      </c>
      <c r="I472" s="61">
        <f>IFERROR(
IFERROR(INDEX(Calc_CPI_2[[CPI uplift factor]:[CPI uplift factor]],MATCH($C472,Calc_CPI_2[[Cost item]:[Cost item]],0),1),0)+(I470*I471)/1000,"-")</f>
        <v>8.5658972528482227E-3</v>
      </c>
      <c r="J472" s="61">
        <f>IFERROR(
IFERROR(INDEX(Calc_CPI_2[[CPI uplift factor]:[CPI uplift factor]],MATCH($C472,Calc_CPI_2[[Cost item]:[Cost item]],0),1),0)+(J470*J471)/1000,"-")</f>
        <v>8.5658972528482227E-3</v>
      </c>
      <c r="K472" s="61">
        <f>IFERROR(
IFERROR(INDEX(Calc_CPI_2[[CPI uplift factor]:[CPI uplift factor]],MATCH($C472,Calc_CPI_2[[Cost item]:[Cost item]],0),1),0)+(K470*K471)/1000,"-")</f>
        <v>8.5658972528482227E-3</v>
      </c>
      <c r="M472" s="67"/>
    </row>
    <row r="473" spans="2:14" outlineLevel="1" x14ac:dyDescent="0.25"/>
    <row r="474" spans="2:14" ht="15.75" outlineLevel="1" x14ac:dyDescent="0.25">
      <c r="C474" s="23" t="s">
        <v>244</v>
      </c>
      <c r="N474" s="67"/>
    </row>
    <row r="475" spans="2:14" ht="15.75" outlineLevel="1" x14ac:dyDescent="0.25">
      <c r="C475" s="34" t="s">
        <v>24</v>
      </c>
      <c r="D475" s="34" t="s">
        <v>37</v>
      </c>
      <c r="E475" s="34" t="s">
        <v>38</v>
      </c>
      <c r="F475" s="34" t="s">
        <v>30</v>
      </c>
      <c r="G475" s="49" t="s">
        <v>204</v>
      </c>
      <c r="H475" s="49" t="s">
        <v>205</v>
      </c>
      <c r="I475" s="49" t="s">
        <v>206</v>
      </c>
      <c r="J475" s="49" t="s">
        <v>207</v>
      </c>
      <c r="K475" s="49" t="s">
        <v>208</v>
      </c>
    </row>
    <row r="476" spans="2:14" outlineLevel="1" x14ac:dyDescent="0.25">
      <c r="C476" s="18" t="s">
        <v>90</v>
      </c>
      <c r="D476" s="18" t="s">
        <v>66</v>
      </c>
      <c r="E476" s="18" t="s">
        <v>89</v>
      </c>
      <c r="F476" s="18" t="s">
        <v>46</v>
      </c>
      <c r="G476" s="50" cm="1">
        <f t="array" ref="G476">IFERROR(
(IFERROR(INDEX(Calc_CPI_2[[CPI uplift factor]:[CPI uplift factor]],MATCH($C476,Calc_CPI_2[[Cost item]:[Cost item]],0),1),0)+
INDEX(Input_ForRateCalc[[F-CurrentVDO_InputDate]:[F-NextVDO_Input]],MATCH(Calc_EnviroLRET_2[[#This Row],[Cost item]:[Cost item]],Input_ForRateCalc[[Cost item]:[Cost item]],0),MATCH($D$249,Inputs!$H$8:$Q$8,0))),"-")</f>
        <v>34.01</v>
      </c>
      <c r="H476" s="50" cm="1">
        <f t="array" ref="H476">IFERROR(
(IFERROR(INDEX(Calc_CPI_2[[CPI uplift factor]:[CPI uplift factor]],MATCH($C476,Calc_CPI_2[[Cost item]:[Cost item]],0),1),0)+
INDEX(Input_ForRateCalc[[F-CurrentVDO_InputDate]:[F-NextVDO_Input]],MATCH(Calc_EnviroLRET_2[[#This Row],[Cost item]:[Cost item]],Input_ForRateCalc[[Cost item]:[Cost item]],0),MATCH($D$249,Inputs!$H$8:$Q$8,0))),"-")</f>
        <v>34.01</v>
      </c>
      <c r="I476" s="50" cm="1">
        <f t="array" ref="I476">IFERROR(
(IFERROR(INDEX(Calc_CPI_2[[CPI uplift factor]:[CPI uplift factor]],MATCH($C476,Calc_CPI_2[[Cost item]:[Cost item]],0),1),0)+
INDEX(Input_ForRateCalc[[F-CurrentVDO_InputDate]:[F-NextVDO_Input]],MATCH(Calc_EnviroLRET_2[[#This Row],[Cost item]:[Cost item]],Input_ForRateCalc[[Cost item]:[Cost item]],0),MATCH($D$249,Inputs!$H$8:$Q$8,0))),"-")</f>
        <v>34.01</v>
      </c>
      <c r="J476" s="50" cm="1">
        <f t="array" ref="J476">IFERROR(
(IFERROR(INDEX(Calc_CPI_2[[CPI uplift factor]:[CPI uplift factor]],MATCH($C476,Calc_CPI_2[[Cost item]:[Cost item]],0),1),0)+
INDEX(Input_ForRateCalc[[F-CurrentVDO_InputDate]:[F-NextVDO_Input]],MATCH(Calc_EnviroLRET_2[[#This Row],[Cost item]:[Cost item]],Input_ForRateCalc[[Cost item]:[Cost item]],0),MATCH($D$249,Inputs!$H$8:$Q$8,0))),"-")</f>
        <v>34.01</v>
      </c>
      <c r="K476" s="50" cm="1">
        <f t="array" ref="K476">IFERROR(
(IFERROR(INDEX(Calc_CPI_2[[CPI uplift factor]:[CPI uplift factor]],MATCH($C476,Calc_CPI_2[[Cost item]:[Cost item]],0),1),0)+
INDEX(Input_ForRateCalc[[F-CurrentVDO_InputDate]:[F-NextVDO_Input]],MATCH(Calc_EnviroLRET_2[[#This Row],[Cost item]:[Cost item]],Input_ForRateCalc[[Cost item]:[Cost item]],0),MATCH($D$249,Inputs!$H$8:$Q$8,0))),"-")</f>
        <v>34.01</v>
      </c>
    </row>
    <row r="477" spans="2:14" outlineLevel="1" x14ac:dyDescent="0.25">
      <c r="C477" s="18" t="s">
        <v>94</v>
      </c>
      <c r="D477" s="18" t="s">
        <v>66</v>
      </c>
      <c r="E477" s="18" t="s">
        <v>93</v>
      </c>
      <c r="F477" s="18" t="s">
        <v>46</v>
      </c>
      <c r="G477" s="45" cm="1">
        <f t="array" ref="G477">IFERROR(
(IFERROR(INDEX(Calc_CPI_2[[CPI uplift factor]:[CPI uplift factor]],MATCH($C477,Calc_CPI_2[[Cost item]:[Cost item]],0),1),0)+
IF(OR($D$249="VDO 2021 - Final",$D$249="VDO 2021 - Variation draft",$D$249="VDO 2021 - Variation final"),
INDEX(Input_ForRateCalc[[F-CurrentVDO_InputDate]:[F-NextVDO_Input]],MATCH(Calc_EnviroLRET_2[[#This Row],[Cost item]:[Cost item]]&amp;" true up (2021 only)",Input_ForRateCalc[[Cost item]:[Cost item]],0),MATCH($D$249,Inputs!$H$8:$Q$8,0))+
INDEX(Input_ForRateCalc[[F-CurrentVDO_InputDate]:[F-NextVDO_Input]],MATCH(Calc_EnviroLRET_2[[#This Row],[Cost item]:[Cost item]],Input_ForRateCalc[[Cost item]:[Cost item]],0),MATCH($D$249,Inputs!$H$8:$Q$8,0)),
INDEX(Input_ForRateCalc[[F-CurrentVDO_InputDate]:[F-NextVDO_Input]],MATCH(Calc_EnviroLRET_2[[#This Row],[Cost item]:[Cost item]],Input_ForRateCalc[[Cost item]:[Cost item]],0),MATCH($D$249,Inputs!$H$8:$Q$8,0)))),"-")</f>
        <v>0.18540000000000001</v>
      </c>
      <c r="H477" s="45" cm="1">
        <f t="array" ref="H477">IFERROR(
(IFERROR(INDEX(Calc_CPI_2[[CPI uplift factor]:[CPI uplift factor]],MATCH($C477,Calc_CPI_2[[Cost item]:[Cost item]],0),1),0)+
IF(OR($D$249="VDO 2021 - Final",$D$249="VDO 2021 - Variation draft",$D$249="VDO 2021 - Variation final"),
INDEX(Input_ForRateCalc[[F-CurrentVDO_InputDate]:[F-NextVDO_Input]],MATCH(Calc_EnviroLRET_2[[#This Row],[Cost item]:[Cost item]]&amp;" true up (2021 only)",Input_ForRateCalc[[Cost item]:[Cost item]],0),MATCH($D$249,Inputs!$H$8:$Q$8,0))+
INDEX(Input_ForRateCalc[[F-CurrentVDO_InputDate]:[F-NextVDO_Input]],MATCH(Calc_EnviroLRET_2[[#This Row],[Cost item]:[Cost item]],Input_ForRateCalc[[Cost item]:[Cost item]],0),MATCH($D$249,Inputs!$H$8:$Q$8,0)),
INDEX(Input_ForRateCalc[[F-CurrentVDO_InputDate]:[F-NextVDO_Input]],MATCH(Calc_EnviroLRET_2[[#This Row],[Cost item]:[Cost item]],Input_ForRateCalc[[Cost item]:[Cost item]],0),MATCH($D$249,Inputs!$H$8:$Q$8,0)))),"-")</f>
        <v>0.18540000000000001</v>
      </c>
      <c r="I477" s="45" cm="1">
        <f t="array" ref="I477">IFERROR(
(IFERROR(INDEX(Calc_CPI_2[[CPI uplift factor]:[CPI uplift factor]],MATCH($C477,Calc_CPI_2[[Cost item]:[Cost item]],0),1),0)+
IF(OR($D$249="VDO 2021 - Final",$D$249="VDO 2021 - Variation draft",$D$249="VDO 2021 - Variation final"),
INDEX(Input_ForRateCalc[[F-CurrentVDO_InputDate]:[F-NextVDO_Input]],MATCH(Calc_EnviroLRET_2[[#This Row],[Cost item]:[Cost item]]&amp;" true up (2021 only)",Input_ForRateCalc[[Cost item]:[Cost item]],0),MATCH($D$249,Inputs!$H$8:$Q$8,0))+
INDEX(Input_ForRateCalc[[F-CurrentVDO_InputDate]:[F-NextVDO_Input]],MATCH(Calc_EnviroLRET_2[[#This Row],[Cost item]:[Cost item]],Input_ForRateCalc[[Cost item]:[Cost item]],0),MATCH($D$249,Inputs!$H$8:$Q$8,0)),
INDEX(Input_ForRateCalc[[F-CurrentVDO_InputDate]:[F-NextVDO_Input]],MATCH(Calc_EnviroLRET_2[[#This Row],[Cost item]:[Cost item]],Input_ForRateCalc[[Cost item]:[Cost item]],0),MATCH($D$249,Inputs!$H$8:$Q$8,0)))),"-")</f>
        <v>0.18540000000000001</v>
      </c>
      <c r="J477" s="45" cm="1">
        <f t="array" ref="J477">IFERROR(
(IFERROR(INDEX(Calc_CPI_2[[CPI uplift factor]:[CPI uplift factor]],MATCH($C477,Calc_CPI_2[[Cost item]:[Cost item]],0),1),0)+
IF(OR($D$249="VDO 2021 - Final",$D$249="VDO 2021 - Variation draft",$D$249="VDO 2021 - Variation final"),
INDEX(Input_ForRateCalc[[F-CurrentVDO_InputDate]:[F-NextVDO_Input]],MATCH(Calc_EnviroLRET_2[[#This Row],[Cost item]:[Cost item]]&amp;" true up (2021 only)",Input_ForRateCalc[[Cost item]:[Cost item]],0),MATCH($D$249,Inputs!$H$8:$Q$8,0))+
INDEX(Input_ForRateCalc[[F-CurrentVDO_InputDate]:[F-NextVDO_Input]],MATCH(Calc_EnviroLRET_2[[#This Row],[Cost item]:[Cost item]],Input_ForRateCalc[[Cost item]:[Cost item]],0),MATCH($D$249,Inputs!$H$8:$Q$8,0)),
INDEX(Input_ForRateCalc[[F-CurrentVDO_InputDate]:[F-NextVDO_Input]],MATCH(Calc_EnviroLRET_2[[#This Row],[Cost item]:[Cost item]],Input_ForRateCalc[[Cost item]:[Cost item]],0),MATCH($D$249,Inputs!$H$8:$Q$8,0)))),"-")</f>
        <v>0.18540000000000001</v>
      </c>
      <c r="K477" s="45" cm="1">
        <f t="array" ref="K477">IFERROR(
(IFERROR(INDEX(Calc_CPI_2[[CPI uplift factor]:[CPI uplift factor]],MATCH($C477,Calc_CPI_2[[Cost item]:[Cost item]],0),1),0)+
IF(OR($D$249="VDO 2021 - Final",$D$249="VDO 2021 - Variation draft",$D$249="VDO 2021 - Variation final"),
INDEX(Input_ForRateCalc[[F-CurrentVDO_InputDate]:[F-NextVDO_Input]],MATCH(Calc_EnviroLRET_2[[#This Row],[Cost item]:[Cost item]]&amp;" true up (2021 only)",Input_ForRateCalc[[Cost item]:[Cost item]],0),MATCH($D$249,Inputs!$H$8:$Q$8,0))+
INDEX(Input_ForRateCalc[[F-CurrentVDO_InputDate]:[F-NextVDO_Input]],MATCH(Calc_EnviroLRET_2[[#This Row],[Cost item]:[Cost item]],Input_ForRateCalc[[Cost item]:[Cost item]],0),MATCH($D$249,Inputs!$H$8:$Q$8,0)),
INDEX(Input_ForRateCalc[[F-CurrentVDO_InputDate]:[F-NextVDO_Input]],MATCH(Calc_EnviroLRET_2[[#This Row],[Cost item]:[Cost item]],Input_ForRateCalc[[Cost item]:[Cost item]],0),MATCH($D$249,Inputs!$H$8:$Q$8,0)))),"-")</f>
        <v>0.18540000000000001</v>
      </c>
    </row>
    <row r="478" spans="2:14" outlineLevel="1" x14ac:dyDescent="0.25">
      <c r="C478" s="35" t="s">
        <v>245</v>
      </c>
      <c r="D478" s="35" t="s">
        <v>66</v>
      </c>
      <c r="E478" s="35" t="s">
        <v>218</v>
      </c>
      <c r="F478" s="18" t="s">
        <v>46</v>
      </c>
      <c r="G478" s="61">
        <f>IFERROR(
IFERROR(INDEX(Calc_CPI_2[[CPI uplift factor]:[CPI uplift factor]],MATCH($C478,Calc_CPI_2[[Cost item]:[Cost item]],0),1),0)+(G476*G477)/1000,"-")</f>
        <v>6.3054540000000003E-3</v>
      </c>
      <c r="H478" s="61">
        <f>IFERROR(
IFERROR(INDEX(Calc_CPI_2[[CPI uplift factor]:[CPI uplift factor]],MATCH($C478,Calc_CPI_2[[Cost item]:[Cost item]],0),1),0)+(H476*H477)/1000,"-")</f>
        <v>6.3054540000000003E-3</v>
      </c>
      <c r="I478" s="61">
        <f>IFERROR(
IFERROR(INDEX(Calc_CPI_2[[CPI uplift factor]:[CPI uplift factor]],MATCH($C478,Calc_CPI_2[[Cost item]:[Cost item]],0),1),0)+(I476*I477)/1000,"-")</f>
        <v>6.3054540000000003E-3</v>
      </c>
      <c r="J478" s="61">
        <f>IFERROR(
IFERROR(INDEX(Calc_CPI_2[[CPI uplift factor]:[CPI uplift factor]],MATCH($C478,Calc_CPI_2[[Cost item]:[Cost item]],0),1),0)+(J476*J477)/1000,"-")</f>
        <v>6.3054540000000003E-3</v>
      </c>
      <c r="K478" s="61">
        <f>IFERROR(
IFERROR(INDEX(Calc_CPI_2[[CPI uplift factor]:[CPI uplift factor]],MATCH($C478,Calc_CPI_2[[Cost item]:[Cost item]],0),1),0)+(K476*K477)/1000,"-")</f>
        <v>6.3054540000000003E-3</v>
      </c>
      <c r="M478" s="67"/>
    </row>
    <row r="479" spans="2:14" outlineLevel="1" x14ac:dyDescent="0.25"/>
    <row r="480" spans="2:14" ht="15.75" outlineLevel="1" x14ac:dyDescent="0.25">
      <c r="C480" s="23" t="s">
        <v>246</v>
      </c>
    </row>
    <row r="481" spans="3:13" ht="15.75" outlineLevel="1" x14ac:dyDescent="0.25">
      <c r="C481" s="34" t="s">
        <v>24</v>
      </c>
      <c r="D481" s="34" t="s">
        <v>37</v>
      </c>
      <c r="E481" s="34" t="s">
        <v>38</v>
      </c>
      <c r="F481" s="34" t="s">
        <v>30</v>
      </c>
      <c r="G481" s="49" t="s">
        <v>204</v>
      </c>
      <c r="H481" s="49" t="s">
        <v>205</v>
      </c>
      <c r="I481" s="49" t="s">
        <v>206</v>
      </c>
      <c r="J481" s="49" t="s">
        <v>207</v>
      </c>
      <c r="K481" s="49" t="s">
        <v>208</v>
      </c>
    </row>
    <row r="482" spans="3:13" outlineLevel="1" x14ac:dyDescent="0.25">
      <c r="C482" s="18" t="s">
        <v>91</v>
      </c>
      <c r="D482" s="18" t="s">
        <v>66</v>
      </c>
      <c r="E482" s="18" t="s">
        <v>89</v>
      </c>
      <c r="F482" s="18" t="s">
        <v>46</v>
      </c>
      <c r="G482" s="50" cm="1">
        <f t="array" ref="G482">IFERROR(
(IFERROR(INDEX(Calc_CPI_2[[CPI uplift factor]:[CPI uplift factor]],MATCH($C482,Calc_CPI_2[[Cost item]:[Cost item]],0),1),0)+
INDEX(Input_ForRateCalc[[F-CurrentVDO_InputDate]:[F-NextVDO_Input]],MATCH(Calc_EnviroSRES_2[[#This Row],[Cost item]:[Cost item]],Input_ForRateCalc[[Cost item]:[Cost item]],0),MATCH($D$249,Inputs!$H$8:$Q$8,0))),"-")</f>
        <v>40</v>
      </c>
      <c r="H482" s="50" cm="1">
        <f t="array" ref="H482">IFERROR(
(IFERROR(INDEX(Calc_CPI_2[[CPI uplift factor]:[CPI uplift factor]],MATCH($C482,Calc_CPI_2[[Cost item]:[Cost item]],0),1),0)+
INDEX(Input_ForRateCalc[[F-CurrentVDO_InputDate]:[F-NextVDO_Input]],MATCH(Calc_EnviroSRES_2[[#This Row],[Cost item]:[Cost item]],Input_ForRateCalc[[Cost item]:[Cost item]],0),MATCH($D$249,Inputs!$H$8:$Q$8,0))),"-")</f>
        <v>40</v>
      </c>
      <c r="I482" s="50" cm="1">
        <f t="array" ref="I482">IFERROR(
(IFERROR(INDEX(Calc_CPI_2[[CPI uplift factor]:[CPI uplift factor]],MATCH($C482,Calc_CPI_2[[Cost item]:[Cost item]],0),1),0)+
INDEX(Input_ForRateCalc[[F-CurrentVDO_InputDate]:[F-NextVDO_Input]],MATCH(Calc_EnviroSRES_2[[#This Row],[Cost item]:[Cost item]],Input_ForRateCalc[[Cost item]:[Cost item]],0),MATCH($D$249,Inputs!$H$8:$Q$8,0))),"-")</f>
        <v>40</v>
      </c>
      <c r="J482" s="50" cm="1">
        <f t="array" ref="J482">IFERROR(
(IFERROR(INDEX(Calc_CPI_2[[CPI uplift factor]:[CPI uplift factor]],MATCH($C482,Calc_CPI_2[[Cost item]:[Cost item]],0),1),0)+
INDEX(Input_ForRateCalc[[F-CurrentVDO_InputDate]:[F-NextVDO_Input]],MATCH(Calc_EnviroSRES_2[[#This Row],[Cost item]:[Cost item]],Input_ForRateCalc[[Cost item]:[Cost item]],0),MATCH($D$249,Inputs!$H$8:$Q$8,0))),"-")</f>
        <v>40</v>
      </c>
      <c r="K482" s="50" cm="1">
        <f t="array" ref="K482">IFERROR(
(IFERROR(INDEX(Calc_CPI_2[[CPI uplift factor]:[CPI uplift factor]],MATCH($C482,Calc_CPI_2[[Cost item]:[Cost item]],0),1),0)+
INDEX(Input_ForRateCalc[[F-CurrentVDO_InputDate]:[F-NextVDO_Input]],MATCH(Calc_EnviroSRES_2[[#This Row],[Cost item]:[Cost item]],Input_ForRateCalc[[Cost item]:[Cost item]],0),MATCH($D$249,Inputs!$H$8:$Q$8,0))),"-")</f>
        <v>40</v>
      </c>
    </row>
    <row r="483" spans="3:13" outlineLevel="1" x14ac:dyDescent="0.25">
      <c r="C483" s="18" t="s">
        <v>95</v>
      </c>
      <c r="D483" s="18" t="s">
        <v>66</v>
      </c>
      <c r="E483" s="18" t="s">
        <v>93</v>
      </c>
      <c r="F483" s="18" t="s">
        <v>46</v>
      </c>
      <c r="G483" s="45" cm="1">
        <f t="array" ref="G483">IFERROR(
(IFERROR(INDEX(Calc_CPI_2[[CPI uplift factor]:[CPI uplift factor]],MATCH($C483,Calc_CPI_2[[Cost item]:[Cost item]],0),1),0)+
IF(OR($D$249="VDO 2021 - Final",$D$249="VDO 2021 - Variation draft",$D$249="VDO 2021 - Variation final"),
INDEX(Input_ForRateCalc[[F-CurrentVDO_InputDate]:[F-NextVDO_Input]],MATCH(Calc_EnviroSRES_2[[#This Row],[Cost item]:[Cost item]]&amp;" true up (2021 only)",Input_ForRateCalc[[Cost item]:[Cost item]],0),MATCH($D$249,Inputs!$H$8:$Q$8,0))+
INDEX(Input_ForRateCalc[[F-CurrentVDO_InputDate]:[F-NextVDO_Input]],MATCH(Calc_EnviroSRES_2[[#This Row],[Cost item]:[Cost item]],Input_ForRateCalc[[Cost item]:[Cost item]],0),MATCH($D$249,Inputs!$H$8:$Q$8,0)),
INDEX(Input_ForRateCalc[[F-CurrentVDO_InputDate]:[F-NextVDO_Input]],MATCH(Calc_EnviroSRES_2[[#This Row],[Cost item]:[Cost item]],Input_ForRateCalc[[Cost item]:[Cost item]],0),MATCH($D$249,Inputs!$H$8:$Q$8,0)))),"-")</f>
        <v>0.25600000000000001</v>
      </c>
      <c r="H483" s="45" cm="1">
        <f t="array" ref="H483">IFERROR(
(IFERROR(INDEX(Calc_CPI_2[[CPI uplift factor]:[CPI uplift factor]],MATCH($C483,Calc_CPI_2[[Cost item]:[Cost item]],0),1),0)+
IF(OR($D$249="VDO 2021 - Final",$D$249="VDO 2021 - Variation draft",$D$249="VDO 2021 - Variation final"),
INDEX(Input_ForRateCalc[[F-CurrentVDO_InputDate]:[F-NextVDO_Input]],MATCH(Calc_EnviroSRES_2[[#This Row],[Cost item]:[Cost item]]&amp;" true up (2021 only)",Input_ForRateCalc[[Cost item]:[Cost item]],0),MATCH($D$249,Inputs!$H$8:$Q$8,0))+
INDEX(Input_ForRateCalc[[F-CurrentVDO_InputDate]:[F-NextVDO_Input]],MATCH(Calc_EnviroSRES_2[[#This Row],[Cost item]:[Cost item]],Input_ForRateCalc[[Cost item]:[Cost item]],0),MATCH($D$249,Inputs!$H$8:$Q$8,0)),
INDEX(Input_ForRateCalc[[F-CurrentVDO_InputDate]:[F-NextVDO_Input]],MATCH(Calc_EnviroSRES_2[[#This Row],[Cost item]:[Cost item]],Input_ForRateCalc[[Cost item]:[Cost item]],0),MATCH($D$249,Inputs!$H$8:$Q$8,0)))),"-")</f>
        <v>0.25600000000000001</v>
      </c>
      <c r="I483" s="45" cm="1">
        <f t="array" ref="I483">IFERROR(
(IFERROR(INDEX(Calc_CPI_2[[CPI uplift factor]:[CPI uplift factor]],MATCH($C483,Calc_CPI_2[[Cost item]:[Cost item]],0),1),0)+
IF(OR($D$249="VDO 2021 - Final",$D$249="VDO 2021 - Variation draft",$D$249="VDO 2021 - Variation final"),
INDEX(Input_ForRateCalc[[F-CurrentVDO_InputDate]:[F-NextVDO_Input]],MATCH(Calc_EnviroSRES_2[[#This Row],[Cost item]:[Cost item]]&amp;" true up (2021 only)",Input_ForRateCalc[[Cost item]:[Cost item]],0),MATCH($D$249,Inputs!$H$8:$Q$8,0))+
INDEX(Input_ForRateCalc[[F-CurrentVDO_InputDate]:[F-NextVDO_Input]],MATCH(Calc_EnviroSRES_2[[#This Row],[Cost item]:[Cost item]],Input_ForRateCalc[[Cost item]:[Cost item]],0),MATCH($D$249,Inputs!$H$8:$Q$8,0)),
INDEX(Input_ForRateCalc[[F-CurrentVDO_InputDate]:[F-NextVDO_Input]],MATCH(Calc_EnviroSRES_2[[#This Row],[Cost item]:[Cost item]],Input_ForRateCalc[[Cost item]:[Cost item]],0),MATCH($D$249,Inputs!$H$8:$Q$8,0)))),"-")</f>
        <v>0.25600000000000001</v>
      </c>
      <c r="J483" s="45" cm="1">
        <f t="array" ref="J483">IFERROR(
(IFERROR(INDEX(Calc_CPI_2[[CPI uplift factor]:[CPI uplift factor]],MATCH($C483,Calc_CPI_2[[Cost item]:[Cost item]],0),1),0)+
IF(OR($D$249="VDO 2021 - Final",$D$249="VDO 2021 - Variation draft",$D$249="VDO 2021 - Variation final"),
INDEX(Input_ForRateCalc[[F-CurrentVDO_InputDate]:[F-NextVDO_Input]],MATCH(Calc_EnviroSRES_2[[#This Row],[Cost item]:[Cost item]]&amp;" true up (2021 only)",Input_ForRateCalc[[Cost item]:[Cost item]],0),MATCH($D$249,Inputs!$H$8:$Q$8,0))+
INDEX(Input_ForRateCalc[[F-CurrentVDO_InputDate]:[F-NextVDO_Input]],MATCH(Calc_EnviroSRES_2[[#This Row],[Cost item]:[Cost item]],Input_ForRateCalc[[Cost item]:[Cost item]],0),MATCH($D$249,Inputs!$H$8:$Q$8,0)),
INDEX(Input_ForRateCalc[[F-CurrentVDO_InputDate]:[F-NextVDO_Input]],MATCH(Calc_EnviroSRES_2[[#This Row],[Cost item]:[Cost item]],Input_ForRateCalc[[Cost item]:[Cost item]],0),MATCH($D$249,Inputs!$H$8:$Q$8,0)))),"-")</f>
        <v>0.25600000000000001</v>
      </c>
      <c r="K483" s="45" cm="1">
        <f t="array" ref="K483">IFERROR(
(IFERROR(INDEX(Calc_CPI_2[[CPI uplift factor]:[CPI uplift factor]],MATCH($C483,Calc_CPI_2[[Cost item]:[Cost item]],0),1),0)+
IF(OR($D$249="VDO 2021 - Final",$D$249="VDO 2021 - Variation draft",$D$249="VDO 2021 - Variation final"),
INDEX(Input_ForRateCalc[[F-CurrentVDO_InputDate]:[F-NextVDO_Input]],MATCH(Calc_EnviroSRES_2[[#This Row],[Cost item]:[Cost item]]&amp;" true up (2021 only)",Input_ForRateCalc[[Cost item]:[Cost item]],0),MATCH($D$249,Inputs!$H$8:$Q$8,0))+
INDEX(Input_ForRateCalc[[F-CurrentVDO_InputDate]:[F-NextVDO_Input]],MATCH(Calc_EnviroSRES_2[[#This Row],[Cost item]:[Cost item]],Input_ForRateCalc[[Cost item]:[Cost item]],0),MATCH($D$249,Inputs!$H$8:$Q$8,0)),
INDEX(Input_ForRateCalc[[F-CurrentVDO_InputDate]:[F-NextVDO_Input]],MATCH(Calc_EnviroSRES_2[[#This Row],[Cost item]:[Cost item]],Input_ForRateCalc[[Cost item]:[Cost item]],0),MATCH($D$249,Inputs!$H$8:$Q$8,0)))),"-")</f>
        <v>0.25600000000000001</v>
      </c>
    </row>
    <row r="484" spans="3:13" outlineLevel="1" x14ac:dyDescent="0.25">
      <c r="C484" s="35" t="s">
        <v>247</v>
      </c>
      <c r="D484" s="35" t="s">
        <v>66</v>
      </c>
      <c r="E484" s="35" t="s">
        <v>218</v>
      </c>
      <c r="F484" s="18" t="s">
        <v>46</v>
      </c>
      <c r="G484" s="61">
        <f>IFERROR(
IFERROR(INDEX(Calc_CPI_2[[CPI uplift factor]:[CPI uplift factor]],MATCH($C484,Calc_CPI_2[[Cost item]:[Cost item]],0),1),0)+(G482*G483)/1000,"-")</f>
        <v>1.0240000000000001E-2</v>
      </c>
      <c r="H484" s="61">
        <f>IFERROR(
IFERROR(INDEX(Calc_CPI_2[[CPI uplift factor]:[CPI uplift factor]],MATCH($C484,Calc_CPI_2[[Cost item]:[Cost item]],0),1),0)+(H482*H483)/1000,"-")</f>
        <v>1.0240000000000001E-2</v>
      </c>
      <c r="I484" s="61">
        <f>IFERROR(
IFERROR(INDEX(Calc_CPI_2[[CPI uplift factor]:[CPI uplift factor]],MATCH($C484,Calc_CPI_2[[Cost item]:[Cost item]],0),1),0)+(I482*I483)/1000,"-")</f>
        <v>1.0240000000000001E-2</v>
      </c>
      <c r="J484" s="61">
        <f>IFERROR(
IFERROR(INDEX(Calc_CPI_2[[CPI uplift factor]:[CPI uplift factor]],MATCH($C484,Calc_CPI_2[[Cost item]:[Cost item]],0),1),0)+(J482*J483)/1000,"-")</f>
        <v>1.0240000000000001E-2</v>
      </c>
      <c r="K484" s="61">
        <f>IFERROR(
IFERROR(INDEX(Calc_CPI_2[[CPI uplift factor]:[CPI uplift factor]],MATCH($C484,Calc_CPI_2[[Cost item]:[Cost item]],0),1),0)+(K482*K483)/1000,"-")</f>
        <v>1.0240000000000001E-2</v>
      </c>
      <c r="M484" s="67"/>
    </row>
    <row r="485" spans="3:13" outlineLevel="1" x14ac:dyDescent="0.25"/>
    <row r="486" spans="3:13" ht="15.75" outlineLevel="1" collapsed="1" x14ac:dyDescent="0.25">
      <c r="C486" s="23" t="s">
        <v>248</v>
      </c>
    </row>
    <row r="487" spans="3:13" ht="15.75" outlineLevel="1" x14ac:dyDescent="0.25">
      <c r="C487" s="34" t="s">
        <v>24</v>
      </c>
      <c r="D487" s="34" t="s">
        <v>37</v>
      </c>
      <c r="E487" s="34" t="s">
        <v>38</v>
      </c>
      <c r="F487" s="34" t="s">
        <v>30</v>
      </c>
      <c r="G487" s="49" t="s">
        <v>204</v>
      </c>
      <c r="H487" s="49" t="s">
        <v>205</v>
      </c>
      <c r="I487" s="49" t="s">
        <v>206</v>
      </c>
      <c r="J487" s="49" t="s">
        <v>207</v>
      </c>
      <c r="K487" s="49" t="s">
        <v>208</v>
      </c>
    </row>
    <row r="488" spans="3:13" outlineLevel="1" x14ac:dyDescent="0.25">
      <c r="C488" s="35" t="s">
        <v>52</v>
      </c>
      <c r="D488" s="35" t="s">
        <v>44</v>
      </c>
      <c r="E488" s="18" t="s">
        <v>45</v>
      </c>
      <c r="F488" s="18" t="s">
        <v>46</v>
      </c>
      <c r="G488" s="50" cm="1">
        <f t="array" ref="G488">IFERROR(
(IFERROR(INDEX(Calc_CPI_2[[CPI uplift factor]:[CPI uplift factor]],MATCH($C488,Calc_CPI_2[[Cost item]:[Cost item]],0),1),0)+
INDEX(Input_ForRateCalc[[F-CurrentVDO_InputDate]:[F-NextVDO_Input]],MATCH(Calc_FiT_2[[#This Row],[Cost item]:[Cost item]],Input_ForRateCalc[[Cost item]:[Cost item]],0),MATCH($D$249,Inputs!$H$8:$Q$8,0))),"-")</f>
        <v>13.337762647243332</v>
      </c>
      <c r="H488" s="50" cm="1">
        <f t="array" ref="H488">IFERROR(
(IFERROR(INDEX(Calc_CPI_2[[CPI uplift factor]:[CPI uplift factor]],MATCH($C488,Calc_CPI_2[[Cost item]:[Cost item]],0),1),0)+
INDEX(Input_ForRateCalc[[F-CurrentVDO_InputDate]:[F-NextVDO_Input]],MATCH(Calc_FiT_2[[#This Row],[Cost item]:[Cost item]],Input_ForRateCalc[[Cost item]:[Cost item]],0),MATCH($D$249,Inputs!$H$8:$Q$8,0))),"-")</f>
        <v>13.337762647243332</v>
      </c>
      <c r="I488" s="50" cm="1">
        <f t="array" ref="I488">IFERROR(
(IFERROR(INDEX(Calc_CPI_2[[CPI uplift factor]:[CPI uplift factor]],MATCH($C488,Calc_CPI_2[[Cost item]:[Cost item]],0),1),0)+
INDEX(Input_ForRateCalc[[F-CurrentVDO_InputDate]:[F-NextVDO_Input]],MATCH(Calc_FiT_2[[#This Row],[Cost item]:[Cost item]],Input_ForRateCalc[[Cost item]:[Cost item]],0),MATCH($D$249,Inputs!$H$8:$Q$8,0))),"-")</f>
        <v>13.337762647243332</v>
      </c>
      <c r="J488" s="50" cm="1">
        <f t="array" ref="J488">IFERROR(
(IFERROR(INDEX(Calc_CPI_2[[CPI uplift factor]:[CPI uplift factor]],MATCH($C488,Calc_CPI_2[[Cost item]:[Cost item]],0),1),0)+
INDEX(Input_ForRateCalc[[F-CurrentVDO_InputDate]:[F-NextVDO_Input]],MATCH(Calc_FiT_2[[#This Row],[Cost item]:[Cost item]],Input_ForRateCalc[[Cost item]:[Cost item]],0),MATCH($D$249,Inputs!$H$8:$Q$8,0))),"-")</f>
        <v>13.337762647243332</v>
      </c>
      <c r="K488" s="50" cm="1">
        <f t="array" ref="K488">IFERROR(
(IFERROR(INDEX(Calc_CPI_2[[CPI uplift factor]:[CPI uplift factor]],MATCH($C488,Calc_CPI_2[[Cost item]:[Cost item]],0),1),0)+
INDEX(Input_ForRateCalc[[F-CurrentVDO_InputDate]:[F-NextVDO_Input]],MATCH(Calc_FiT_2[[#This Row],[Cost item]:[Cost item]],Input_ForRateCalc[[Cost item]:[Cost item]],0),MATCH($D$249,Inputs!$H$8:$Q$8,0))),"-")</f>
        <v>13.337762647243332</v>
      </c>
    </row>
  </sheetData>
  <sheetProtection algorithmName="SHA-512" hashValue="fPshHb6rEz0aGuvGhDWkRm0h+lCK0zoOnbrhGqRVuVDaKtpcr5ZEsHWbIMfbbNQZ+42tK74GbaYLsMKCdBIlQQ==" saltValue="22snS2pHQpVLsVAon6EjbA==" spinCount="100000" sheet="1" objects="1" scenarios="1"/>
  <mergeCells count="1">
    <mergeCell ref="A2:A3"/>
  </mergeCells>
  <phoneticPr fontId="30" type="noConversion"/>
  <dataValidations count="2">
    <dataValidation type="list" allowBlank="1" showInputMessage="1" showErrorMessage="1" sqref="D170:D171 D148:D153 D212:D214 D196:D207 E207 D164 D82:D87 E221 D218:D221 D244 D24:D30 D58:D65 D176:D182 D158:D160 D67:D72 D89:D94 D96:D101 D103:D110 D112:D117 D119:D124 D127:D132 D74:D79 D414:D415 D456:D458 D440:D451 E451 D238:D240 D326:D331 E465 D462:D465 D41:D47 D488 D432:D438 D268:D274 D302:D309 D420:D426 D295:D300 D402:D404 D311:D316 D333:D338 D340:D345 D347:D354 D356:D361 D363:D368 D371:D376 D318:D323 D134:D139 D378:D383 D188:D194 D32:D39 D254:D266 D276:D283 D285:D291 D51:D56 D226:D230 D232:D236 D408:D410 D166 D482:D484 D476:D480 D470:D474 D10:D22 D392:D397" xr:uid="{C269C7C9-C23E-4503-AA68-2E4DCB6653BB}">
      <formula1>#REF!</formula1>
    </dataValidation>
    <dataValidation type="list" allowBlank="1" showInputMessage="1" showErrorMessage="1" sqref="E432:E438 E470:E474 E476:E480 E226:E230 E232:E236 E188:E194 E176:F182 E158:F160 E164:F164 E170:F171 E196:F206 E244:F244 E212:F214 E24:F30 E218:F220 E311:F316 E347:F354 E74:F79 E58:F65 E82:F87 E103:F110 E89:F94 E119:F124 E127:F132 E112:F117 E67:F72 E96:F101 E420:F426 E402:F404 E238:F240 E414:F415 E440:F450 E488:F488 E456:F458 E41:F47 E268:F274 E462:F464 F432:F436 E134:F139 E340:F345 E295:F300 E318:F323 E302:F309 E326:F331 E356:F361 E333:F338 E371:F376 E363:F368 E378:F383 F188:F192 E32:F39 E254:F266 E276:F283 E285:F291 E51:F56 F226:F228 F232:F234 E408:F410 E166:F166 E482:F484 F476:F478 F470:F472 E10:F22" xr:uid="{33FF5899-A62D-484E-AA27-47145712B4A0}">
      <formula1>#REF!</formula1>
    </dataValidation>
  </dataValidations>
  <pageMargins left="0.7" right="0.7" top="0.75" bottom="0.75" header="0.3" footer="0.3"/>
  <pageSetup paperSize="9" orientation="portrait" r:id="rId1"/>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extLst>
    <ext xmlns:x14="http://schemas.microsoft.com/office/spreadsheetml/2009/9/main" uri="{CCE6A557-97BC-4b89-ADB6-D9C93CAAB3DF}">
      <x14:dataValidations xmlns:xm="http://schemas.microsoft.com/office/excel/2006/main" count="1">
        <x14:dataValidation type="list" allowBlank="1" showInputMessage="1" showErrorMessage="1" xr:uid="{56A8F8AC-D35F-4FA4-B420-2499072F1B02}">
          <x14:formula1>
            <xm:f>Inputs!$I$131:$M$131</xm:f>
          </x14:formula1>
          <xm:sqref>D5 D249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8B75-F4F5-4252-87E0-2C383E67EA33}">
  <sheetPr>
    <tabColor rgb="FF236192"/>
    <outlinePr summaryBelow="0"/>
  </sheetPr>
  <dimension ref="A1:T469"/>
  <sheetViews>
    <sheetView showGridLines="0" topLeftCell="B1" zoomScale="70" zoomScaleNormal="70" workbookViewId="0">
      <pane ySplit="3" topLeftCell="A4" activePane="bottomLeft" state="frozen"/>
      <selection pane="bottomLeft" activeCell="C234" sqref="C234"/>
    </sheetView>
  </sheetViews>
  <sheetFormatPr defaultColWidth="9.140625" defaultRowHeight="15" outlineLevelRow="1" outlineLevelCol="1" x14ac:dyDescent="0.25"/>
  <cols>
    <col min="1" max="1" width="100.7109375" hidden="1" customWidth="1" outlineLevel="1"/>
    <col min="2" max="2" width="10.7109375" style="6" customWidth="1" collapsed="1"/>
    <col min="3" max="3" width="53.28515625" bestFit="1" customWidth="1"/>
    <col min="4" max="17" width="20.5703125" customWidth="1"/>
  </cols>
  <sheetData>
    <row r="1" spans="1:17" ht="15" customHeight="1" x14ac:dyDescent="0.25">
      <c r="A1" s="1" t="s">
        <v>16</v>
      </c>
      <c r="B1" s="16"/>
      <c r="C1" s="17"/>
      <c r="D1" s="17"/>
      <c r="E1" s="17"/>
      <c r="F1" s="17"/>
      <c r="G1" s="17"/>
      <c r="H1" s="17"/>
      <c r="I1" s="17"/>
      <c r="J1" s="17"/>
      <c r="K1" s="17"/>
      <c r="L1" s="17"/>
      <c r="M1" s="17"/>
      <c r="N1" s="17"/>
      <c r="O1" s="17"/>
      <c r="P1" s="17"/>
      <c r="Q1" s="17"/>
    </row>
    <row r="2" spans="1:17" s="4" customFormat="1" ht="50.1" customHeight="1" x14ac:dyDescent="0.25">
      <c r="A2" s="183" t="s">
        <v>17</v>
      </c>
      <c r="B2" s="19"/>
      <c r="C2" s="19" t="str">
        <f>Disclaimer!$B$1</f>
        <v>VDO calculation model</v>
      </c>
      <c r="D2" s="19"/>
      <c r="E2" s="19"/>
      <c r="F2" s="19"/>
      <c r="G2" s="19"/>
      <c r="H2" s="19"/>
      <c r="I2" s="19"/>
      <c r="J2" s="19"/>
      <c r="K2" s="19"/>
      <c r="L2" s="19"/>
      <c r="M2" s="19"/>
      <c r="N2" s="19"/>
      <c r="O2" s="19"/>
      <c r="P2" s="19"/>
      <c r="Q2" s="19"/>
    </row>
    <row r="3" spans="1:17" s="4" customFormat="1" ht="30" customHeight="1" x14ac:dyDescent="0.25">
      <c r="A3" s="183"/>
      <c r="B3" s="21">
        <f ca="1">_xlfn.SHEET()</f>
        <v>8</v>
      </c>
      <c r="C3" s="20" t="s">
        <v>249</v>
      </c>
      <c r="D3" s="20"/>
      <c r="E3" s="20"/>
      <c r="F3" s="20"/>
      <c r="G3" s="20"/>
      <c r="H3" s="20"/>
      <c r="I3" s="20"/>
      <c r="J3" s="20"/>
      <c r="K3" s="20"/>
      <c r="L3" s="20"/>
      <c r="M3" s="20"/>
      <c r="N3" s="20"/>
      <c r="O3" s="20"/>
      <c r="P3" s="20"/>
      <c r="Q3" s="20"/>
    </row>
    <row r="4" spans="1:17" x14ac:dyDescent="0.25">
      <c r="B4"/>
    </row>
    <row r="5" spans="1:17" ht="15.75" hidden="1" x14ac:dyDescent="0.25">
      <c r="B5"/>
      <c r="C5" s="43" t="s">
        <v>36</v>
      </c>
      <c r="D5" s="32" t="str">
        <f>Calc_Rates!$D$5</f>
        <v>VDO 2021 - Variation final</v>
      </c>
    </row>
    <row r="6" spans="1:17" hidden="1" x14ac:dyDescent="0.25">
      <c r="B6"/>
    </row>
    <row r="7" spans="1:17" ht="16.5" hidden="1" thickBot="1" x14ac:dyDescent="0.3">
      <c r="B7" s="7">
        <f ca="1">MAX(B$3:B4)+0.1</f>
        <v>8.1</v>
      </c>
      <c r="C7" s="22" t="s">
        <v>250</v>
      </c>
      <c r="D7" s="22"/>
      <c r="E7" s="22"/>
      <c r="F7" s="22"/>
      <c r="G7" s="22"/>
      <c r="H7" s="22"/>
      <c r="I7" s="22"/>
      <c r="J7" s="22"/>
      <c r="K7" s="22"/>
      <c r="L7" s="22"/>
      <c r="M7" s="22"/>
      <c r="N7" s="22"/>
      <c r="O7" s="22"/>
      <c r="P7" s="22"/>
      <c r="Q7" s="22"/>
    </row>
    <row r="8" spans="1:17" hidden="1" collapsed="1" x14ac:dyDescent="0.25"/>
    <row r="9" spans="1:17" ht="15.75" hidden="1" outlineLevel="1" x14ac:dyDescent="0.25">
      <c r="C9" s="43" t="s">
        <v>304</v>
      </c>
      <c r="D9" s="124">
        <v>12</v>
      </c>
      <c r="H9" s="33" t="s">
        <v>24</v>
      </c>
      <c r="I9" s="174" t="s">
        <v>38</v>
      </c>
      <c r="J9" s="174" t="s">
        <v>30</v>
      </c>
      <c r="K9" s="126" t="s">
        <v>204</v>
      </c>
      <c r="L9" s="126" t="s">
        <v>205</v>
      </c>
      <c r="M9" s="126" t="s">
        <v>206</v>
      </c>
      <c r="N9" s="126" t="s">
        <v>207</v>
      </c>
      <c r="O9" s="126" t="s">
        <v>208</v>
      </c>
      <c r="P9" s="42" t="s">
        <v>371</v>
      </c>
    </row>
    <row r="10" spans="1:17" ht="15.75" hidden="1" outlineLevel="1" x14ac:dyDescent="0.25">
      <c r="C10" s="43" t="s">
        <v>303</v>
      </c>
      <c r="D10" s="125">
        <f>D9/MiY</f>
        <v>1</v>
      </c>
      <c r="H10" s="48" t="s">
        <v>258</v>
      </c>
      <c r="I10" s="18" t="s">
        <v>67</v>
      </c>
      <c r="J10" s="48" t="s">
        <v>46</v>
      </c>
      <c r="K10" s="179" t="str">
        <f>IF(OR($D$5="VDO 2021 - Final",$D$5="VDO 2021 - Variation final"),"-",
INDEX(Calc_TUV_Env_1[[Ausnet]:[United Energy]],MATCH($H10,Calc_TUV_Env_1[[Cost item]:[Cost item]],0),MATCH(K$239,Calc_TUV_Env_1[[#Headers],[Ausnet]:[United Energy]],0))*1000)</f>
        <v>-</v>
      </c>
      <c r="L10" s="179" t="str">
        <f>IF(OR($D$5="VDO 2021 - Final",$D$5="VDO 2021 - Variation final"),"-",
INDEX(Calc_TUV_Env_1[[Ausnet]:[United Energy]],MATCH($H10,Calc_TUV_Env_1[[Cost item]:[Cost item]],0),MATCH(L$239,Calc_TUV_Env_1[[#Headers],[Ausnet]:[United Energy]],0))*1000)</f>
        <v>-</v>
      </c>
      <c r="M10" s="179" t="str">
        <f>IF(OR($D$5="VDO 2021 - Final",$D$5="VDO 2021 - Variation final"),"-",
INDEX(Calc_TUV_Env_1[[Ausnet]:[United Energy]],MATCH($H10,Calc_TUV_Env_1[[Cost item]:[Cost item]],0),MATCH(M$239,Calc_TUV_Env_1[[#Headers],[Ausnet]:[United Energy]],0))*1000)</f>
        <v>-</v>
      </c>
      <c r="N10" s="179" t="str">
        <f>IF(OR($D$5="VDO 2021 - Final",$D$5="VDO 2021 - Variation final"),"-",
INDEX(Calc_TUV_Env_1[[Ausnet]:[United Energy]],MATCH($H10,Calc_TUV_Env_1[[Cost item]:[Cost item]],0),MATCH(N$239,Calc_TUV_Env_1[[#Headers],[Ausnet]:[United Energy]],0))*1000)</f>
        <v>-</v>
      </c>
      <c r="O10" s="179" t="str">
        <f>IF(OR($D$5="VDO 2021 - Final",$D$5="VDO 2021 - Variation final"),"-",
INDEX(Calc_TUV_Env_1[[Ausnet]:[United Energy]],MATCH($H10,Calc_TUV_Env_1[[Cost item]:[Cost item]],0),MATCH(O$239,Calc_TUV_Env_1[[#Headers],[Ausnet]:[United Energy]],0))*1000)</f>
        <v>-</v>
      </c>
      <c r="P10" s="179" t="str">
        <f>IFERROR(AVERAGE(K10:O10),"-")</f>
        <v>-</v>
      </c>
    </row>
    <row r="11" spans="1:17" ht="15.75" hidden="1" outlineLevel="1" x14ac:dyDescent="0.25">
      <c r="C11" s="43" t="s">
        <v>296</v>
      </c>
      <c r="D11" s="124" t="s">
        <v>253</v>
      </c>
      <c r="H11" s="48" t="s">
        <v>260</v>
      </c>
      <c r="I11" s="18" t="s">
        <v>67</v>
      </c>
      <c r="J11" s="48" t="s">
        <v>46</v>
      </c>
      <c r="K11" s="179" t="str">
        <f>IF(OR($D$5="VDO 2021 - Final",$D$5="VDO 2021 - Variation final"),"-",
INDEX(Calc_TUV_Env_1[[Ausnet]:[United Energy]],MATCH($H11,Calc_TUV_Env_1[[Cost item]:[Cost item]],0),MATCH(K$239,Calc_TUV_Env_1[[#Headers],[Ausnet]:[United Energy]],0))*1000)</f>
        <v>-</v>
      </c>
      <c r="L11" s="179" t="str">
        <f>IF(OR($D$5="VDO 2021 - Final",$D$5="VDO 2021 - Variation final"),"-",
INDEX(Calc_TUV_Env_1[[Ausnet]:[United Energy]],MATCH($H11,Calc_TUV_Env_1[[Cost item]:[Cost item]],0),MATCH(L$239,Calc_TUV_Env_1[[#Headers],[Ausnet]:[United Energy]],0))*1000)</f>
        <v>-</v>
      </c>
      <c r="M11" s="179" t="str">
        <f>IF(OR($D$5="VDO 2021 - Final",$D$5="VDO 2021 - Variation final"),"-",
INDEX(Calc_TUV_Env_1[[Ausnet]:[United Energy]],MATCH($H11,Calc_TUV_Env_1[[Cost item]:[Cost item]],0),MATCH(M$239,Calc_TUV_Env_1[[#Headers],[Ausnet]:[United Energy]],0))*1000)</f>
        <v>-</v>
      </c>
      <c r="N11" s="179" t="str">
        <f>IF(OR($D$5="VDO 2021 - Final",$D$5="VDO 2021 - Variation final"),"-",
INDEX(Calc_TUV_Env_1[[Ausnet]:[United Energy]],MATCH($H11,Calc_TUV_Env_1[[Cost item]:[Cost item]],0),MATCH(N$239,Calc_TUV_Env_1[[#Headers],[Ausnet]:[United Energy]],0))*1000)</f>
        <v>-</v>
      </c>
      <c r="O11" s="179" t="str">
        <f>IF(OR($D$5="VDO 2021 - Final",$D$5="VDO 2021 - Variation final"),"-",
INDEX(Calc_TUV_Env_1[[Ausnet]:[United Energy]],MATCH($H11,Calc_TUV_Env_1[[Cost item]:[Cost item]],0),MATCH(O$239,Calc_TUV_Env_1[[#Headers],[Ausnet]:[United Energy]],0))*1000)</f>
        <v>-</v>
      </c>
      <c r="P11" s="179" t="str">
        <f t="shared" ref="P11:P12" si="0">IFERROR(AVERAGE(K11:O11),"-")</f>
        <v>-</v>
      </c>
    </row>
    <row r="12" spans="1:17" ht="15.75" hidden="1" outlineLevel="1" x14ac:dyDescent="0.25">
      <c r="C12" s="43" t="s">
        <v>347</v>
      </c>
      <c r="D12" s="125">
        <f>(1+WACC)^(1/1)-1</f>
        <v>6.5500000000000114E-2</v>
      </c>
      <c r="H12" s="116" t="s">
        <v>262</v>
      </c>
      <c r="I12" s="18" t="s">
        <v>67</v>
      </c>
      <c r="J12" s="48" t="s">
        <v>46</v>
      </c>
      <c r="K12" s="179" t="str">
        <f>IF(OR($D$5="VDO 2021 - Final",$D$5="VDO 2021 - Variation final"),"-",
INDEX(Calc_TUV_Env_1[[Ausnet]:[United Energy]],MATCH($H12,Calc_TUV_Env_1[[Cost item]:[Cost item]],0),MATCH(K$239,Calc_TUV_Env_1[[#Headers],[Ausnet]:[United Energy]],0))*1000)</f>
        <v>-</v>
      </c>
      <c r="L12" s="179" t="str">
        <f>IF(OR($D$5="VDO 2021 - Final",$D$5="VDO 2021 - Variation final"),"-",
INDEX(Calc_TUV_Env_1[[Ausnet]:[United Energy]],MATCH($H12,Calc_TUV_Env_1[[Cost item]:[Cost item]],0),MATCH(L$239,Calc_TUV_Env_1[[#Headers],[Ausnet]:[United Energy]],0))*1000)</f>
        <v>-</v>
      </c>
      <c r="M12" s="179" t="str">
        <f>IF(OR($D$5="VDO 2021 - Final",$D$5="VDO 2021 - Variation final"),"-",
INDEX(Calc_TUV_Env_1[[Ausnet]:[United Energy]],MATCH($H12,Calc_TUV_Env_1[[Cost item]:[Cost item]],0),MATCH(M$239,Calc_TUV_Env_1[[#Headers],[Ausnet]:[United Energy]],0))*1000)</f>
        <v>-</v>
      </c>
      <c r="N12" s="179" t="str">
        <f>IF(OR($D$5="VDO 2021 - Final",$D$5="VDO 2021 - Variation final"),"-",
INDEX(Calc_TUV_Env_1[[Ausnet]:[United Energy]],MATCH($H12,Calc_TUV_Env_1[[Cost item]:[Cost item]],0),MATCH(N$239,Calc_TUV_Env_1[[#Headers],[Ausnet]:[United Energy]],0))*1000)</f>
        <v>-</v>
      </c>
      <c r="O12" s="179" t="str">
        <f>IF(OR($D$5="VDO 2021 - Final",$D$5="VDO 2021 - Variation final"),"-",
INDEX(Calc_TUV_Env_1[[Ausnet]:[United Energy]],MATCH($H12,Calc_TUV_Env_1[[Cost item]:[Cost item]],0),MATCH(O$239,Calc_TUV_Env_1[[#Headers],[Ausnet]:[United Energy]],0))*1000)</f>
        <v>-</v>
      </c>
      <c r="P12" s="179" t="str">
        <f t="shared" si="0"/>
        <v>-</v>
      </c>
    </row>
    <row r="13" spans="1:17" ht="15.75" hidden="1" outlineLevel="1" x14ac:dyDescent="0.25">
      <c r="C13" s="23"/>
    </row>
    <row r="14" spans="1:17" ht="15.75" hidden="1" outlineLevel="1" x14ac:dyDescent="0.25">
      <c r="C14" s="23" t="s">
        <v>404</v>
      </c>
    </row>
    <row r="15" spans="1:17" ht="15.75" hidden="1" outlineLevel="1" x14ac:dyDescent="0.25">
      <c r="C15" s="34" t="s">
        <v>24</v>
      </c>
      <c r="D15" s="34" t="s">
        <v>36</v>
      </c>
      <c r="E15" s="34" t="s">
        <v>352</v>
      </c>
      <c r="F15" s="34" t="s">
        <v>355</v>
      </c>
      <c r="G15" s="34" t="s">
        <v>251</v>
      </c>
      <c r="H15" s="34" t="s">
        <v>37</v>
      </c>
      <c r="I15" s="34" t="s">
        <v>38</v>
      </c>
      <c r="J15" s="33" t="s">
        <v>30</v>
      </c>
      <c r="K15" s="49" t="s">
        <v>204</v>
      </c>
      <c r="L15" s="49" t="s">
        <v>205</v>
      </c>
      <c r="M15" s="49" t="s">
        <v>206</v>
      </c>
      <c r="N15" s="49" t="s">
        <v>207</v>
      </c>
      <c r="O15" s="49" t="s">
        <v>208</v>
      </c>
    </row>
    <row r="16" spans="1:17" hidden="1" outlineLevel="1" x14ac:dyDescent="0.25">
      <c r="C16" s="18"/>
      <c r="D16" s="18"/>
      <c r="E16" s="18"/>
      <c r="F16" s="18"/>
      <c r="G16" s="18"/>
      <c r="H16" s="18"/>
      <c r="I16" s="18"/>
      <c r="J16" s="18"/>
      <c r="K16" s="18"/>
      <c r="L16" s="18"/>
      <c r="M16" s="18"/>
      <c r="N16" s="18"/>
      <c r="O16" s="18"/>
    </row>
    <row r="17" spans="3:15" hidden="1" outlineLevel="1" x14ac:dyDescent="0.25">
      <c r="C17" s="46" t="s">
        <v>252</v>
      </c>
      <c r="D17" s="46"/>
      <c r="E17" s="46"/>
      <c r="F17" s="46"/>
      <c r="G17" s="57" t="s">
        <v>253</v>
      </c>
      <c r="H17" s="57"/>
      <c r="I17" s="18"/>
      <c r="J17" s="18"/>
      <c r="K17" s="18"/>
      <c r="L17" s="18"/>
      <c r="M17" s="18"/>
      <c r="N17" s="18"/>
      <c r="O17" s="18"/>
    </row>
    <row r="18" spans="3:15" hidden="1" outlineLevel="1" x14ac:dyDescent="0.25">
      <c r="C18" s="18" t="s">
        <v>90</v>
      </c>
      <c r="D18" s="71" t="str">
        <f>Calc_TU_values!$D$5</f>
        <v>VDO 2021 - Variation final</v>
      </c>
      <c r="E18" s="18" t="s">
        <v>353</v>
      </c>
      <c r="F18" s="71" t="str">
        <f>INDEX(Inputs!$H$10:$Q$10,1,MATCH($D18,Inputs!$H$8:$Q$8,0))</f>
        <v>VF-CurrentVDO_Input</v>
      </c>
      <c r="G18" s="47"/>
      <c r="H18" s="18" t="s">
        <v>66</v>
      </c>
      <c r="I18" s="18" t="s">
        <v>89</v>
      </c>
      <c r="J18" s="48" t="s">
        <v>46</v>
      </c>
      <c r="K18" s="54">
        <f>IFERROR(INDEX(Input_TUEnv_Actual[],MATCH($C18,Input_TUEnv_Actual[Cost item],0),MATCH($F18,Input_TUEnv_Actual[#Headers],0)),"-")</f>
        <v>0</v>
      </c>
      <c r="L18" s="54">
        <f>IFERROR(INDEX(Input_TUEnv_Actual[],MATCH($C18,Input_TUEnv_Actual[Cost item],0),MATCH($F18,Input_TUEnv_Actual[#Headers],0)),"-")</f>
        <v>0</v>
      </c>
      <c r="M18" s="54">
        <f>IFERROR(INDEX(Input_TUEnv_Actual[],MATCH($C18,Input_TUEnv_Actual[Cost item],0),MATCH($F18,Input_TUEnv_Actual[#Headers],0)),"-")</f>
        <v>0</v>
      </c>
      <c r="N18" s="54">
        <f>IFERROR(INDEX(Input_TUEnv_Actual[],MATCH($C18,Input_TUEnv_Actual[Cost item],0),MATCH($F18,Input_TUEnv_Actual[#Headers],0)),"-")</f>
        <v>0</v>
      </c>
      <c r="O18" s="54">
        <f>IFERROR(INDEX(Input_TUEnv_Actual[],MATCH($C18,Input_TUEnv_Actual[Cost item],0),MATCH($F18,Input_TUEnv_Actual[#Headers],0)),"-")</f>
        <v>0</v>
      </c>
    </row>
    <row r="19" spans="3:15" hidden="1" outlineLevel="1" x14ac:dyDescent="0.25">
      <c r="C19" s="18" t="s">
        <v>94</v>
      </c>
      <c r="D19" s="71" t="str">
        <f>Calc_TU_values!$D$5</f>
        <v>VDO 2021 - Variation final</v>
      </c>
      <c r="E19" s="18" t="s">
        <v>353</v>
      </c>
      <c r="F19" s="71" t="str">
        <f>INDEX(Inputs!$H$10:$Q$10,1,MATCH($D19,Inputs!$H$8:$Q$8,0))</f>
        <v>VF-CurrentVDO_Input</v>
      </c>
      <c r="G19" s="47"/>
      <c r="H19" s="18" t="s">
        <v>66</v>
      </c>
      <c r="I19" s="18" t="s">
        <v>93</v>
      </c>
      <c r="J19" s="48" t="s">
        <v>46</v>
      </c>
      <c r="K19" s="56">
        <f>IFERROR(INDEX(Input_TUEnv_Actual[],MATCH($C19,Input_TUEnv_Actual[Cost item],0),MATCH($F19,Input_TUEnv_Actual[#Headers],0)),"-")</f>
        <v>0</v>
      </c>
      <c r="L19" s="56">
        <f>IFERROR(INDEX(Input_TUEnv_Actual[],MATCH($C19,Input_TUEnv_Actual[Cost item],0),MATCH($F19,Input_TUEnv_Actual[#Headers],0)),"-")</f>
        <v>0</v>
      </c>
      <c r="M19" s="56">
        <f>IFERROR(INDEX(Input_TUEnv_Actual[],MATCH($C19,Input_TUEnv_Actual[Cost item],0),MATCH($F19,Input_TUEnv_Actual[#Headers],0)),"-")</f>
        <v>0</v>
      </c>
      <c r="N19" s="56">
        <f>IFERROR(INDEX(Input_TUEnv_Actual[],MATCH($C19,Input_TUEnv_Actual[Cost item],0),MATCH($F19,Input_TUEnv_Actual[#Headers],0)),"-")</f>
        <v>0</v>
      </c>
      <c r="O19" s="56">
        <f>IFERROR(INDEX(Input_TUEnv_Actual[],MATCH($C19,Input_TUEnv_Actual[Cost item],0),MATCH($F19,Input_TUEnv_Actual[#Headers],0)),"-")</f>
        <v>0</v>
      </c>
    </row>
    <row r="20" spans="3:15" hidden="1" outlineLevel="1" x14ac:dyDescent="0.25">
      <c r="C20" s="18" t="s">
        <v>254</v>
      </c>
      <c r="D20" s="71" t="str">
        <f>Calc_TU_values!$D$5</f>
        <v>VDO 2021 - Variation final</v>
      </c>
      <c r="E20" s="18" t="s">
        <v>353</v>
      </c>
      <c r="F20" s="71" t="str">
        <f>INDEX(Inputs!$H$10:$Q$10,1,MATCH($D20,Inputs!$H$8:$Q$8,0))</f>
        <v>VF-CurrentVDO_Input</v>
      </c>
      <c r="G20" s="47"/>
      <c r="H20" s="18" t="s">
        <v>66</v>
      </c>
      <c r="I20" s="18" t="s">
        <v>218</v>
      </c>
      <c r="J20" s="48" t="s">
        <v>46</v>
      </c>
      <c r="K20" s="53">
        <f>K18*K19/1000</f>
        <v>0</v>
      </c>
      <c r="L20" s="53">
        <f t="shared" ref="L20:O20" si="1">L18*L19/1000</f>
        <v>0</v>
      </c>
      <c r="M20" s="53">
        <f t="shared" si="1"/>
        <v>0</v>
      </c>
      <c r="N20" s="53">
        <f t="shared" si="1"/>
        <v>0</v>
      </c>
      <c r="O20" s="53">
        <f t="shared" si="1"/>
        <v>0</v>
      </c>
    </row>
    <row r="21" spans="3:15" hidden="1" outlineLevel="1" x14ac:dyDescent="0.25">
      <c r="C21" s="18" t="s">
        <v>90</v>
      </c>
      <c r="D21" s="71" t="str">
        <f>INDEX(Input_DecisionActual[[Actual]:[Actual]],MATCH(Calc_TU_values!$D$5,Input_DecisionActual[[VDO period]:[VDO period]],0),1)</f>
        <v>VDO 2021 - Final</v>
      </c>
      <c r="E21" s="18" t="s">
        <v>354</v>
      </c>
      <c r="F21" s="71" t="str">
        <f>IF($D21="-","-",INDEX(Inputs!$H$10:$Q$10,1,MATCH($D21,Inputs!$H$8:$Q$8,0)))</f>
        <v>F-CurrentVDO_Input</v>
      </c>
      <c r="G21" s="47"/>
      <c r="H21" s="18" t="s">
        <v>66</v>
      </c>
      <c r="I21" s="18" t="s">
        <v>89</v>
      </c>
      <c r="J21" s="48" t="s">
        <v>46</v>
      </c>
      <c r="K21" s="55">
        <f>IFERROR(INDEX(Inputs!$H$11:$Q$125,MATCH($C21,Input_ForRateCalc[Cost item],0),MATCH($F21,Inputs!$H$10:$Q$10,0)),"-")</f>
        <v>35.75</v>
      </c>
      <c r="L21" s="55">
        <f>IFERROR(INDEX(Inputs!$H$11:$Q$125,MATCH($C21,Input_ForRateCalc[Cost item],0),MATCH($F21,Inputs!$H$10:$Q$10,0)),"-")</f>
        <v>35.75</v>
      </c>
      <c r="M21" s="55">
        <f>IFERROR(INDEX(Inputs!$H$11:$Q$125,MATCH($C21,Input_ForRateCalc[Cost item],0),MATCH($F21,Inputs!$H$10:$Q$10,0)),"-")</f>
        <v>35.75</v>
      </c>
      <c r="N21" s="55">
        <f>IFERROR(INDEX(Inputs!$H$11:$Q$125,MATCH($C21,Input_ForRateCalc[Cost item],0),MATCH($F21,Inputs!$H$10:$Q$10,0)),"-")</f>
        <v>35.75</v>
      </c>
      <c r="O21" s="55">
        <f>IFERROR(INDEX(Inputs!$H$11:$Q$125,MATCH($C21,Input_ForRateCalc[Cost item],0),MATCH($F21,Inputs!$H$10:$Q$10,0)),"-")</f>
        <v>35.75</v>
      </c>
    </row>
    <row r="22" spans="3:15" hidden="1" outlineLevel="1" x14ac:dyDescent="0.25">
      <c r="C22" s="18" t="s">
        <v>94</v>
      </c>
      <c r="D22" s="71" t="str">
        <f>INDEX(Input_DecisionActual[[Actual]:[Actual]],MATCH(Calc_TU_values!$D$5,Input_DecisionActual[[VDO period]:[VDO period]],0),1)</f>
        <v>VDO 2021 - Final</v>
      </c>
      <c r="E22" s="18" t="s">
        <v>354</v>
      </c>
      <c r="F22" s="71" t="str">
        <f>IF($D22="-","-",INDEX(Inputs!$H$10:$Q$10,1,MATCH($D22,Inputs!$H$8:$Q$8,0)))</f>
        <v>F-CurrentVDO_Input</v>
      </c>
      <c r="G22" s="47"/>
      <c r="H22" s="18" t="s">
        <v>66</v>
      </c>
      <c r="I22" s="18" t="s">
        <v>93</v>
      </c>
      <c r="J22" s="48" t="s">
        <v>46</v>
      </c>
      <c r="K22" s="56">
        <f>IFERROR(INDEX(Inputs!$H$11:$Q$125,MATCH($C22,Input_ForRateCalc[Cost item],0),MATCH($F22,Inputs!$H$10:$Q$10,0)),"-")</f>
        <v>0.1883</v>
      </c>
      <c r="L22" s="56">
        <f>IFERROR(INDEX(Inputs!$H$11:$Q$125,MATCH($C22,Input_ForRateCalc[Cost item],0),MATCH($F22,Inputs!$H$10:$Q$10,0)),"-")</f>
        <v>0.1883</v>
      </c>
      <c r="M22" s="56">
        <f>IFERROR(INDEX(Inputs!$H$11:$Q$125,MATCH($C22,Input_ForRateCalc[Cost item],0),MATCH($F22,Inputs!$H$10:$Q$10,0)),"-")</f>
        <v>0.1883</v>
      </c>
      <c r="N22" s="56">
        <f>IFERROR(INDEX(Inputs!$H$11:$Q$125,MATCH($C22,Input_ForRateCalc[Cost item],0),MATCH($F22,Inputs!$H$10:$Q$10,0)),"-")</f>
        <v>0.1883</v>
      </c>
      <c r="O22" s="56">
        <f>IFERROR(INDEX(Inputs!$H$11:$Q$125,MATCH($C22,Input_ForRateCalc[Cost item],0),MATCH($F22,Inputs!$H$10:$Q$10,0)),"-")</f>
        <v>0.1883</v>
      </c>
    </row>
    <row r="23" spans="3:15" hidden="1" outlineLevel="1" x14ac:dyDescent="0.25">
      <c r="C23" s="18" t="s">
        <v>254</v>
      </c>
      <c r="D23" s="71" t="str">
        <f>INDEX(Input_DecisionActual[[Actual]:[Actual]],MATCH(Calc_TU_values!$D$5,Input_DecisionActual[[VDO period]:[VDO period]],0),1)</f>
        <v>VDO 2021 - Final</v>
      </c>
      <c r="E23" s="18" t="s">
        <v>354</v>
      </c>
      <c r="F23" s="71" t="str">
        <f>IF($D23="-","-",INDEX(Inputs!$H$10:$Q$10,1,MATCH($D23,Inputs!$H$8:$Q$8,0)))</f>
        <v>F-CurrentVDO_Input</v>
      </c>
      <c r="G23" s="47"/>
      <c r="H23" s="18" t="s">
        <v>66</v>
      </c>
      <c r="I23" s="18" t="s">
        <v>218</v>
      </c>
      <c r="J23" s="48" t="s">
        <v>46</v>
      </c>
      <c r="K23" s="53">
        <f>IFERROR(K21*K22/1000,"-")</f>
        <v>6.731725E-3</v>
      </c>
      <c r="L23" s="53">
        <f t="shared" ref="L23:O23" si="2">IFERROR(L21*L22/1000,"-")</f>
        <v>6.731725E-3</v>
      </c>
      <c r="M23" s="53">
        <f t="shared" si="2"/>
        <v>6.731725E-3</v>
      </c>
      <c r="N23" s="53">
        <f t="shared" si="2"/>
        <v>6.731725E-3</v>
      </c>
      <c r="O23" s="53">
        <f t="shared" si="2"/>
        <v>6.731725E-3</v>
      </c>
    </row>
    <row r="24" spans="3:15" hidden="1" outlineLevel="1" x14ac:dyDescent="0.25">
      <c r="C24" s="18" t="s">
        <v>255</v>
      </c>
      <c r="D24" s="18"/>
      <c r="E24" s="18"/>
      <c r="F24" s="18"/>
      <c r="G24" s="18"/>
      <c r="H24" s="18" t="s">
        <v>66</v>
      </c>
      <c r="I24" s="18" t="s">
        <v>218</v>
      </c>
      <c r="J24" s="18" t="s">
        <v>46</v>
      </c>
      <c r="K24" s="105">
        <f>IFERROR(K20-K23,"-")</f>
        <v>-6.731725E-3</v>
      </c>
      <c r="L24" s="105">
        <f t="shared" ref="L24:O24" si="3">IFERROR(L20-L23,"-")</f>
        <v>-6.731725E-3</v>
      </c>
      <c r="M24" s="105">
        <f t="shared" si="3"/>
        <v>-6.731725E-3</v>
      </c>
      <c r="N24" s="105">
        <f t="shared" si="3"/>
        <v>-6.731725E-3</v>
      </c>
      <c r="O24" s="105">
        <f t="shared" si="3"/>
        <v>-6.731725E-3</v>
      </c>
    </row>
    <row r="25" spans="3:15" hidden="1" outlineLevel="1" x14ac:dyDescent="0.25">
      <c r="C25" s="18" t="s">
        <v>256</v>
      </c>
      <c r="D25" s="71" t="str">
        <f>INDEX(Input_DecisionActual[[Actual]:[Actual]],MATCH(Calc_TU_values!$D$5,Input_DecisionActual[[VDO period]:[VDO period]],0),1)</f>
        <v>VDO 2021 - Final</v>
      </c>
      <c r="E25" s="18" t="s">
        <v>354</v>
      </c>
      <c r="F25" s="71" t="str">
        <f>IF($D25="-","-",INDEX(Inputs!$H$10:$Q$10,1,MATCH($D25,Inputs!$H$8:$Q$8,0)))</f>
        <v>F-CurrentVDO_Input</v>
      </c>
      <c r="G25" s="18"/>
      <c r="H25" s="18" t="s">
        <v>66</v>
      </c>
      <c r="I25" s="18" t="s">
        <v>218</v>
      </c>
      <c r="J25" s="18" t="s">
        <v>46</v>
      </c>
      <c r="K25" s="106">
        <f>IFERROR(K24*(INDEX(Inputs!$H$11:$Q$125,MATCH("Marginal loss factor - "&amp;K$15,Input_ForRateCalc[Cost item],0),MATCH($F25,Inputs!$H$10:$Q$10,0))*INDEX(Inputs!$H$11:$Q$125,MATCH("Distribution loss factor - "&amp;K$15,Input_ForRateCalc[Cost item],0),MATCH($F25,Inputs!$H$10:$Q$10,0))-1),"-")</f>
        <v>-4.5130993989331183E-4</v>
      </c>
      <c r="L25" s="106">
        <f>IFERROR(L24*(INDEX(Inputs!$H$11:$Q$125,MATCH("Marginal loss factor - "&amp;L$15,Input_ForRateCalc[Cost item],0),MATCH($F25,Inputs!$H$10:$Q$10,0))*INDEX(Inputs!$H$11:$Q$125,MATCH("Distribution loss factor - "&amp;L$15,Input_ForRateCalc[Cost item],0),MATCH($F25,Inputs!$H$10:$Q$10,0))-1),"-")</f>
        <v>-3.2715193263252462E-4</v>
      </c>
      <c r="M25" s="106">
        <f>IFERROR(M24*(INDEX(Inputs!$H$11:$Q$125,MATCH("Marginal loss factor - "&amp;M$15,Input_ForRateCalc[Cost item],0),MATCH($F25,Inputs!$H$10:$Q$10,0))*INDEX(Inputs!$H$11:$Q$125,MATCH("Distribution loss factor - "&amp;M$15,Input_ForRateCalc[Cost item],0),MATCH($F25,Inputs!$H$10:$Q$10,0))-1),"-")</f>
        <v>-2.534128855035571E-4</v>
      </c>
      <c r="N25" s="106">
        <f>IFERROR(N24*(INDEX(Inputs!$H$11:$Q$125,MATCH("Marginal loss factor - "&amp;N$15,Input_ForRateCalc[Cost item],0),MATCH($F25,Inputs!$H$10:$Q$10,0))*INDEX(Inputs!$H$11:$Q$125,MATCH("Distribution loss factor - "&amp;N$15,Input_ForRateCalc[Cost item],0),MATCH($F25,Inputs!$H$10:$Q$10,0))-1),"-")</f>
        <v>-4.7850348352056015E-4</v>
      </c>
      <c r="O25" s="106">
        <f>IFERROR(O24*(INDEX(Inputs!$H$11:$Q$125,MATCH("Marginal loss factor - "&amp;O$15,Input_ForRateCalc[Cost item],0),MATCH($F25,Inputs!$H$10:$Q$10,0))*INDEX(Inputs!$H$11:$Q$125,MATCH("Distribution loss factor - "&amp;O$15,Input_ForRateCalc[Cost item],0),MATCH($F25,Inputs!$H$10:$Q$10,0))-1),"-")</f>
        <v>-3.5289977099877605E-4</v>
      </c>
    </row>
    <row r="26" spans="3:15" hidden="1" outlineLevel="1" x14ac:dyDescent="0.25">
      <c r="C26" s="18" t="s">
        <v>296</v>
      </c>
      <c r="D26" s="18"/>
      <c r="E26" s="18"/>
      <c r="F26" s="18"/>
      <c r="G26" s="18"/>
      <c r="H26" s="18" t="s">
        <v>66</v>
      </c>
      <c r="I26" s="18" t="s">
        <v>218</v>
      </c>
      <c r="J26" s="18" t="s">
        <v>46</v>
      </c>
      <c r="K26" s="106" t="str">
        <f>IF($D$11="Yes",SUM(K24:K25)*$D$12,"")</f>
        <v/>
      </c>
      <c r="L26" s="106" t="str">
        <f t="shared" ref="L26:O26" si="4">IF($D$11="Yes",SUM(L24:L25)*$D$12,"")</f>
        <v/>
      </c>
      <c r="M26" s="106" t="str">
        <f t="shared" si="4"/>
        <v/>
      </c>
      <c r="N26" s="106" t="str">
        <f t="shared" si="4"/>
        <v/>
      </c>
      <c r="O26" s="106" t="str">
        <f t="shared" si="4"/>
        <v/>
      </c>
    </row>
    <row r="27" spans="3:15" hidden="1" outlineLevel="1" x14ac:dyDescent="0.25">
      <c r="C27" s="18" t="s">
        <v>257</v>
      </c>
      <c r="D27" s="71" t="str">
        <f>INDEX(Input_DecisionActual[[Actual]:[Actual]],MATCH(Calc_TU_values!$D$5,Input_DecisionActual[[VDO period]:[VDO period]],0),1)</f>
        <v>VDO 2021 - Final</v>
      </c>
      <c r="E27" s="18" t="s">
        <v>354</v>
      </c>
      <c r="F27" s="71" t="str">
        <f>IF($D27="-","-",INDEX(Inputs!$H$10:$Q$10,1,MATCH($D27,Inputs!$H$8:$Q$8,0)))</f>
        <v>F-CurrentVDO_Input</v>
      </c>
      <c r="G27" s="18"/>
      <c r="H27" s="18" t="s">
        <v>66</v>
      </c>
      <c r="I27" s="18" t="s">
        <v>218</v>
      </c>
      <c r="J27" s="18" t="s">
        <v>46</v>
      </c>
      <c r="K27" s="106">
        <f>IFERROR(SUM(K24:K26)*(INDEX(Inputs!$H$11:$Q$125,MATCH("Retail operating margin",Input_ForRateCalc[Cost item],0),MATCH($F27,Inputs!$H$10:$Q$10,0))),"-")</f>
        <v>-4.3385531036955609E-4</v>
      </c>
      <c r="L27" s="106">
        <f>IFERROR(SUM(L24:L26)*(INDEX(Inputs!$H$11:$Q$125,MATCH("Retail operating margin",Input_ForRateCalc[Cost item],0),MATCH($F27,Inputs!$H$10:$Q$10,0))),"-")</f>
        <v>-4.2635616673100451E-4</v>
      </c>
      <c r="M27" s="106">
        <f>IFERROR(SUM(M24:M26)*(INDEX(Inputs!$H$11:$Q$125,MATCH("Retail operating margin",Input_ForRateCalc[Cost item],0),MATCH($F27,Inputs!$H$10:$Q$10,0))),"-")</f>
        <v>-4.2190232828441488E-4</v>
      </c>
      <c r="N27" s="106">
        <f>IFERROR(SUM(N24:N26)*(INDEX(Inputs!$H$11:$Q$125,MATCH("Retail operating margin",Input_ForRateCalc[Cost item],0),MATCH($F27,Inputs!$H$10:$Q$10,0))),"-")</f>
        <v>-4.3549780040464184E-4</v>
      </c>
      <c r="O27" s="106">
        <f>IFERROR(SUM(O24:O26)*(INDEX(Inputs!$H$11:$Q$125,MATCH("Retail operating margin",Input_ForRateCalc[Cost item],0),MATCH($F27,Inputs!$H$10:$Q$10,0))),"-")</f>
        <v>-4.2791133616832609E-4</v>
      </c>
    </row>
    <row r="28" spans="3:15" hidden="1" outlineLevel="1" x14ac:dyDescent="0.25">
      <c r="C28" s="18" t="s">
        <v>297</v>
      </c>
      <c r="D28" s="18"/>
      <c r="E28" s="18"/>
      <c r="F28" s="18"/>
      <c r="G28" s="18"/>
      <c r="H28" s="18" t="s">
        <v>66</v>
      </c>
      <c r="I28" s="18" t="s">
        <v>218</v>
      </c>
      <c r="J28" s="18" t="s">
        <v>46</v>
      </c>
      <c r="K28" s="106">
        <f>SUM(K24:K27)*GST</f>
        <v>-7.6168902502628689E-4</v>
      </c>
      <c r="L28" s="106">
        <f>SUM(L24:L27)*GST</f>
        <v>-7.4852330993635291E-4</v>
      </c>
      <c r="M28" s="106">
        <f>SUM(M24:M27)*GST</f>
        <v>-7.4070402137879719E-4</v>
      </c>
      <c r="N28" s="106">
        <f>SUM(N24:N27)*GST</f>
        <v>-7.6457262839252024E-4</v>
      </c>
      <c r="O28" s="106">
        <f>SUM(O24:O27)*GST</f>
        <v>-7.5125361071671029E-4</v>
      </c>
    </row>
    <row r="29" spans="3:15" hidden="1" outlineLevel="1" x14ac:dyDescent="0.25">
      <c r="C29" s="48" t="s">
        <v>258</v>
      </c>
      <c r="D29" s="48"/>
      <c r="E29" s="48"/>
      <c r="F29" s="48"/>
      <c r="H29" s="48" t="s">
        <v>66</v>
      </c>
      <c r="I29" s="48" t="s">
        <v>218</v>
      </c>
      <c r="J29" s="48" t="s">
        <v>46</v>
      </c>
      <c r="K29" s="106">
        <f>SUM(K24:K28)</f>
        <v>-8.3785792752891549E-3</v>
      </c>
      <c r="L29" s="106">
        <f t="shared" ref="L29:O29" si="5">SUM(L24:L28)</f>
        <v>-8.2337564092998822E-3</v>
      </c>
      <c r="M29" s="106">
        <f t="shared" si="5"/>
        <v>-8.1477442351667699E-3</v>
      </c>
      <c r="N29" s="106">
        <f t="shared" si="5"/>
        <v>-8.4102989123177232E-3</v>
      </c>
      <c r="O29" s="106">
        <f t="shared" si="5"/>
        <v>-8.2637897178838137E-3</v>
      </c>
    </row>
    <row r="30" spans="3:15" hidden="1" outlineLevel="1" x14ac:dyDescent="0.25">
      <c r="C30" s="18"/>
      <c r="D30" s="18"/>
      <c r="E30" s="18"/>
      <c r="F30" s="18"/>
      <c r="G30" s="18"/>
      <c r="H30" s="18"/>
      <c r="I30" s="18"/>
      <c r="J30" s="18"/>
      <c r="K30" s="106"/>
      <c r="L30" s="106"/>
      <c r="M30" s="106"/>
      <c r="N30" s="106"/>
      <c r="O30" s="106"/>
    </row>
    <row r="31" spans="3:15" hidden="1" outlineLevel="1" x14ac:dyDescent="0.25">
      <c r="C31" s="46" t="s">
        <v>259</v>
      </c>
      <c r="D31" s="46"/>
      <c r="E31" s="46"/>
      <c r="F31" s="46"/>
      <c r="G31" s="57" t="s">
        <v>253</v>
      </c>
      <c r="H31" s="57"/>
      <c r="I31" s="18"/>
      <c r="J31" s="18"/>
      <c r="K31" s="18"/>
      <c r="L31" s="18"/>
      <c r="M31" s="18"/>
      <c r="N31" s="18"/>
      <c r="O31" s="18"/>
    </row>
    <row r="32" spans="3:15" hidden="1" outlineLevel="1" x14ac:dyDescent="0.25">
      <c r="C32" s="18" t="s">
        <v>91</v>
      </c>
      <c r="D32" s="71" t="str">
        <f>Calc_TU_values!$D$5</f>
        <v>VDO 2021 - Variation final</v>
      </c>
      <c r="E32" s="18" t="s">
        <v>353</v>
      </c>
      <c r="F32" s="71" t="str">
        <f>INDEX(Inputs!$H$10:$Q$10,1,MATCH($D32,Inputs!$H$8:$Q$8,0))</f>
        <v>VF-CurrentVDO_Input</v>
      </c>
      <c r="G32" s="47"/>
      <c r="H32" s="18" t="s">
        <v>66</v>
      </c>
      <c r="I32" s="18" t="s">
        <v>89</v>
      </c>
      <c r="J32" s="48" t="s">
        <v>46</v>
      </c>
      <c r="K32" s="54">
        <f>IFERROR(INDEX(Input_TUEnv_Actual[],MATCH($C32,Input_TUEnv_Actual[Cost item],0),MATCH($F32,Input_TUEnv_Actual[#Headers],0)),"-")</f>
        <v>0</v>
      </c>
      <c r="L32" s="54">
        <f>IFERROR(INDEX(Input_TUEnv_Actual[],MATCH($C32,Input_TUEnv_Actual[Cost item],0),MATCH($F32,Input_TUEnv_Actual[#Headers],0)),"-")</f>
        <v>0</v>
      </c>
      <c r="M32" s="54">
        <f>IFERROR(INDEX(Input_TUEnv_Actual[],MATCH($C32,Input_TUEnv_Actual[Cost item],0),MATCH($F32,Input_TUEnv_Actual[#Headers],0)),"-")</f>
        <v>0</v>
      </c>
      <c r="N32" s="54">
        <f>IFERROR(INDEX(Input_TUEnv_Actual[],MATCH($C32,Input_TUEnv_Actual[Cost item],0),MATCH($F32,Input_TUEnv_Actual[#Headers],0)),"-")</f>
        <v>0</v>
      </c>
      <c r="O32" s="54">
        <f>IFERROR(INDEX(Input_TUEnv_Actual[],MATCH($C32,Input_TUEnv_Actual[Cost item],0),MATCH($F32,Input_TUEnv_Actual[#Headers],0)),"-")</f>
        <v>0</v>
      </c>
    </row>
    <row r="33" spans="3:15" hidden="1" outlineLevel="1" x14ac:dyDescent="0.25">
      <c r="C33" s="48" t="s">
        <v>95</v>
      </c>
      <c r="D33" s="71" t="str">
        <f>Calc_TU_values!$D$5</f>
        <v>VDO 2021 - Variation final</v>
      </c>
      <c r="E33" s="18" t="s">
        <v>353</v>
      </c>
      <c r="F33" s="71" t="str">
        <f>INDEX(Inputs!$H$10:$Q$10,1,MATCH($D33,Inputs!$H$8:$Q$8,0))</f>
        <v>VF-CurrentVDO_Input</v>
      </c>
      <c r="G33" s="47"/>
      <c r="H33" s="18" t="s">
        <v>66</v>
      </c>
      <c r="I33" s="18" t="s">
        <v>93</v>
      </c>
      <c r="J33" s="48" t="s">
        <v>46</v>
      </c>
      <c r="K33" s="56">
        <f>IFERROR(INDEX(Input_TUEnv_Actual[],MATCH($C33,Input_TUEnv_Actual[Cost item],0),MATCH($F33,Input_TUEnv_Actual[#Headers],0)),"-")</f>
        <v>0</v>
      </c>
      <c r="L33" s="56">
        <f>IFERROR(INDEX(Input_TUEnv_Actual[],MATCH($C33,Input_TUEnv_Actual[Cost item],0),MATCH($F33,Input_TUEnv_Actual[#Headers],0)),"-")</f>
        <v>0</v>
      </c>
      <c r="M33" s="56">
        <f>IFERROR(INDEX(Input_TUEnv_Actual[],MATCH($C33,Input_TUEnv_Actual[Cost item],0),MATCH($F33,Input_TUEnv_Actual[#Headers],0)),"-")</f>
        <v>0</v>
      </c>
      <c r="N33" s="56">
        <f>IFERROR(INDEX(Input_TUEnv_Actual[],MATCH($C33,Input_TUEnv_Actual[Cost item],0),MATCH($F33,Input_TUEnv_Actual[#Headers],0)),"-")</f>
        <v>0</v>
      </c>
      <c r="O33" s="56">
        <f>IFERROR(INDEX(Input_TUEnv_Actual[],MATCH($C33,Input_TUEnv_Actual[Cost item],0),MATCH($F33,Input_TUEnv_Actual[#Headers],0)),"-")</f>
        <v>0</v>
      </c>
    </row>
    <row r="34" spans="3:15" hidden="1" outlineLevel="1" x14ac:dyDescent="0.25">
      <c r="C34" s="18" t="s">
        <v>254</v>
      </c>
      <c r="D34" s="71" t="str">
        <f>Calc_TU_values!$D$5</f>
        <v>VDO 2021 - Variation final</v>
      </c>
      <c r="E34" s="18" t="s">
        <v>353</v>
      </c>
      <c r="F34" s="71" t="str">
        <f>INDEX(Inputs!$H$10:$Q$10,1,MATCH($D34,Inputs!$H$8:$Q$8,0))</f>
        <v>VF-CurrentVDO_Input</v>
      </c>
      <c r="G34" s="47"/>
      <c r="H34" s="18" t="s">
        <v>66</v>
      </c>
      <c r="I34" s="18" t="s">
        <v>218</v>
      </c>
      <c r="J34" s="48" t="s">
        <v>46</v>
      </c>
      <c r="K34" s="53">
        <f>K32*K33/1000</f>
        <v>0</v>
      </c>
      <c r="L34" s="53">
        <f t="shared" ref="L34" si="6">L32*L33/1000</f>
        <v>0</v>
      </c>
      <c r="M34" s="53">
        <f t="shared" ref="M34" si="7">M32*M33/1000</f>
        <v>0</v>
      </c>
      <c r="N34" s="53">
        <f t="shared" ref="N34" si="8">N32*N33/1000</f>
        <v>0</v>
      </c>
      <c r="O34" s="53">
        <f t="shared" ref="O34" si="9">O32*O33/1000</f>
        <v>0</v>
      </c>
    </row>
    <row r="35" spans="3:15" hidden="1" outlineLevel="1" x14ac:dyDescent="0.25">
      <c r="C35" s="18" t="s">
        <v>91</v>
      </c>
      <c r="D35" s="71" t="str">
        <f>INDEX(Input_DecisionActual[[Actual]:[Actual]],MATCH(Calc_TU_values!$D$5,Input_DecisionActual[[VDO period]:[VDO period]],0),1)</f>
        <v>VDO 2021 - Final</v>
      </c>
      <c r="E35" s="18" t="s">
        <v>354</v>
      </c>
      <c r="F35" s="71" t="str">
        <f>IF($D35="-","-",INDEX(Inputs!$H$10:$Q$10,1,MATCH($D35,Inputs!$H$8:$Q$8,0)))</f>
        <v>F-CurrentVDO_Input</v>
      </c>
      <c r="G35" s="47"/>
      <c r="H35" s="18" t="s">
        <v>66</v>
      </c>
      <c r="I35" s="18" t="s">
        <v>89</v>
      </c>
      <c r="J35" s="48" t="s">
        <v>46</v>
      </c>
      <c r="K35" s="55">
        <f>IFERROR(INDEX(Inputs!$H$11:$Q$125,MATCH($C35,Input_ForRateCalc[Cost item],0),MATCH($F35,Inputs!$H$10:$Q$10,0)),"-")</f>
        <v>40</v>
      </c>
      <c r="L35" s="55">
        <f>IFERROR(INDEX(Inputs!$H$11:$Q$125,MATCH($C35,Input_ForRateCalc[Cost item],0),MATCH($F35,Inputs!$H$10:$Q$10,0)),"-")</f>
        <v>40</v>
      </c>
      <c r="M35" s="55">
        <f>IFERROR(INDEX(Inputs!$H$11:$Q$125,MATCH($C35,Input_ForRateCalc[Cost item],0),MATCH($F35,Inputs!$H$10:$Q$10,0)),"-")</f>
        <v>40</v>
      </c>
      <c r="N35" s="55">
        <f>IFERROR(INDEX(Inputs!$H$11:$Q$125,MATCH($C35,Input_ForRateCalc[Cost item],0),MATCH($F35,Inputs!$H$10:$Q$10,0)),"-")</f>
        <v>40</v>
      </c>
      <c r="O35" s="55">
        <f>IFERROR(INDEX(Inputs!$H$11:$Q$125,MATCH($C35,Input_ForRateCalc[Cost item],0),MATCH($F35,Inputs!$H$10:$Q$10,0)),"-")</f>
        <v>40</v>
      </c>
    </row>
    <row r="36" spans="3:15" hidden="1" outlineLevel="1" x14ac:dyDescent="0.25">
      <c r="C36" s="48" t="s">
        <v>95</v>
      </c>
      <c r="D36" s="71" t="str">
        <f>INDEX(Input_DecisionActual[[Actual]:[Actual]],MATCH(Calc_TU_values!$D$5,Input_DecisionActual[[VDO period]:[VDO period]],0),1)</f>
        <v>VDO 2021 - Final</v>
      </c>
      <c r="E36" s="18" t="s">
        <v>354</v>
      </c>
      <c r="F36" s="71" t="str">
        <f>IF($D36="-","-",INDEX(Inputs!$H$10:$Q$10,1,MATCH($D36,Inputs!$H$8:$Q$8,0)))</f>
        <v>F-CurrentVDO_Input</v>
      </c>
      <c r="G36" s="47"/>
      <c r="H36" s="18" t="s">
        <v>66</v>
      </c>
      <c r="I36" s="18" t="s">
        <v>93</v>
      </c>
      <c r="J36" s="48" t="s">
        <v>46</v>
      </c>
      <c r="K36" s="56">
        <f>IFERROR(INDEX(Inputs!$H$11:$Q$125,MATCH($C36,Input_ForRateCalc[Cost item],0),MATCH($F36,Inputs!$H$10:$Q$10,0)),"-")</f>
        <v>0.219</v>
      </c>
      <c r="L36" s="56">
        <f>IFERROR(INDEX(Inputs!$H$11:$Q$125,MATCH($C36,Input_ForRateCalc[Cost item],0),MATCH($F36,Inputs!$H$10:$Q$10,0)),"-")</f>
        <v>0.219</v>
      </c>
      <c r="M36" s="56">
        <f>IFERROR(INDEX(Inputs!$H$11:$Q$125,MATCH($C36,Input_ForRateCalc[Cost item],0),MATCH($F36,Inputs!$H$10:$Q$10,0)),"-")</f>
        <v>0.219</v>
      </c>
      <c r="N36" s="56">
        <f>IFERROR(INDEX(Inputs!$H$11:$Q$125,MATCH($C36,Input_ForRateCalc[Cost item],0),MATCH($F36,Inputs!$H$10:$Q$10,0)),"-")</f>
        <v>0.219</v>
      </c>
      <c r="O36" s="56">
        <f>IFERROR(INDEX(Inputs!$H$11:$Q$125,MATCH($C36,Input_ForRateCalc[Cost item],0),MATCH($F36,Inputs!$H$10:$Q$10,0)),"-")</f>
        <v>0.219</v>
      </c>
    </row>
    <row r="37" spans="3:15" hidden="1" outlineLevel="1" x14ac:dyDescent="0.25">
      <c r="C37" s="18" t="s">
        <v>254</v>
      </c>
      <c r="D37" s="71" t="str">
        <f>INDEX(Input_DecisionActual[[Actual]:[Actual]],MATCH(Calc_TU_values!$D$5,Input_DecisionActual[[VDO period]:[VDO period]],0),1)</f>
        <v>VDO 2021 - Final</v>
      </c>
      <c r="E37" s="18" t="s">
        <v>354</v>
      </c>
      <c r="F37" s="71" t="str">
        <f>IF($D37="-","-",INDEX(Inputs!$H$10:$Q$10,1,MATCH($D37,Inputs!$H$8:$Q$8,0)))</f>
        <v>F-CurrentVDO_Input</v>
      </c>
      <c r="G37" s="47"/>
      <c r="H37" s="18" t="s">
        <v>66</v>
      </c>
      <c r="I37" s="18" t="s">
        <v>218</v>
      </c>
      <c r="J37" s="48" t="s">
        <v>46</v>
      </c>
      <c r="K37" s="53">
        <f>IFERROR(K35*K36/1000,"-")</f>
        <v>8.7600000000000004E-3</v>
      </c>
      <c r="L37" s="53">
        <f t="shared" ref="L37" si="10">IFERROR(L35*L36/1000,"-")</f>
        <v>8.7600000000000004E-3</v>
      </c>
      <c r="M37" s="53">
        <f t="shared" ref="M37" si="11">IFERROR(M35*M36/1000,"-")</f>
        <v>8.7600000000000004E-3</v>
      </c>
      <c r="N37" s="53">
        <f t="shared" ref="N37" si="12">IFERROR(N35*N36/1000,"-")</f>
        <v>8.7600000000000004E-3</v>
      </c>
      <c r="O37" s="53">
        <f t="shared" ref="O37" si="13">IFERROR(O35*O36/1000,"-")</f>
        <v>8.7600000000000004E-3</v>
      </c>
    </row>
    <row r="38" spans="3:15" hidden="1" outlineLevel="1" x14ac:dyDescent="0.25">
      <c r="C38" s="18" t="s">
        <v>255</v>
      </c>
      <c r="D38" s="18"/>
      <c r="E38" s="18"/>
      <c r="F38" s="18"/>
      <c r="G38" s="18"/>
      <c r="H38" s="18" t="s">
        <v>66</v>
      </c>
      <c r="I38" s="18" t="s">
        <v>218</v>
      </c>
      <c r="J38" s="18" t="s">
        <v>46</v>
      </c>
      <c r="K38" s="105">
        <f>IFERROR(K34-K37,"-")</f>
        <v>-8.7600000000000004E-3</v>
      </c>
      <c r="L38" s="105">
        <f t="shared" ref="L38" si="14">IFERROR(L34-L37,"-")</f>
        <v>-8.7600000000000004E-3</v>
      </c>
      <c r="M38" s="105">
        <f t="shared" ref="M38" si="15">IFERROR(M34-M37,"-")</f>
        <v>-8.7600000000000004E-3</v>
      </c>
      <c r="N38" s="105">
        <f t="shared" ref="N38" si="16">IFERROR(N34-N37,"-")</f>
        <v>-8.7600000000000004E-3</v>
      </c>
      <c r="O38" s="105">
        <f t="shared" ref="O38" si="17">IFERROR(O34-O37,"-")</f>
        <v>-8.7600000000000004E-3</v>
      </c>
    </row>
    <row r="39" spans="3:15" hidden="1" outlineLevel="1" x14ac:dyDescent="0.25">
      <c r="C39" s="18" t="s">
        <v>256</v>
      </c>
      <c r="D39" s="71" t="str">
        <f>INDEX(Input_DecisionActual[[Actual]:[Actual]],MATCH(Calc_TU_values!$D$5,Input_DecisionActual[[VDO period]:[VDO period]],0),1)</f>
        <v>VDO 2021 - Final</v>
      </c>
      <c r="E39" s="18" t="s">
        <v>354</v>
      </c>
      <c r="F39" s="71" t="str">
        <f>IF($D39="-","-",INDEX(Inputs!$H$10:$Q$10,1,MATCH($D39,Inputs!$H$8:$Q$8,0)))</f>
        <v>F-CurrentVDO_Input</v>
      </c>
      <c r="G39" s="18"/>
      <c r="H39" s="18" t="s">
        <v>66</v>
      </c>
      <c r="I39" s="18" t="s">
        <v>218</v>
      </c>
      <c r="J39" s="18" t="s">
        <v>46</v>
      </c>
      <c r="K39" s="106">
        <f>IFERROR(K38*(INDEX(Inputs!$H$11:$Q$125,MATCH("Marginal loss factor - "&amp;K$15,Input_ForRateCalc[Cost item],0),MATCH($F39,Inputs!$H$10:$Q$10,0))*INDEX(Inputs!$H$11:$Q$125,MATCH("Distribution loss factor - "&amp;K$15,Input_ForRateCalc[Cost item],0),MATCH($F39,Inputs!$H$10:$Q$10,0))-1),"-")</f>
        <v>-5.8729004429999919E-4</v>
      </c>
      <c r="L39" s="106">
        <f>IFERROR(L38*(INDEX(Inputs!$H$11:$Q$125,MATCH("Marginal loss factor - "&amp;L$15,Input_ForRateCalc[Cost item],0),MATCH($F39,Inputs!$H$10:$Q$10,0))*INDEX(Inputs!$H$11:$Q$125,MATCH("Distribution loss factor - "&amp;L$15,Input_ForRateCalc[Cost item],0),MATCH($F39,Inputs!$H$10:$Q$10,0))-1),"-")</f>
        <v>-4.2572311403999953E-4</v>
      </c>
      <c r="M39" s="106">
        <f>IFERROR(M38*(INDEX(Inputs!$H$11:$Q$125,MATCH("Marginal loss factor - "&amp;M$15,Input_ForRateCalc[Cost item],0),MATCH($F39,Inputs!$H$10:$Q$10,0))*INDEX(Inputs!$H$11:$Q$125,MATCH("Distribution loss factor - "&amp;M$15,Input_ForRateCalc[Cost item],0),MATCH($F39,Inputs!$H$10:$Q$10,0))-1),"-")</f>
        <v>-3.2976642346666869E-4</v>
      </c>
      <c r="N39" s="106">
        <f>IFERROR(N38*(INDEX(Inputs!$H$11:$Q$125,MATCH("Marginal loss factor - "&amp;N$15,Input_ForRateCalc[Cost item],0),MATCH($F39,Inputs!$H$10:$Q$10,0))*INDEX(Inputs!$H$11:$Q$125,MATCH("Distribution loss factor - "&amp;N$15,Input_ForRateCalc[Cost item],0),MATCH($F39,Inputs!$H$10:$Q$10,0))-1),"-")</f>
        <v>-6.2267702789999696E-4</v>
      </c>
      <c r="O39" s="106">
        <f>IFERROR(O38*(INDEX(Inputs!$H$11:$Q$125,MATCH("Marginal loss factor - "&amp;O$15,Input_ForRateCalc[Cost item],0),MATCH($F39,Inputs!$H$10:$Q$10,0))*INDEX(Inputs!$H$11:$Q$125,MATCH("Distribution loss factor - "&amp;O$15,Input_ForRateCalc[Cost item],0),MATCH($F39,Inputs!$H$10:$Q$10,0))-1),"-")</f>
        <v>-4.5922880004000143E-4</v>
      </c>
    </row>
    <row r="40" spans="3:15" hidden="1" outlineLevel="1" x14ac:dyDescent="0.25">
      <c r="C40" s="18" t="s">
        <v>296</v>
      </c>
      <c r="D40" s="18"/>
      <c r="E40" s="18"/>
      <c r="F40" s="18"/>
      <c r="G40" s="18"/>
      <c r="H40" s="18" t="s">
        <v>66</v>
      </c>
      <c r="I40" s="18" t="s">
        <v>218</v>
      </c>
      <c r="J40" s="18" t="s">
        <v>46</v>
      </c>
      <c r="K40" s="106" t="str">
        <f>IF($D$11="Yes",SUM(K38:K39)*$D$12,"")</f>
        <v/>
      </c>
      <c r="L40" s="106" t="str">
        <f t="shared" ref="L40" si="18">IF($D$11="Yes",SUM(L38:L39)*$D$12,"")</f>
        <v/>
      </c>
      <c r="M40" s="106" t="str">
        <f t="shared" ref="M40" si="19">IF($D$11="Yes",SUM(M38:M39)*$D$12,"")</f>
        <v/>
      </c>
      <c r="N40" s="106" t="str">
        <f t="shared" ref="N40" si="20">IF($D$11="Yes",SUM(N38:N39)*$D$12,"")</f>
        <v/>
      </c>
      <c r="O40" s="106" t="str">
        <f t="shared" ref="O40" si="21">IF($D$11="Yes",SUM(O38:O39)*$D$12,"")</f>
        <v/>
      </c>
    </row>
    <row r="41" spans="3:15" hidden="1" outlineLevel="1" x14ac:dyDescent="0.25">
      <c r="C41" s="18" t="s">
        <v>257</v>
      </c>
      <c r="D41" s="71" t="str">
        <f>INDEX(Input_DecisionActual[[Actual]:[Actual]],MATCH(Calc_TU_values!$D$5,Input_DecisionActual[[VDO period]:[VDO period]],0),1)</f>
        <v>VDO 2021 - Final</v>
      </c>
      <c r="E41" s="18" t="s">
        <v>354</v>
      </c>
      <c r="F41" s="71" t="str">
        <f>IF($D41="-","-",INDEX(Inputs!$H$10:$Q$10,1,MATCH($D41,Inputs!$H$8:$Q$8,0)))</f>
        <v>F-CurrentVDO_Input</v>
      </c>
      <c r="G41" s="18"/>
      <c r="H41" s="18" t="s">
        <v>66</v>
      </c>
      <c r="I41" s="18" t="s">
        <v>218</v>
      </c>
      <c r="J41" s="18" t="s">
        <v>46</v>
      </c>
      <c r="K41" s="106">
        <f>IFERROR(SUM(K38:K40)*(INDEX(Inputs!$H$11:$Q$125,MATCH("Retail operating margin",Input_ForRateCalc[Cost item],0),MATCH($F41,Inputs!$H$10:$Q$10,0))),"-")</f>
        <v>-5.6457631867571994E-4</v>
      </c>
      <c r="L41" s="106">
        <f>IFERROR(SUM(L38:L40)*(INDEX(Inputs!$H$11:$Q$125,MATCH("Retail operating margin",Input_ForRateCalc[Cost item],0),MATCH($F41,Inputs!$H$10:$Q$10,0))),"-")</f>
        <v>-5.5481767608801596E-4</v>
      </c>
      <c r="M41" s="106">
        <f>IFERROR(SUM(M38:M40)*(INDEX(Inputs!$H$11:$Q$125,MATCH("Retail operating margin",Input_ForRateCalc[Cost item],0),MATCH($F41,Inputs!$H$10:$Q$10,0))),"-")</f>
        <v>-5.4902189197738682E-4</v>
      </c>
      <c r="N41" s="106">
        <f>IFERROR(SUM(N38:N40)*(INDEX(Inputs!$H$11:$Q$125,MATCH("Retail operating margin",Input_ForRateCalc[Cost item],0),MATCH($F41,Inputs!$H$10:$Q$10,0))),"-")</f>
        <v>-5.6671369248515987E-4</v>
      </c>
      <c r="O41" s="106">
        <f>IFERROR(SUM(O38:O40)*(INDEX(Inputs!$H$11:$Q$125,MATCH("Retail operating margin",Input_ForRateCalc[Cost item],0),MATCH($F41,Inputs!$H$10:$Q$10,0))),"-")</f>
        <v>-5.5684141952241613E-4</v>
      </c>
    </row>
    <row r="42" spans="3:15" hidden="1" outlineLevel="1" x14ac:dyDescent="0.25">
      <c r="C42" s="18" t="s">
        <v>297</v>
      </c>
      <c r="D42" s="18"/>
      <c r="E42" s="18"/>
      <c r="F42" s="18"/>
      <c r="G42" s="18"/>
      <c r="H42" s="18" t="s">
        <v>66</v>
      </c>
      <c r="I42" s="18" t="s">
        <v>218</v>
      </c>
      <c r="J42" s="18" t="s">
        <v>46</v>
      </c>
      <c r="K42" s="106">
        <f>SUM(K38:K41)*GST</f>
        <v>-9.9118663629757194E-4</v>
      </c>
      <c r="L42" s="106">
        <f>SUM(L38:L41)*GST</f>
        <v>-9.7405407901280164E-4</v>
      </c>
      <c r="M42" s="106">
        <f>SUM(M38:M41)*GST</f>
        <v>-9.6387883154440553E-4</v>
      </c>
      <c r="N42" s="106">
        <f>SUM(N38:N41)*GST</f>
        <v>-9.949390720385158E-4</v>
      </c>
      <c r="O42" s="106">
        <f>SUM(O38:O41)*GST</f>
        <v>-9.7760702195624186E-4</v>
      </c>
    </row>
    <row r="43" spans="3:15" hidden="1" outlineLevel="1" x14ac:dyDescent="0.25">
      <c r="C43" s="48" t="s">
        <v>260</v>
      </c>
      <c r="D43" s="48"/>
      <c r="E43" s="48"/>
      <c r="F43" s="48"/>
      <c r="H43" s="48" t="s">
        <v>66</v>
      </c>
      <c r="I43" s="48" t="s">
        <v>218</v>
      </c>
      <c r="J43" s="48" t="s">
        <v>46</v>
      </c>
      <c r="K43" s="106">
        <f>SUM(K38:K42)</f>
        <v>-1.0903052999273291E-2</v>
      </c>
      <c r="L43" s="106">
        <f t="shared" ref="L43" si="22">SUM(L38:L42)</f>
        <v>-1.0714594869140818E-2</v>
      </c>
      <c r="M43" s="106">
        <f t="shared" ref="M43" si="23">SUM(M38:M42)</f>
        <v>-1.0602667146988461E-2</v>
      </c>
      <c r="N43" s="106">
        <f t="shared" ref="N43" si="24">SUM(N38:N42)</f>
        <v>-1.0944329792423673E-2</v>
      </c>
      <c r="O43" s="106">
        <f t="shared" ref="O43" si="25">SUM(O38:O42)</f>
        <v>-1.0753677241518661E-2</v>
      </c>
    </row>
    <row r="44" spans="3:15" hidden="1" outlineLevel="1" x14ac:dyDescent="0.25">
      <c r="C44" s="103"/>
      <c r="D44" s="103"/>
      <c r="E44" s="103"/>
      <c r="F44" s="103"/>
      <c r="G44" s="103"/>
      <c r="H44" s="103"/>
      <c r="I44" s="103"/>
      <c r="J44" s="103"/>
      <c r="K44" s="109"/>
      <c r="L44" s="109"/>
      <c r="M44" s="109"/>
      <c r="N44" s="109"/>
      <c r="O44" s="109"/>
    </row>
    <row r="45" spans="3:15" hidden="1" outlineLevel="1" x14ac:dyDescent="0.25">
      <c r="C45" s="46" t="s">
        <v>261</v>
      </c>
      <c r="D45" s="46"/>
      <c r="E45" s="46"/>
      <c r="F45" s="46"/>
      <c r="G45" s="57" t="s">
        <v>253</v>
      </c>
      <c r="H45" s="57"/>
      <c r="I45" s="18"/>
      <c r="J45" s="18"/>
      <c r="K45" s="18"/>
      <c r="L45" s="18"/>
      <c r="M45" s="18"/>
      <c r="N45" s="18"/>
      <c r="O45" s="18"/>
    </row>
    <row r="46" spans="3:15" hidden="1" outlineLevel="1" x14ac:dyDescent="0.25">
      <c r="C46" s="18" t="s">
        <v>88</v>
      </c>
      <c r="D46" s="71" t="str">
        <f>Calc_TU_values!$D$5</f>
        <v>VDO 2021 - Variation final</v>
      </c>
      <c r="E46" s="18" t="s">
        <v>353</v>
      </c>
      <c r="F46" s="71" t="str">
        <f>INDEX(Inputs!$H$10:$Q$10,1,MATCH($D46,Inputs!$H$8:$Q$8,0))</f>
        <v>VF-CurrentVDO_Input</v>
      </c>
      <c r="G46" s="47"/>
      <c r="H46" s="18" t="s">
        <v>66</v>
      </c>
      <c r="I46" s="18" t="s">
        <v>89</v>
      </c>
      <c r="J46" s="48" t="s">
        <v>46</v>
      </c>
      <c r="K46" s="54">
        <f>IFERROR(INDEX(Input_TUEnv_Actual[],MATCH($C46,Input_TUEnv_Actual[Cost item],0),MATCH($F46,Input_TUEnv_Actual[#Headers],0)),"-")</f>
        <v>0</v>
      </c>
      <c r="L46" s="54">
        <f>IFERROR(INDEX(Input_TUEnv_Actual[],MATCH($C46,Input_TUEnv_Actual[Cost item],0),MATCH($F46,Input_TUEnv_Actual[#Headers],0)),"-")</f>
        <v>0</v>
      </c>
      <c r="M46" s="54">
        <f>IFERROR(INDEX(Input_TUEnv_Actual[],MATCH($C46,Input_TUEnv_Actual[Cost item],0),MATCH($F46,Input_TUEnv_Actual[#Headers],0)),"-")</f>
        <v>0</v>
      </c>
      <c r="N46" s="54">
        <f>IFERROR(INDEX(Input_TUEnv_Actual[],MATCH($C46,Input_TUEnv_Actual[Cost item],0),MATCH($F46,Input_TUEnv_Actual[#Headers],0)),"-")</f>
        <v>0</v>
      </c>
      <c r="O46" s="54">
        <f>IFERROR(INDEX(Input_TUEnv_Actual[],MATCH($C46,Input_TUEnv_Actual[Cost item],0),MATCH($F46,Input_TUEnv_Actual[#Headers],0)),"-")</f>
        <v>0</v>
      </c>
    </row>
    <row r="47" spans="3:15" hidden="1" outlineLevel="1" x14ac:dyDescent="0.25">
      <c r="C47" s="18" t="s">
        <v>92</v>
      </c>
      <c r="D47" s="71" t="str">
        <f>Calc_TU_values!$D$5</f>
        <v>VDO 2021 - Variation final</v>
      </c>
      <c r="E47" s="18" t="s">
        <v>353</v>
      </c>
      <c r="F47" s="71" t="str">
        <f>INDEX(Inputs!$H$10:$Q$10,1,MATCH($D47,Inputs!$H$8:$Q$8,0))</f>
        <v>VF-CurrentVDO_Input</v>
      </c>
      <c r="G47" s="47"/>
      <c r="H47" s="18" t="s">
        <v>66</v>
      </c>
      <c r="I47" s="18" t="s">
        <v>93</v>
      </c>
      <c r="J47" s="48" t="s">
        <v>46</v>
      </c>
      <c r="K47" s="56">
        <f>IFERROR(INDEX(Input_TUEnv_Actual[],MATCH($C47,Input_TUEnv_Actual[Cost item],0),MATCH($F47,Input_TUEnv_Actual[#Headers],0)),"-")</f>
        <v>0</v>
      </c>
      <c r="L47" s="56">
        <f>IFERROR(INDEX(Input_TUEnv_Actual[],MATCH($C47,Input_TUEnv_Actual[Cost item],0),MATCH($F47,Input_TUEnv_Actual[#Headers],0)),"-")</f>
        <v>0</v>
      </c>
      <c r="M47" s="56">
        <f>IFERROR(INDEX(Input_TUEnv_Actual[],MATCH($C47,Input_TUEnv_Actual[Cost item],0),MATCH($F47,Input_TUEnv_Actual[#Headers],0)),"-")</f>
        <v>0</v>
      </c>
      <c r="N47" s="56">
        <f>IFERROR(INDEX(Input_TUEnv_Actual[],MATCH($C47,Input_TUEnv_Actual[Cost item],0),MATCH($F47,Input_TUEnv_Actual[#Headers],0)),"-")</f>
        <v>0</v>
      </c>
      <c r="O47" s="56">
        <f>IFERROR(INDEX(Input_TUEnv_Actual[],MATCH($C47,Input_TUEnv_Actual[Cost item],0),MATCH($F47,Input_TUEnv_Actual[#Headers],0)),"-")</f>
        <v>0</v>
      </c>
    </row>
    <row r="48" spans="3:15" hidden="1" outlineLevel="1" x14ac:dyDescent="0.25">
      <c r="C48" s="18" t="s">
        <v>254</v>
      </c>
      <c r="D48" s="71" t="str">
        <f>Calc_TU_values!$D$5</f>
        <v>VDO 2021 - Variation final</v>
      </c>
      <c r="E48" s="18" t="s">
        <v>353</v>
      </c>
      <c r="F48" s="71" t="str">
        <f>INDEX(Inputs!$H$10:$Q$10,1,MATCH($D48,Inputs!$H$8:$Q$8,0))</f>
        <v>VF-CurrentVDO_Input</v>
      </c>
      <c r="G48" s="47"/>
      <c r="H48" s="18" t="s">
        <v>66</v>
      </c>
      <c r="I48" s="18" t="s">
        <v>218</v>
      </c>
      <c r="J48" s="48" t="s">
        <v>46</v>
      </c>
      <c r="K48" s="53">
        <f>K46*K47/1000</f>
        <v>0</v>
      </c>
      <c r="L48" s="53">
        <f t="shared" ref="L48" si="26">L46*L47/1000</f>
        <v>0</v>
      </c>
      <c r="M48" s="53">
        <f t="shared" ref="M48" si="27">M46*M47/1000</f>
        <v>0</v>
      </c>
      <c r="N48" s="53">
        <f t="shared" ref="N48" si="28">N46*N47/1000</f>
        <v>0</v>
      </c>
      <c r="O48" s="53">
        <f t="shared" ref="O48" si="29">O46*O47/1000</f>
        <v>0</v>
      </c>
    </row>
    <row r="49" spans="2:17" hidden="1" outlineLevel="1" x14ac:dyDescent="0.25">
      <c r="C49" s="18" t="s">
        <v>88</v>
      </c>
      <c r="D49" s="71" t="str">
        <f>INDEX(Input_DecisionActual[[Actual]:[Actual]],MATCH(Calc_TU_values!$D$5,Input_DecisionActual[[VDO period]:[VDO period]],0),1)</f>
        <v>VDO 2021 - Final</v>
      </c>
      <c r="E49" s="18" t="s">
        <v>354</v>
      </c>
      <c r="F49" s="71" t="str">
        <f>IF($D49="-","-",INDEX(Inputs!$H$10:$Q$10,1,MATCH($D49,Inputs!$H$8:$Q$8,0)))</f>
        <v>F-CurrentVDO_Input</v>
      </c>
      <c r="G49" s="47"/>
      <c r="H49" s="18" t="s">
        <v>66</v>
      </c>
      <c r="I49" s="18" t="s">
        <v>89</v>
      </c>
      <c r="J49" s="48" t="s">
        <v>46</v>
      </c>
      <c r="K49" s="55">
        <f>IFERROR(INDEX(Inputs!$H$11:$Q$125,MATCH($C49,Input_ForRateCalc[Cost item],0),MATCH($F49,Inputs!$H$10:$Q$10,0)),"-")</f>
        <v>32.379354863483861</v>
      </c>
      <c r="L49" s="55">
        <f>IFERROR(INDEX(Inputs!$H$11:$Q$125,MATCH($C49,Input_ForRateCalc[Cost item],0),MATCH($F49,Inputs!$H$10:$Q$10,0)),"-")</f>
        <v>32.379354863483861</v>
      </c>
      <c r="M49" s="55">
        <f>IFERROR(INDEX(Inputs!$H$11:$Q$125,MATCH($C49,Input_ForRateCalc[Cost item],0),MATCH($F49,Inputs!$H$10:$Q$10,0)),"-")</f>
        <v>32.379354863483861</v>
      </c>
      <c r="N49" s="55">
        <f>IFERROR(INDEX(Inputs!$H$11:$Q$125,MATCH($C49,Input_ForRateCalc[Cost item],0),MATCH($F49,Inputs!$H$10:$Q$10,0)),"-")</f>
        <v>32.379354863483861</v>
      </c>
      <c r="O49" s="55">
        <f>IFERROR(INDEX(Inputs!$H$11:$Q$125,MATCH($C49,Input_ForRateCalc[Cost item],0),MATCH($F49,Inputs!$H$10:$Q$10,0)),"-")</f>
        <v>32.379354863483861</v>
      </c>
    </row>
    <row r="50" spans="2:17" hidden="1" outlineLevel="1" x14ac:dyDescent="0.25">
      <c r="C50" s="18" t="s">
        <v>92</v>
      </c>
      <c r="D50" s="71" t="str">
        <f>INDEX(Input_DecisionActual[[Actual]:[Actual]],MATCH(Calc_TU_values!$D$5,Input_DecisionActual[[VDO period]:[VDO period]],0),1)</f>
        <v>VDO 2021 - Final</v>
      </c>
      <c r="E50" s="18" t="s">
        <v>354</v>
      </c>
      <c r="F50" s="71" t="str">
        <f>IF($D50="-","-",INDEX(Inputs!$H$10:$Q$10,1,MATCH($D50,Inputs!$H$8:$Q$8,0)))</f>
        <v>F-CurrentVDO_Input</v>
      </c>
      <c r="G50" s="47"/>
      <c r="H50" s="18" t="s">
        <v>66</v>
      </c>
      <c r="I50" s="18" t="s">
        <v>93</v>
      </c>
      <c r="J50" s="48" t="s">
        <v>46</v>
      </c>
      <c r="K50" s="56">
        <f>IFERROR(INDEX(Inputs!$H$11:$Q$125,MATCH($C50,Input_ForRateCalc[Cost item],0),MATCH($F50,Inputs!$H$10:$Q$10,0)),"-")</f>
        <v>0.17255000000000001</v>
      </c>
      <c r="L50" s="56">
        <f>IFERROR(INDEX(Inputs!$H$11:$Q$125,MATCH($C50,Input_ForRateCalc[Cost item],0),MATCH($F50,Inputs!$H$10:$Q$10,0)),"-")</f>
        <v>0.17255000000000001</v>
      </c>
      <c r="M50" s="56">
        <f>IFERROR(INDEX(Inputs!$H$11:$Q$125,MATCH($C50,Input_ForRateCalc[Cost item],0),MATCH($F50,Inputs!$H$10:$Q$10,0)),"-")</f>
        <v>0.17255000000000001</v>
      </c>
      <c r="N50" s="56">
        <f>IFERROR(INDEX(Inputs!$H$11:$Q$125,MATCH($C50,Input_ForRateCalc[Cost item],0),MATCH($F50,Inputs!$H$10:$Q$10,0)),"-")</f>
        <v>0.17255000000000001</v>
      </c>
      <c r="O50" s="56">
        <f>IFERROR(INDEX(Inputs!$H$11:$Q$125,MATCH($C50,Input_ForRateCalc[Cost item],0),MATCH($F50,Inputs!$H$10:$Q$10,0)),"-")</f>
        <v>0.17255000000000001</v>
      </c>
    </row>
    <row r="51" spans="2:17" hidden="1" outlineLevel="1" x14ac:dyDescent="0.25">
      <c r="C51" s="18" t="s">
        <v>254</v>
      </c>
      <c r="D51" s="71" t="str">
        <f>INDEX(Input_DecisionActual[[Actual]:[Actual]],MATCH(Calc_TU_values!$D$5,Input_DecisionActual[[VDO period]:[VDO period]],0),1)</f>
        <v>VDO 2021 - Final</v>
      </c>
      <c r="E51" s="18" t="s">
        <v>354</v>
      </c>
      <c r="F51" s="71" t="str">
        <f>IF($D51="-","-",INDEX(Inputs!$H$10:$Q$10,1,MATCH($D51,Inputs!$H$8:$Q$8,0)))</f>
        <v>F-CurrentVDO_Input</v>
      </c>
      <c r="G51" s="47"/>
      <c r="H51" s="18" t="s">
        <v>66</v>
      </c>
      <c r="I51" s="18" t="s">
        <v>218</v>
      </c>
      <c r="J51" s="48" t="s">
        <v>46</v>
      </c>
      <c r="K51" s="53">
        <f>IFERROR(K49*K50/1000,"-")</f>
        <v>5.5870576816941407E-3</v>
      </c>
      <c r="L51" s="53">
        <f t="shared" ref="L51" si="30">IFERROR(L49*L50/1000,"-")</f>
        <v>5.5870576816941407E-3</v>
      </c>
      <c r="M51" s="53">
        <f t="shared" ref="M51" si="31">IFERROR(M49*M50/1000,"-")</f>
        <v>5.5870576816941407E-3</v>
      </c>
      <c r="N51" s="53">
        <f t="shared" ref="N51" si="32">IFERROR(N49*N50/1000,"-")</f>
        <v>5.5870576816941407E-3</v>
      </c>
      <c r="O51" s="53">
        <f t="shared" ref="O51" si="33">IFERROR(O49*O50/1000,"-")</f>
        <v>5.5870576816941407E-3</v>
      </c>
    </row>
    <row r="52" spans="2:17" hidden="1" outlineLevel="1" x14ac:dyDescent="0.25">
      <c r="C52" s="18" t="s">
        <v>255</v>
      </c>
      <c r="D52" s="18"/>
      <c r="E52" s="18"/>
      <c r="F52" s="18"/>
      <c r="G52" s="18"/>
      <c r="H52" s="18" t="s">
        <v>66</v>
      </c>
      <c r="I52" s="18" t="s">
        <v>218</v>
      </c>
      <c r="J52" s="18" t="s">
        <v>46</v>
      </c>
      <c r="K52" s="105">
        <f>IFERROR(K48-K51,"-")</f>
        <v>-5.5870576816941407E-3</v>
      </c>
      <c r="L52" s="105">
        <f t="shared" ref="L52" si="34">IFERROR(L48-L51,"-")</f>
        <v>-5.5870576816941407E-3</v>
      </c>
      <c r="M52" s="105">
        <f t="shared" ref="M52" si="35">IFERROR(M48-M51,"-")</f>
        <v>-5.5870576816941407E-3</v>
      </c>
      <c r="N52" s="105">
        <f t="shared" ref="N52" si="36">IFERROR(N48-N51,"-")</f>
        <v>-5.5870576816941407E-3</v>
      </c>
      <c r="O52" s="105">
        <f t="shared" ref="O52" si="37">IFERROR(O48-O51,"-")</f>
        <v>-5.5870576816941407E-3</v>
      </c>
    </row>
    <row r="53" spans="2:17" hidden="1" outlineLevel="1" x14ac:dyDescent="0.25">
      <c r="C53" s="18" t="s">
        <v>256</v>
      </c>
      <c r="D53" s="71" t="str">
        <f>INDEX(Input_DecisionActual[[Actual]:[Actual]],MATCH(Calc_TU_values!$D$5,Input_DecisionActual[[VDO period]:[VDO period]],0),1)</f>
        <v>VDO 2021 - Final</v>
      </c>
      <c r="E53" s="18" t="s">
        <v>354</v>
      </c>
      <c r="F53" s="71" t="str">
        <f>IF($D53="-","-",INDEX(Inputs!$H$10:$Q$10,1,MATCH($D53,Inputs!$H$8:$Q$8,0)))</f>
        <v>F-CurrentVDO_Input</v>
      </c>
      <c r="G53" s="18"/>
      <c r="H53" s="18" t="s">
        <v>66</v>
      </c>
      <c r="I53" s="18" t="s">
        <v>218</v>
      </c>
      <c r="J53" s="18" t="s">
        <v>46</v>
      </c>
      <c r="K53" s="106">
        <f>IFERROR(K52*(INDEX(Inputs!$H$11:$Q$125,MATCH("Marginal loss factor - "&amp;K$15,Input_ForRateCalc[Cost item],0),MATCH($F53,Inputs!$H$10:$Q$10,0))*INDEX(Inputs!$H$11:$Q$125,MATCH("Distribution loss factor - "&amp;K$15,Input_ForRateCalc[Cost item],0),MATCH($F53,Inputs!$H$10:$Q$10,0))-1),"-")</f>
        <v>-3.7456887595762586E-4</v>
      </c>
      <c r="L53" s="106">
        <f>IFERROR(L52*(INDEX(Inputs!$H$11:$Q$125,MATCH("Marginal loss factor - "&amp;L$15,Input_ForRateCalc[Cost item],0),MATCH($F53,Inputs!$H$10:$Q$10,0))*INDEX(Inputs!$H$11:$Q$125,MATCH("Distribution loss factor - "&amp;L$15,Input_ForRateCalc[Cost item],0),MATCH($F53,Inputs!$H$10:$Q$10,0))-1),"-")</f>
        <v>-2.7152278476848517E-4</v>
      </c>
      <c r="M53" s="106">
        <f>IFERROR(M52*(INDEX(Inputs!$H$11:$Q$125,MATCH("Marginal loss factor - "&amp;M$15,Input_ForRateCalc[Cost item],0),MATCH($F53,Inputs!$H$10:$Q$10,0))*INDEX(Inputs!$H$11:$Q$125,MATCH("Distribution loss factor - "&amp;M$15,Input_ForRateCalc[Cost item],0),MATCH($F53,Inputs!$H$10:$Q$10,0))-1),"-")</f>
        <v>-2.1032237778473222E-4</v>
      </c>
      <c r="N53" s="106">
        <f>IFERROR(N52*(INDEX(Inputs!$H$11:$Q$125,MATCH("Marginal loss factor - "&amp;N$15,Input_ForRateCalc[Cost item],0),MATCH($F53,Inputs!$H$10:$Q$10,0))*INDEX(Inputs!$H$11:$Q$125,MATCH("Distribution loss factor - "&amp;N$15,Input_ForRateCalc[Cost item],0),MATCH($F53,Inputs!$H$10:$Q$10,0))-1),"-")</f>
        <v>-3.9713841003917292E-4</v>
      </c>
      <c r="O53" s="106">
        <f>IFERROR(O52*(INDEX(Inputs!$H$11:$Q$125,MATCH("Marginal loss factor - "&amp;O$15,Input_ForRateCalc[Cost item],0),MATCH($F53,Inputs!$H$10:$Q$10,0))*INDEX(Inputs!$H$11:$Q$125,MATCH("Distribution loss factor - "&amp;O$15,Input_ForRateCalc[Cost item],0),MATCH($F53,Inputs!$H$10:$Q$10,0))-1),"-")</f>
        <v>-2.928924423423142E-4</v>
      </c>
    </row>
    <row r="54" spans="2:17" hidden="1" outlineLevel="1" x14ac:dyDescent="0.25">
      <c r="C54" s="18" t="s">
        <v>296</v>
      </c>
      <c r="D54" s="18"/>
      <c r="E54" s="18"/>
      <c r="F54" s="18"/>
      <c r="G54" s="18"/>
      <c r="H54" s="18" t="s">
        <v>66</v>
      </c>
      <c r="I54" s="18" t="s">
        <v>218</v>
      </c>
      <c r="J54" s="18" t="s">
        <v>46</v>
      </c>
      <c r="K54" s="106" t="str">
        <f>IF($D$11="Yes",SUM(K52:K53)*$D$12,"")</f>
        <v/>
      </c>
      <c r="L54" s="106" t="str">
        <f t="shared" ref="L54" si="38">IF($D$11="Yes",SUM(L52:L53)*$D$12,"")</f>
        <v/>
      </c>
      <c r="M54" s="106" t="str">
        <f t="shared" ref="M54" si="39">IF($D$11="Yes",SUM(M52:M53)*$D$12,"")</f>
        <v/>
      </c>
      <c r="N54" s="106" t="str">
        <f t="shared" ref="N54" si="40">IF($D$11="Yes",SUM(N52:N53)*$D$12,"")</f>
        <v/>
      </c>
      <c r="O54" s="106" t="str">
        <f t="shared" ref="O54" si="41">IF($D$11="Yes",SUM(O52:O53)*$D$12,"")</f>
        <v/>
      </c>
    </row>
    <row r="55" spans="2:17" hidden="1" outlineLevel="1" x14ac:dyDescent="0.25">
      <c r="C55" s="18" t="s">
        <v>257</v>
      </c>
      <c r="D55" s="71" t="str">
        <f>INDEX(Input_DecisionActual[[Actual]:[Actual]],MATCH(Calc_TU_values!$D$5,Input_DecisionActual[[VDO period]:[VDO period]],0),1)</f>
        <v>VDO 2021 - Final</v>
      </c>
      <c r="E55" s="18" t="s">
        <v>354</v>
      </c>
      <c r="F55" s="71" t="str">
        <f>IF($D55="-","-",INDEX(Inputs!$H$10:$Q$10,1,MATCH($D55,Inputs!$H$8:$Q$8,0)))</f>
        <v>F-CurrentVDO_Input</v>
      </c>
      <c r="G55" s="18"/>
      <c r="H55" s="18" t="s">
        <v>66</v>
      </c>
      <c r="I55" s="18" t="s">
        <v>218</v>
      </c>
      <c r="J55" s="18" t="s">
        <v>46</v>
      </c>
      <c r="K55" s="106">
        <f>IFERROR(SUM(K52:K54)*(INDEX(Inputs!$H$11:$Q$125,MATCH("Retail operating margin",Input_ForRateCalc[Cost item],0),MATCH($F55,Inputs!$H$10:$Q$10,0))),"-")</f>
        <v>-3.6008224408216671E-4</v>
      </c>
      <c r="L55" s="106">
        <f>IFERROR(SUM(L52:L54)*(INDEX(Inputs!$H$11:$Q$125,MATCH("Retail operating margin",Input_ForRateCalc[Cost item],0),MATCH($F55,Inputs!$H$10:$Q$10,0))),"-")</f>
        <v>-3.538582601743426E-4</v>
      </c>
      <c r="M55" s="106">
        <f>IFERROR(SUM(M52:M54)*(INDEX(Inputs!$H$11:$Q$125,MATCH("Retail operating margin",Input_ForRateCalc[Cost item],0),MATCH($F55,Inputs!$H$10:$Q$10,0))),"-")</f>
        <v>-3.5016175559252392E-4</v>
      </c>
      <c r="N55" s="106">
        <f>IFERROR(SUM(N52:N54)*(INDEX(Inputs!$H$11:$Q$125,MATCH("Retail operating margin",Input_ForRateCalc[Cost item],0),MATCH($F55,Inputs!$H$10:$Q$10,0))),"-")</f>
        <v>-3.6144544394069216E-4</v>
      </c>
      <c r="O55" s="106">
        <f>IFERROR(SUM(O52:O54)*(INDEX(Inputs!$H$11:$Q$125,MATCH("Retail operating margin",Input_ForRateCalc[Cost item],0),MATCH($F55,Inputs!$H$10:$Q$10,0))),"-")</f>
        <v>-3.5514898749180188E-4</v>
      </c>
    </row>
    <row r="56" spans="2:17" hidden="1" outlineLevel="1" x14ac:dyDescent="0.25">
      <c r="B56"/>
      <c r="C56" s="18" t="s">
        <v>297</v>
      </c>
      <c r="D56" s="18"/>
      <c r="E56" s="18"/>
      <c r="F56" s="18"/>
      <c r="G56" s="18"/>
      <c r="H56" s="18" t="s">
        <v>66</v>
      </c>
      <c r="I56" s="18" t="s">
        <v>218</v>
      </c>
      <c r="J56" s="18" t="s">
        <v>46</v>
      </c>
      <c r="K56" s="106">
        <f>SUM(K52:K55)*GST</f>
        <v>-6.3217088017339341E-4</v>
      </c>
      <c r="L56" s="106">
        <f>SUM(L52:L55)*GST</f>
        <v>-6.2124387266369689E-4</v>
      </c>
      <c r="M56" s="106">
        <f>SUM(M52:M55)*GST</f>
        <v>-6.1475418150713974E-4</v>
      </c>
      <c r="N56" s="106">
        <f>SUM(N52:N55)*GST</f>
        <v>-6.3456415356740066E-4</v>
      </c>
      <c r="O56" s="106">
        <f>SUM(O52:O55)*GST</f>
        <v>-6.2350991115282567E-4</v>
      </c>
    </row>
    <row r="57" spans="2:17" hidden="1" outlineLevel="1" x14ac:dyDescent="0.25">
      <c r="B57"/>
      <c r="C57" s="95" t="s">
        <v>262</v>
      </c>
      <c r="D57" s="95"/>
      <c r="E57" s="95"/>
      <c r="F57" s="95"/>
      <c r="G57" s="59"/>
      <c r="H57" s="18" t="s">
        <v>66</v>
      </c>
      <c r="I57" s="18" t="s">
        <v>218</v>
      </c>
      <c r="J57" s="48" t="s">
        <v>46</v>
      </c>
      <c r="K57" s="106">
        <f>SUM(K52:K56)</f>
        <v>-6.9538796819073271E-3</v>
      </c>
      <c r="L57" s="106">
        <f t="shared" ref="L57" si="42">SUM(L52:L56)</f>
        <v>-6.8336825993006653E-3</v>
      </c>
      <c r="M57" s="106">
        <f t="shared" ref="M57" si="43">SUM(M52:M56)</f>
        <v>-6.7622959965785365E-3</v>
      </c>
      <c r="N57" s="106">
        <f t="shared" ref="N57" si="44">SUM(N52:N56)</f>
        <v>-6.9802056892414067E-3</v>
      </c>
      <c r="O57" s="106">
        <f t="shared" ref="O57" si="45">SUM(O52:O56)</f>
        <v>-6.8586090226810817E-3</v>
      </c>
    </row>
    <row r="58" spans="2:17" hidden="1" outlineLevel="1" x14ac:dyDescent="0.25"/>
    <row r="59" spans="2:17" ht="16.5" hidden="1" thickBot="1" x14ac:dyDescent="0.3">
      <c r="B59" s="7">
        <f ca="1">MAX(B$3:B58)+0.1</f>
        <v>8.1999999999999993</v>
      </c>
      <c r="C59" s="22" t="s">
        <v>299</v>
      </c>
      <c r="D59" s="22"/>
      <c r="E59" s="22"/>
      <c r="F59" s="22"/>
      <c r="G59" s="22"/>
      <c r="H59" s="22"/>
      <c r="I59" s="22"/>
      <c r="J59" s="22"/>
      <c r="K59" s="22"/>
      <c r="L59" s="22"/>
      <c r="M59" s="22"/>
      <c r="N59" s="22"/>
      <c r="O59" s="22"/>
      <c r="P59" s="22"/>
      <c r="Q59" s="22"/>
    </row>
    <row r="60" spans="2:17" hidden="1" collapsed="1" x14ac:dyDescent="0.25"/>
    <row r="61" spans="2:17" ht="15.75" hidden="1" outlineLevel="1" x14ac:dyDescent="0.25">
      <c r="C61" s="33" t="s">
        <v>24</v>
      </c>
      <c r="D61" s="33" t="s">
        <v>300</v>
      </c>
      <c r="G61" s="33" t="s">
        <v>251</v>
      </c>
      <c r="H61" s="33" t="s">
        <v>37</v>
      </c>
      <c r="I61" s="33" t="s">
        <v>38</v>
      </c>
      <c r="J61" s="33" t="s">
        <v>30</v>
      </c>
      <c r="K61" s="42" t="s">
        <v>204</v>
      </c>
      <c r="L61" s="42" t="s">
        <v>205</v>
      </c>
      <c r="M61" s="42" t="s">
        <v>206</v>
      </c>
      <c r="N61" s="42" t="s">
        <v>207</v>
      </c>
      <c r="O61" s="42" t="s">
        <v>208</v>
      </c>
      <c r="P61" s="42" t="s">
        <v>371</v>
      </c>
      <c r="Q61" s="33" t="s">
        <v>372</v>
      </c>
    </row>
    <row r="62" spans="2:17" hidden="1" outlineLevel="1" x14ac:dyDescent="0.25">
      <c r="C62" s="46" t="s">
        <v>313</v>
      </c>
      <c r="D62" s="46"/>
      <c r="G62" s="46"/>
      <c r="H62" s="46"/>
      <c r="I62" s="46"/>
      <c r="J62" s="46"/>
      <c r="K62" s="135">
        <f>SUM(K63:K64)</f>
        <v>0</v>
      </c>
      <c r="L62" s="135">
        <f t="shared" ref="L62:O62" si="46">SUM(L63:L64)</f>
        <v>0</v>
      </c>
      <c r="M62" s="135">
        <f t="shared" si="46"/>
        <v>0</v>
      </c>
      <c r="N62" s="135">
        <f t="shared" si="46"/>
        <v>0</v>
      </c>
      <c r="O62" s="135">
        <f t="shared" si="46"/>
        <v>0</v>
      </c>
      <c r="P62" s="134">
        <f t="shared" ref="P62:P73" si="47">IFERROR(AVERAGE(K62:O62),"-")</f>
        <v>0</v>
      </c>
      <c r="Q62" s="134">
        <f t="shared" ref="Q62:Q73" si="48">IFERROR(P62/TU_NET_CostMths,"-")</f>
        <v>0</v>
      </c>
    </row>
    <row r="63" spans="2:17" hidden="1" outlineLevel="1" x14ac:dyDescent="0.25">
      <c r="C63" s="118" t="s">
        <v>44</v>
      </c>
      <c r="D63" s="48"/>
      <c r="G63" s="48"/>
      <c r="H63" s="48"/>
      <c r="I63" s="48"/>
      <c r="J63" s="48"/>
      <c r="K63" s="136" t="str">
        <f>K117</f>
        <v>-</v>
      </c>
      <c r="L63" s="136" t="str">
        <f t="shared" ref="L63:O63" si="49">L117</f>
        <v>-</v>
      </c>
      <c r="M63" s="136" t="str">
        <f t="shared" si="49"/>
        <v>-</v>
      </c>
      <c r="N63" s="136" t="str">
        <f t="shared" si="49"/>
        <v>-</v>
      </c>
      <c r="O63" s="136" t="str">
        <f t="shared" si="49"/>
        <v>-</v>
      </c>
      <c r="P63" s="113" t="str">
        <f t="shared" si="47"/>
        <v>-</v>
      </c>
      <c r="Q63" s="113" t="str">
        <f t="shared" si="48"/>
        <v>-</v>
      </c>
    </row>
    <row r="64" spans="2:17" hidden="1" outlineLevel="1" x14ac:dyDescent="0.25">
      <c r="C64" s="118" t="s">
        <v>66</v>
      </c>
      <c r="D64" s="48"/>
      <c r="G64" s="48"/>
      <c r="H64" s="48"/>
      <c r="I64" s="48"/>
      <c r="J64" s="48"/>
      <c r="K64" s="136" t="str">
        <f>K132</f>
        <v>-</v>
      </c>
      <c r="L64" s="136" t="str">
        <f t="shared" ref="L64:O64" si="50">L132</f>
        <v>-</v>
      </c>
      <c r="M64" s="136" t="str">
        <f t="shared" si="50"/>
        <v>-</v>
      </c>
      <c r="N64" s="136" t="str">
        <f t="shared" si="50"/>
        <v>-</v>
      </c>
      <c r="O64" s="136" t="str">
        <f t="shared" si="50"/>
        <v>-</v>
      </c>
      <c r="P64" s="113" t="str">
        <f t="shared" si="47"/>
        <v>-</v>
      </c>
      <c r="Q64" s="113" t="str">
        <f t="shared" si="48"/>
        <v>-</v>
      </c>
    </row>
    <row r="65" spans="2:17" hidden="1" outlineLevel="1" x14ac:dyDescent="0.25">
      <c r="C65" s="46" t="s">
        <v>314</v>
      </c>
      <c r="D65" s="46"/>
      <c r="G65" s="46"/>
      <c r="H65" s="46"/>
      <c r="I65" s="46"/>
      <c r="J65" s="46"/>
      <c r="K65" s="135">
        <f>SUM(K66:K67)</f>
        <v>0</v>
      </c>
      <c r="L65" s="135">
        <f t="shared" ref="L65:O65" si="51">SUM(L66:L67)</f>
        <v>0</v>
      </c>
      <c r="M65" s="135">
        <f t="shared" si="51"/>
        <v>0</v>
      </c>
      <c r="N65" s="135">
        <f t="shared" si="51"/>
        <v>0</v>
      </c>
      <c r="O65" s="135">
        <f t="shared" si="51"/>
        <v>0</v>
      </c>
      <c r="P65" s="134">
        <f t="shared" si="47"/>
        <v>0</v>
      </c>
      <c r="Q65" s="134">
        <f t="shared" si="48"/>
        <v>0</v>
      </c>
    </row>
    <row r="66" spans="2:17" hidden="1" outlineLevel="1" x14ac:dyDescent="0.25">
      <c r="C66" s="118" t="s">
        <v>44</v>
      </c>
      <c r="D66" s="48"/>
      <c r="G66" s="48"/>
      <c r="H66" s="48"/>
      <c r="I66" s="48"/>
      <c r="J66" s="48"/>
      <c r="K66" s="136" t="str">
        <f>K157</f>
        <v>-</v>
      </c>
      <c r="L66" s="136" t="str">
        <f t="shared" ref="L66:O66" si="52">L157</f>
        <v>-</v>
      </c>
      <c r="M66" s="136" t="str">
        <f t="shared" si="52"/>
        <v>-</v>
      </c>
      <c r="N66" s="136" t="str">
        <f t="shared" si="52"/>
        <v>-</v>
      </c>
      <c r="O66" s="136" t="str">
        <f t="shared" si="52"/>
        <v>-</v>
      </c>
      <c r="P66" s="113" t="str">
        <f t="shared" si="47"/>
        <v>-</v>
      </c>
      <c r="Q66" s="113" t="str">
        <f t="shared" si="48"/>
        <v>-</v>
      </c>
    </row>
    <row r="67" spans="2:17" hidden="1" outlineLevel="1" x14ac:dyDescent="0.25">
      <c r="C67" s="118" t="s">
        <v>66</v>
      </c>
      <c r="D67" s="48"/>
      <c r="G67" s="48"/>
      <c r="H67" s="48"/>
      <c r="I67" s="48"/>
      <c r="J67" s="48"/>
      <c r="K67" s="136" t="str">
        <f>K172</f>
        <v>-</v>
      </c>
      <c r="L67" s="136" t="str">
        <f t="shared" ref="L67:O67" si="53">L172</f>
        <v>-</v>
      </c>
      <c r="M67" s="136" t="str">
        <f t="shared" si="53"/>
        <v>-</v>
      </c>
      <c r="N67" s="136" t="str">
        <f t="shared" si="53"/>
        <v>-</v>
      </c>
      <c r="O67" s="136" t="str">
        <f t="shared" si="53"/>
        <v>-</v>
      </c>
      <c r="P67" s="113" t="str">
        <f t="shared" si="47"/>
        <v>-</v>
      </c>
      <c r="Q67" s="113" t="str">
        <f t="shared" si="48"/>
        <v>-</v>
      </c>
    </row>
    <row r="68" spans="2:17" hidden="1" outlineLevel="1" x14ac:dyDescent="0.25">
      <c r="C68" s="46" t="s">
        <v>315</v>
      </c>
      <c r="D68" s="46"/>
      <c r="G68" s="46"/>
      <c r="H68" s="46"/>
      <c r="I68" s="46"/>
      <c r="J68" s="46"/>
      <c r="K68" s="135">
        <f>SUM(K69:K70)</f>
        <v>0</v>
      </c>
      <c r="L68" s="135">
        <f t="shared" ref="L68:O68" si="54">SUM(L69:L70)</f>
        <v>0</v>
      </c>
      <c r="M68" s="135">
        <f t="shared" si="54"/>
        <v>0</v>
      </c>
      <c r="N68" s="135">
        <f t="shared" si="54"/>
        <v>0</v>
      </c>
      <c r="O68" s="135">
        <f t="shared" si="54"/>
        <v>0</v>
      </c>
      <c r="P68" s="134">
        <f t="shared" si="47"/>
        <v>0</v>
      </c>
      <c r="Q68" s="134">
        <f t="shared" si="48"/>
        <v>0</v>
      </c>
    </row>
    <row r="69" spans="2:17" hidden="1" outlineLevel="1" x14ac:dyDescent="0.25">
      <c r="C69" s="118" t="s">
        <v>44</v>
      </c>
      <c r="D69" s="48"/>
      <c r="G69" s="48"/>
      <c r="H69" s="48"/>
      <c r="I69" s="48"/>
      <c r="J69" s="48"/>
      <c r="K69" s="136" t="str">
        <f>K187</f>
        <v>-</v>
      </c>
      <c r="L69" s="136" t="str">
        <f t="shared" ref="L69:O69" si="55">L187</f>
        <v>-</v>
      </c>
      <c r="M69" s="136" t="str">
        <f t="shared" si="55"/>
        <v>-</v>
      </c>
      <c r="N69" s="136" t="str">
        <f t="shared" si="55"/>
        <v>-</v>
      </c>
      <c r="O69" s="136" t="str">
        <f t="shared" si="55"/>
        <v>-</v>
      </c>
      <c r="P69" s="113" t="str">
        <f t="shared" si="47"/>
        <v>-</v>
      </c>
      <c r="Q69" s="113" t="str">
        <f t="shared" si="48"/>
        <v>-</v>
      </c>
    </row>
    <row r="70" spans="2:17" hidden="1" outlineLevel="1" x14ac:dyDescent="0.25">
      <c r="C70" s="118" t="s">
        <v>66</v>
      </c>
      <c r="D70" s="48"/>
      <c r="G70" s="48"/>
      <c r="H70" s="48"/>
      <c r="I70" s="48"/>
      <c r="J70" s="48"/>
      <c r="K70" s="136" t="str">
        <f>K201</f>
        <v>-</v>
      </c>
      <c r="L70" s="136" t="str">
        <f t="shared" ref="L70:O70" si="56">L201</f>
        <v>-</v>
      </c>
      <c r="M70" s="136" t="str">
        <f t="shared" si="56"/>
        <v>-</v>
      </c>
      <c r="N70" s="136" t="str">
        <f t="shared" si="56"/>
        <v>-</v>
      </c>
      <c r="O70" s="136" t="str">
        <f t="shared" si="56"/>
        <v>-</v>
      </c>
      <c r="P70" s="113" t="str">
        <f t="shared" si="47"/>
        <v>-</v>
      </c>
      <c r="Q70" s="113" t="str">
        <f t="shared" si="48"/>
        <v>-</v>
      </c>
    </row>
    <row r="71" spans="2:17" hidden="1" outlineLevel="1" x14ac:dyDescent="0.25">
      <c r="C71" s="46" t="s">
        <v>316</v>
      </c>
      <c r="D71" s="46"/>
      <c r="G71" s="46"/>
      <c r="H71" s="46"/>
      <c r="I71" s="46"/>
      <c r="J71" s="46"/>
      <c r="K71" s="135">
        <f>SUM(K72:K73)</f>
        <v>0</v>
      </c>
      <c r="L71" s="135">
        <f t="shared" ref="L71:O71" si="57">SUM(L72:L73)</f>
        <v>0</v>
      </c>
      <c r="M71" s="135">
        <f t="shared" si="57"/>
        <v>0</v>
      </c>
      <c r="N71" s="135">
        <f t="shared" si="57"/>
        <v>0</v>
      </c>
      <c r="O71" s="135">
        <f t="shared" si="57"/>
        <v>0</v>
      </c>
      <c r="P71" s="134">
        <f t="shared" si="47"/>
        <v>0</v>
      </c>
      <c r="Q71" s="134">
        <f t="shared" si="48"/>
        <v>0</v>
      </c>
    </row>
    <row r="72" spans="2:17" hidden="1" outlineLevel="1" x14ac:dyDescent="0.25">
      <c r="C72" s="118" t="s">
        <v>44</v>
      </c>
      <c r="D72" s="48"/>
      <c r="G72" s="48"/>
      <c r="H72" s="48"/>
      <c r="I72" s="48"/>
      <c r="J72" s="48"/>
      <c r="K72" s="136" t="str">
        <f>K215</f>
        <v>-</v>
      </c>
      <c r="L72" s="136" t="str">
        <f t="shared" ref="L72:O72" si="58">L215</f>
        <v>-</v>
      </c>
      <c r="M72" s="136" t="str">
        <f t="shared" si="58"/>
        <v>-</v>
      </c>
      <c r="N72" s="136" t="str">
        <f t="shared" si="58"/>
        <v>-</v>
      </c>
      <c r="O72" s="136" t="str">
        <f t="shared" si="58"/>
        <v>-</v>
      </c>
      <c r="P72" s="113" t="str">
        <f t="shared" si="47"/>
        <v>-</v>
      </c>
      <c r="Q72" s="113" t="str">
        <f t="shared" si="48"/>
        <v>-</v>
      </c>
    </row>
    <row r="73" spans="2:17" hidden="1" outlineLevel="1" x14ac:dyDescent="0.25">
      <c r="C73" s="118" t="s">
        <v>66</v>
      </c>
      <c r="D73" s="48"/>
      <c r="G73" s="48"/>
      <c r="H73" s="48"/>
      <c r="I73" s="48"/>
      <c r="J73" s="48"/>
      <c r="K73" s="136" t="str">
        <f>K229</f>
        <v>-</v>
      </c>
      <c r="L73" s="136" t="str">
        <f t="shared" ref="L73:O73" si="59">L229</f>
        <v>-</v>
      </c>
      <c r="M73" s="136" t="str">
        <f t="shared" si="59"/>
        <v>-</v>
      </c>
      <c r="N73" s="136" t="str">
        <f t="shared" si="59"/>
        <v>-</v>
      </c>
      <c r="O73" s="136" t="str">
        <f t="shared" si="59"/>
        <v>-</v>
      </c>
      <c r="P73" s="113" t="str">
        <f t="shared" si="47"/>
        <v>-</v>
      </c>
      <c r="Q73" s="113" t="str">
        <f t="shared" si="48"/>
        <v>-</v>
      </c>
    </row>
    <row r="74" spans="2:17" hidden="1" outlineLevel="1" x14ac:dyDescent="0.25"/>
    <row r="75" spans="2:17" hidden="1" outlineLevel="1" x14ac:dyDescent="0.25">
      <c r="I75" t="s">
        <v>380</v>
      </c>
      <c r="J75" s="48" t="s">
        <v>31</v>
      </c>
      <c r="K75" s="98">
        <f>K68/TU_NET_CostMths</f>
        <v>0</v>
      </c>
      <c r="L75" s="98">
        <f>L68/TU_NET_CostMths</f>
        <v>0</v>
      </c>
      <c r="M75" s="98">
        <f>M68/TU_NET_CostMths</f>
        <v>0</v>
      </c>
      <c r="N75" s="98">
        <f>N68/TU_NET_CostMths</f>
        <v>0</v>
      </c>
      <c r="O75" s="98">
        <f>O68/TU_NET_CostMths</f>
        <v>0</v>
      </c>
    </row>
    <row r="76" spans="2:17" ht="15.75" hidden="1" outlineLevel="1" x14ac:dyDescent="0.25">
      <c r="B76"/>
      <c r="C76" s="43" t="s">
        <v>341</v>
      </c>
      <c r="D76" s="71" t="str">
        <f>INDEX(Inputs!$H$10:$Q$10,1,MATCH($D$5,Inputs!$H$8:$Q$8,0))</f>
        <v>VF-CurrentVDO_Input</v>
      </c>
      <c r="E76" s="156" t="str">
        <f>INDEX(Input_TUNet_Dates[[F-CurrentVDO_Input]:[F-NextVDO_Input]],MATCH($C76,Input_TUNet_Dates[Item],0),MATCH($D76,Input_TUNet_Dates[[#Headers],[F-CurrentVDO_Input]:[F-NextVDO_Input]],0))</f>
        <v>-</v>
      </c>
      <c r="I76" t="s">
        <v>380</v>
      </c>
      <c r="J76" s="48" t="s">
        <v>32</v>
      </c>
      <c r="K76" s="98">
        <f>K71/TU_NET_CostMths</f>
        <v>0</v>
      </c>
      <c r="L76" s="98">
        <f>L71/TU_NET_CostMths</f>
        <v>0</v>
      </c>
      <c r="M76" s="98">
        <f>M71/TU_NET_CostMths</f>
        <v>0</v>
      </c>
      <c r="N76" s="98">
        <f>N71/TU_NET_CostMths</f>
        <v>0</v>
      </c>
      <c r="O76" s="98">
        <f>O71/TU_NET_CostMths</f>
        <v>0</v>
      </c>
    </row>
    <row r="77" spans="2:17" ht="15.75" hidden="1" outlineLevel="1" x14ac:dyDescent="0.25">
      <c r="B77"/>
      <c r="C77" s="43" t="s">
        <v>342</v>
      </c>
      <c r="D77" s="71" t="str">
        <f>INDEX(Inputs!$H$10:$Q$10,1,MATCH($D$5,Inputs!$H$8:$Q$8,0))</f>
        <v>VF-CurrentVDO_Input</v>
      </c>
      <c r="E77" s="156" t="str">
        <f>INDEX(Input_TUNet_Dates[[F-CurrentVDO_Input]:[F-NextVDO_Input]],MATCH($C77,Input_TUNet_Dates[Item],0),MATCH($D77,Input_TUNet_Dates[[#Headers],[F-CurrentVDO_Input]:[F-NextVDO_Input]],0))</f>
        <v>-</v>
      </c>
      <c r="K77" s="98"/>
      <c r="L77" s="98"/>
      <c r="M77" s="98"/>
      <c r="N77" s="98"/>
      <c r="O77" s="98"/>
    </row>
    <row r="78" spans="2:17" ht="15.75" hidden="1" outlineLevel="1" x14ac:dyDescent="0.25">
      <c r="B78"/>
      <c r="C78" s="43" t="s">
        <v>399</v>
      </c>
      <c r="D78" s="175" t="str">
        <f>IFERROR(_xlfn.DAYS(E77,E76)+1,"-")</f>
        <v>-</v>
      </c>
      <c r="K78" s="98"/>
      <c r="L78" s="98"/>
      <c r="M78" s="98"/>
      <c r="N78" s="98"/>
      <c r="O78" s="98"/>
    </row>
    <row r="79" spans="2:17" ht="15.75" hidden="1" outlineLevel="1" x14ac:dyDescent="0.25">
      <c r="B79"/>
      <c r="C79" s="43" t="s">
        <v>303</v>
      </c>
      <c r="D79" s="125">
        <f>IFERROR(D78/DiY,0)</f>
        <v>0</v>
      </c>
      <c r="G79" s="114"/>
    </row>
    <row r="80" spans="2:17" ht="15.75" hidden="1" outlineLevel="1" x14ac:dyDescent="0.25">
      <c r="B80"/>
      <c r="C80" s="43" t="s">
        <v>302</v>
      </c>
      <c r="D80" s="124">
        <f>TU_NET_RateMths</f>
        <v>6</v>
      </c>
    </row>
    <row r="81" spans="2:10" ht="15.75" hidden="1" outlineLevel="1" x14ac:dyDescent="0.25">
      <c r="B81"/>
      <c r="C81" s="43" t="s">
        <v>296</v>
      </c>
      <c r="D81" s="124" t="s">
        <v>253</v>
      </c>
    </row>
    <row r="82" spans="2:10" ht="15.75" hidden="1" outlineLevel="1" x14ac:dyDescent="0.25">
      <c r="B82"/>
      <c r="C82" s="43" t="s">
        <v>347</v>
      </c>
      <c r="D82" s="125">
        <f>(1+WACC)^(1/2)-1</f>
        <v>3.2230594392551382E-2</v>
      </c>
    </row>
    <row r="83" spans="2:10" hidden="1" outlineLevel="1" x14ac:dyDescent="0.25">
      <c r="B83"/>
    </row>
    <row r="84" spans="2:10" ht="15.75" hidden="1" outlineLevel="1" x14ac:dyDescent="0.25">
      <c r="B84"/>
      <c r="C84" s="23" t="s">
        <v>405</v>
      </c>
    </row>
    <row r="85" spans="2:10" ht="15.75" hidden="1" outlineLevel="1" x14ac:dyDescent="0.25">
      <c r="B85"/>
      <c r="C85" s="145" t="s">
        <v>6</v>
      </c>
      <c r="D85" s="145" t="s">
        <v>36</v>
      </c>
      <c r="E85" s="145" t="s">
        <v>30</v>
      </c>
      <c r="F85" s="145" t="s">
        <v>394</v>
      </c>
    </row>
    <row r="86" spans="2:10" hidden="1" outlineLevel="1" x14ac:dyDescent="0.25">
      <c r="B86"/>
      <c r="C86" s="48" t="s">
        <v>386</v>
      </c>
      <c r="D86" s="71" t="str">
        <f>INDEX(Inputs!$H$10:$Q$10,1,MATCH($D$5,Inputs!$H$8:$Q$8,0))</f>
        <v>VF-CurrentVDO_Input</v>
      </c>
      <c r="E86" s="48" t="s">
        <v>31</v>
      </c>
      <c r="F86" s="150">
        <f>SUMIFS(
INDEX(Input_TUNet_Actual[[F-CurrentVDO_Input]:[F-NextVDO_Input]],0,MATCH(TUNet_Usage_Actual_1[[#This Row],[VDO decision]],Input_TUNet_Actual[[#Headers],[F-CurrentVDO_Input]:[F-NextVDO_Input]],0)),
Input_TUNet_Actual[Customer type],Calc_TU_values!E86,Input_TUNet_Actual[Item],Calc_TU_values!C86)</f>
        <v>0</v>
      </c>
    </row>
    <row r="87" spans="2:10" hidden="1" outlineLevel="1" x14ac:dyDescent="0.25">
      <c r="B87"/>
      <c r="C87" s="18" t="s">
        <v>382</v>
      </c>
      <c r="D87" s="71" t="str">
        <f>INDEX(Inputs!$H$10:$Q$10,1,MATCH($D$5,Inputs!$H$8:$Q$8,0))</f>
        <v>VF-CurrentVDO_Input</v>
      </c>
      <c r="E87" s="48" t="s">
        <v>31</v>
      </c>
      <c r="F87" s="150">
        <f>SUMIFS(
INDEX(Input_TUNet_Actual[[F-CurrentVDO_Input]:[F-NextVDO_Input]],0,MATCH(TUNet_Usage_Actual_1[[#This Row],[VDO decision]],Input_TUNet_Actual[[#Headers],[F-CurrentVDO_Input]:[F-NextVDO_Input]],0)),
Input_TUNet_Actual[Customer type],Calc_TU_values!E87,Input_TUNet_Actual[Item],Calc_TU_values!C87)</f>
        <v>0</v>
      </c>
    </row>
    <row r="88" spans="2:10" hidden="1" outlineLevel="1" x14ac:dyDescent="0.25">
      <c r="B88"/>
      <c r="C88" s="48" t="s">
        <v>393</v>
      </c>
      <c r="D88" s="71" t="str">
        <f>INDEX(Inputs!$H$10:$Q$10,1,MATCH($D$5,Inputs!$H$8:$Q$8,0))</f>
        <v>VF-CurrentVDO_Input</v>
      </c>
      <c r="E88" s="48" t="s">
        <v>31</v>
      </c>
      <c r="F88" s="151" t="str">
        <f>IFERROR(F86/F87,"-")</f>
        <v>-</v>
      </c>
    </row>
    <row r="89" spans="2:10" hidden="1" outlineLevel="1" x14ac:dyDescent="0.25">
      <c r="B89"/>
      <c r="C89" s="48" t="s">
        <v>386</v>
      </c>
      <c r="D89" s="71" t="str">
        <f>INDEX(Inputs!$H$10:$Q$10,1,MATCH($D$5,Inputs!$H$8:$Q$8,0))</f>
        <v>VF-CurrentVDO_Input</v>
      </c>
      <c r="E89" s="48" t="s">
        <v>32</v>
      </c>
      <c r="F89" s="150">
        <f>SUMIFS(
INDEX(Input_TUNet_Actual[[F-CurrentVDO_Input]:[F-NextVDO_Input]],0,MATCH(TUNet_Usage_Actual_1[[#This Row],[VDO decision]],Input_TUNet_Actual[[#Headers],[F-CurrentVDO_Input]:[F-NextVDO_Input]],0)),
Input_TUNet_Actual[Customer type],Calc_TU_values!E89,Input_TUNet_Actual[Item],Calc_TU_values!C89)</f>
        <v>0</v>
      </c>
    </row>
    <row r="90" spans="2:10" hidden="1" outlineLevel="1" x14ac:dyDescent="0.25">
      <c r="B90"/>
      <c r="C90" s="18" t="s">
        <v>382</v>
      </c>
      <c r="D90" s="71" t="str">
        <f>INDEX(Inputs!$H$10:$Q$10,1,MATCH($D$5,Inputs!$H$8:$Q$8,0))</f>
        <v>VF-CurrentVDO_Input</v>
      </c>
      <c r="E90" s="48" t="s">
        <v>32</v>
      </c>
      <c r="F90" s="150">
        <f>SUMIFS(
INDEX(Input_TUNet_Actual[[F-CurrentVDO_Input]:[F-NextVDO_Input]],0,MATCH(TUNet_Usage_Actual_1[[#This Row],[VDO decision]],Input_TUNet_Actual[[#Headers],[F-CurrentVDO_Input]:[F-NextVDO_Input]],0)),
Input_TUNet_Actual[Customer type],Calc_TU_values!E90,Input_TUNet_Actual[Item],Calc_TU_values!C90)</f>
        <v>0</v>
      </c>
    </row>
    <row r="91" spans="2:10" hidden="1" outlineLevel="1" x14ac:dyDescent="0.25">
      <c r="B91"/>
      <c r="C91" s="152" t="s">
        <v>393</v>
      </c>
      <c r="D91" s="71" t="str">
        <f>INDEX(Inputs!$H$10:$Q$10,1,MATCH($D$5,Inputs!$H$8:$Q$8,0))</f>
        <v>VF-CurrentVDO_Input</v>
      </c>
      <c r="E91" s="152" t="s">
        <v>32</v>
      </c>
      <c r="F91" s="151" t="str">
        <f>IFERROR(F89/F90,"-")</f>
        <v>-</v>
      </c>
    </row>
    <row r="92" spans="2:10" hidden="1" outlineLevel="1" x14ac:dyDescent="0.25">
      <c r="B92"/>
    </row>
    <row r="93" spans="2:10" ht="15.75" hidden="1" outlineLevel="1" x14ac:dyDescent="0.25">
      <c r="B93"/>
      <c r="C93" s="23" t="s">
        <v>425</v>
      </c>
    </row>
    <row r="94" spans="2:10" ht="15.75" hidden="1" outlineLevel="1" x14ac:dyDescent="0.25">
      <c r="B94"/>
      <c r="C94" s="145" t="s">
        <v>6</v>
      </c>
      <c r="D94" s="145" t="s">
        <v>36</v>
      </c>
      <c r="E94" s="145" t="s">
        <v>30</v>
      </c>
      <c r="F94" s="145" t="s">
        <v>204</v>
      </c>
      <c r="G94" s="49" t="s">
        <v>205</v>
      </c>
      <c r="H94" s="49" t="s">
        <v>206</v>
      </c>
      <c r="I94" s="49" t="s">
        <v>207</v>
      </c>
      <c r="J94" s="49" t="s">
        <v>208</v>
      </c>
    </row>
    <row r="95" spans="2:10" hidden="1" outlineLevel="1" x14ac:dyDescent="0.25">
      <c r="B95"/>
      <c r="C95" s="48" t="s">
        <v>417</v>
      </c>
      <c r="D95" s="71" t="str">
        <f>INDEX(Inputs!$H$10:$Q$10,1,MATCH($D$5,Inputs!$H$8:$Q$8,0))</f>
        <v>VF-CurrentVDO_Input</v>
      </c>
      <c r="E95" s="48" t="s">
        <v>31</v>
      </c>
      <c r="F95" s="155" t="str">
        <f>IF(SUMIFS(
INDEX(Input_TUNet_Actual[[F-CurrentVDO_Input]:[F-NextVDO_Input]],0,MATCH(TUNet_Usage_PerRate_1[[#This Row],[VDO decision]],Input_TUNet_Actual[[#Headers],[F-CurrentVDO_Input]:[F-NextVDO_Input]],0)),
Input_TUNet_Actual[Customer type],$E95,Input_TUNet_Actual[Item],$C95&amp;" - "&amp;F$94)=0,"-",MIN(SUMIFS(TUNet_Usage_Actual_1[Value],TUNet_Usage_Actual_1[Customer type],$E95,TUNet_Usage_Actual_1[Description],"Usage per customer"),SUMIFS(
INDEX(Input_TUNet_Actual[[F-CurrentVDO_Input]:[F-NextVDO_Input]],0,MATCH(TUNet_Usage_PerRate_1[[#This Row],[VDO decision]],Input_TUNet_Actual[[#Headers],[F-CurrentVDO_Input]:[F-NextVDO_Input]],0)),
Input_TUNet_Actual[Customer type],$E95,Input_TUNet_Actual[Item],$C95&amp;" - "&amp;F$94)))</f>
        <v>-</v>
      </c>
      <c r="G95" s="155" t="str">
        <f>IF(SUMIFS(
INDEX(Input_TUNet_Actual[[F-CurrentVDO_Input]:[F-NextVDO_Input]],0,MATCH(TUNet_Usage_PerRate_1[[#This Row],[VDO decision]],Input_TUNet_Actual[[#Headers],[F-CurrentVDO_Input]:[F-NextVDO_Input]],0)),
Input_TUNet_Actual[Customer type],$E95,Input_TUNet_Actual[Item],$C95&amp;" - "&amp;G$94)=0,"-",MIN(SUMIFS(TUNet_Usage_Actual_1[Value],TUNet_Usage_Actual_1[Customer type],$E95,TUNet_Usage_Actual_1[Description],"Usage per customer"),SUMIFS(
INDEX(Input_TUNet_Actual[[F-CurrentVDO_Input]:[F-NextVDO_Input]],0,MATCH(TUNet_Usage_PerRate_1[[#This Row],[VDO decision]],Input_TUNet_Actual[[#Headers],[F-CurrentVDO_Input]:[F-NextVDO_Input]],0)),
Input_TUNet_Actual[Customer type],$E95,Input_TUNet_Actual[Item],$C95&amp;" - "&amp;G$94)))</f>
        <v>-</v>
      </c>
      <c r="H95" s="155" t="str">
        <f>IF(SUMIFS(
INDEX(Input_TUNet_Actual[[F-CurrentVDO_Input]:[F-NextVDO_Input]],0,MATCH(TUNet_Usage_PerRate_1[[#This Row],[VDO decision]],Input_TUNet_Actual[[#Headers],[F-CurrentVDO_Input]:[F-NextVDO_Input]],0)),
Input_TUNet_Actual[Customer type],$E95,Input_TUNet_Actual[Item],$C95&amp;" - "&amp;H$94)=0,"-",MIN(SUMIFS(TUNet_Usage_Actual_1[Value],TUNet_Usage_Actual_1[Customer type],$E95,TUNet_Usage_Actual_1[Description],"Usage per customer"),SUMIFS(
INDEX(Input_TUNet_Actual[[F-CurrentVDO_Input]:[F-NextVDO_Input]],0,MATCH(TUNet_Usage_PerRate_1[[#This Row],[VDO decision]],Input_TUNet_Actual[[#Headers],[F-CurrentVDO_Input]:[F-NextVDO_Input]],0)),
Input_TUNet_Actual[Customer type],$E95,Input_TUNet_Actual[Item],$C95&amp;" - "&amp;H$94)))</f>
        <v>-</v>
      </c>
      <c r="I95" s="155" t="str">
        <f>IF(SUMIFS(
INDEX(Input_TUNet_Actual[[F-CurrentVDO_Input]:[F-NextVDO_Input]],0,MATCH(TUNet_Usage_PerRate_1[[#This Row],[VDO decision]],Input_TUNet_Actual[[#Headers],[F-CurrentVDO_Input]:[F-NextVDO_Input]],0)),
Input_TUNet_Actual[Customer type],$E95,Input_TUNet_Actual[Item],$C95&amp;" - "&amp;I$94)=0,"-",MIN(SUMIFS(TUNet_Usage_Actual_1[Value],TUNet_Usage_Actual_1[Customer type],$E95,TUNet_Usage_Actual_1[Description],"Usage per customer"),SUMIFS(
INDEX(Input_TUNet_Actual[[F-CurrentVDO_Input]:[F-NextVDO_Input]],0,MATCH(TUNet_Usage_PerRate_1[[#This Row],[VDO decision]],Input_TUNet_Actual[[#Headers],[F-CurrentVDO_Input]:[F-NextVDO_Input]],0)),
Input_TUNet_Actual[Customer type],$E95,Input_TUNet_Actual[Item],$C95&amp;" - "&amp;I$94)))</f>
        <v>-</v>
      </c>
      <c r="J95" s="155" t="str">
        <f>IF(SUMIFS(
INDEX(Input_TUNet_Actual[[F-CurrentVDO_Input]:[F-NextVDO_Input]],0,MATCH(TUNet_Usage_PerRate_1[[#This Row],[VDO decision]],Input_TUNet_Actual[[#Headers],[F-CurrentVDO_Input]:[F-NextVDO_Input]],0)),
Input_TUNet_Actual[Customer type],$E95,Input_TUNet_Actual[Item],$C95&amp;" - "&amp;J$94)=0,"-",MIN(SUMIFS(TUNet_Usage_Actual_1[Value],TUNet_Usage_Actual_1[Customer type],$E95,TUNet_Usage_Actual_1[Description],"Usage per customer"),SUMIFS(
INDEX(Input_TUNet_Actual[[F-CurrentVDO_Input]:[F-NextVDO_Input]],0,MATCH(TUNet_Usage_PerRate_1[[#This Row],[VDO decision]],Input_TUNet_Actual[[#Headers],[F-CurrentVDO_Input]:[F-NextVDO_Input]],0)),
Input_TUNet_Actual[Customer type],$E95,Input_TUNet_Actual[Item],$C95&amp;" - "&amp;J$94)))</f>
        <v>-</v>
      </c>
    </row>
    <row r="96" spans="2:10" hidden="1" outlineLevel="1" x14ac:dyDescent="0.25">
      <c r="B96"/>
      <c r="C96" s="48" t="s">
        <v>417</v>
      </c>
      <c r="D96" s="71" t="str">
        <f>INDEX(Inputs!$H$10:$Q$10,1,MATCH($D$5,Inputs!$H$8:$Q$8,0))</f>
        <v>VF-CurrentVDO_Input</v>
      </c>
      <c r="E96" s="48" t="s">
        <v>32</v>
      </c>
      <c r="F96" s="155" t="str">
        <f>IF(SUMIFS(
INDEX(Input_TUNet_Actual[[F-CurrentVDO_Input]:[F-NextVDO_Input]],0,MATCH(TUNet_Usage_PerRate_1[[#This Row],[VDO decision]],Input_TUNet_Actual[[#Headers],[F-CurrentVDO_Input]:[F-NextVDO_Input]],0)),
Input_TUNet_Actual[Customer type],$E96,Input_TUNet_Actual[Item],$C96&amp;" - "&amp;F$94)=0,"-",MIN(SUMIFS(TUNet_Usage_Actual_1[Value],TUNet_Usage_Actual_1[Customer type],$E96,TUNet_Usage_Actual_1[Description],"Usage per customer"),SUMIFS(
INDEX(Input_TUNet_Actual[[F-CurrentVDO_Input]:[F-NextVDO_Input]],0,MATCH(TUNet_Usage_PerRate_1[[#This Row],[VDO decision]],Input_TUNet_Actual[[#Headers],[F-CurrentVDO_Input]:[F-NextVDO_Input]],0)),
Input_TUNet_Actual[Customer type],$E96,Input_TUNet_Actual[Item],$C96&amp;" - "&amp;F$94)))</f>
        <v>-</v>
      </c>
      <c r="G96" s="155" t="str">
        <f>IF(SUMIFS(
INDEX(Input_TUNet_Actual[[F-CurrentVDO_Input]:[F-NextVDO_Input]],0,MATCH(TUNet_Usage_PerRate_1[[#This Row],[VDO decision]],Input_TUNet_Actual[[#Headers],[F-CurrentVDO_Input]:[F-NextVDO_Input]],0)),
Input_TUNet_Actual[Customer type],$E96,Input_TUNet_Actual[Item],$C96&amp;" - "&amp;G$94)=0,"-",MIN(SUMIFS(TUNet_Usage_Actual_1[Value],TUNet_Usage_Actual_1[Customer type],$E96,TUNet_Usage_Actual_1[Description],"Usage per customer"),SUMIFS(
INDEX(Input_TUNet_Actual[[F-CurrentVDO_Input]:[F-NextVDO_Input]],0,MATCH(TUNet_Usage_PerRate_1[[#This Row],[VDO decision]],Input_TUNet_Actual[[#Headers],[F-CurrentVDO_Input]:[F-NextVDO_Input]],0)),
Input_TUNet_Actual[Customer type],$E96,Input_TUNet_Actual[Item],$C96&amp;" - "&amp;G$94)))</f>
        <v>-</v>
      </c>
      <c r="H96" s="155" t="str">
        <f>IF(SUMIFS(
INDEX(Input_TUNet_Actual[[F-CurrentVDO_Input]:[F-NextVDO_Input]],0,MATCH(TUNet_Usage_PerRate_1[[#This Row],[VDO decision]],Input_TUNet_Actual[[#Headers],[F-CurrentVDO_Input]:[F-NextVDO_Input]],0)),
Input_TUNet_Actual[Customer type],$E96,Input_TUNet_Actual[Item],$C96&amp;" - "&amp;H$94)=0,"-",MIN(SUMIFS(TUNet_Usage_Actual_1[Value],TUNet_Usage_Actual_1[Customer type],$E96,TUNet_Usage_Actual_1[Description],"Usage per customer"),SUMIFS(
INDEX(Input_TUNet_Actual[[F-CurrentVDO_Input]:[F-NextVDO_Input]],0,MATCH(TUNet_Usage_PerRate_1[[#This Row],[VDO decision]],Input_TUNet_Actual[[#Headers],[F-CurrentVDO_Input]:[F-NextVDO_Input]],0)),
Input_TUNet_Actual[Customer type],$E96,Input_TUNet_Actual[Item],$C96&amp;" - "&amp;H$94)))</f>
        <v>-</v>
      </c>
      <c r="I96" s="155" t="str">
        <f>IF(SUMIFS(
INDEX(Input_TUNet_Actual[[F-CurrentVDO_Input]:[F-NextVDO_Input]],0,MATCH(TUNet_Usage_PerRate_1[[#This Row],[VDO decision]],Input_TUNet_Actual[[#Headers],[F-CurrentVDO_Input]:[F-NextVDO_Input]],0)),
Input_TUNet_Actual[Customer type],$E96,Input_TUNet_Actual[Item],$C96&amp;" - "&amp;I$94)=0,"-",MIN(SUMIFS(TUNet_Usage_Actual_1[Value],TUNet_Usage_Actual_1[Customer type],$E96,TUNet_Usage_Actual_1[Description],"Usage per customer"),SUMIFS(
INDEX(Input_TUNet_Actual[[F-CurrentVDO_Input]:[F-NextVDO_Input]],0,MATCH(TUNet_Usage_PerRate_1[[#This Row],[VDO decision]],Input_TUNet_Actual[[#Headers],[F-CurrentVDO_Input]:[F-NextVDO_Input]],0)),
Input_TUNet_Actual[Customer type],$E96,Input_TUNet_Actual[Item],$C96&amp;" - "&amp;I$94)))</f>
        <v>-</v>
      </c>
      <c r="J96" s="155" t="str">
        <f>IF(SUMIFS(
INDEX(Input_TUNet_Actual[[F-CurrentVDO_Input]:[F-NextVDO_Input]],0,MATCH(TUNet_Usage_PerRate_1[[#This Row],[VDO decision]],Input_TUNet_Actual[[#Headers],[F-CurrentVDO_Input]:[F-NextVDO_Input]],0)),
Input_TUNet_Actual[Customer type],$E96,Input_TUNet_Actual[Item],$C96&amp;" - "&amp;J$94)=0,"-",MIN(SUMIFS(TUNet_Usage_Actual_1[Value],TUNet_Usage_Actual_1[Customer type],$E96,TUNet_Usage_Actual_1[Description],"Usage per customer"),SUMIFS(
INDEX(Input_TUNet_Actual[[F-CurrentVDO_Input]:[F-NextVDO_Input]],0,MATCH(TUNet_Usage_PerRate_1[[#This Row],[VDO decision]],Input_TUNet_Actual[[#Headers],[F-CurrentVDO_Input]:[F-NextVDO_Input]],0)),
Input_TUNet_Actual[Customer type],$E96,Input_TUNet_Actual[Item],$C96&amp;" - "&amp;J$94)))</f>
        <v>-</v>
      </c>
    </row>
    <row r="97" spans="2:15" hidden="1" outlineLevel="1" x14ac:dyDescent="0.25">
      <c r="B97"/>
      <c r="C97" s="152" t="s">
        <v>418</v>
      </c>
      <c r="D97" s="71" t="str">
        <f>INDEX(Inputs!$H$10:$Q$10,1,MATCH($D$5,Inputs!$H$8:$Q$8,0))</f>
        <v>VF-CurrentVDO_Input</v>
      </c>
      <c r="E97" s="48" t="s">
        <v>31</v>
      </c>
      <c r="F97" s="155" t="str">
        <f>IF(SUMIFS(F$95:F$96,$E$95:$E$96,$E97,$C$95:$C$96,"Usage per customer - Block 1")=0,"-",SUMIFS(TUNet_Usage_Actual_1[Value],TUNet_Usage_Actual_1[Customer type],$E97,TUNet_Usage_Actual_1[Description],"Usage per customer")-SUMIFS(F$95:F$96,$E$95:$E$96,$E97,$C$95:$C$96,"Usage per customer - Block 1"))</f>
        <v>-</v>
      </c>
      <c r="G97" s="155" t="str">
        <f>IF(SUMIFS(G$95:G$96,$E$95:$E$96,$E97,$C$95:$C$96,"Usage per customer - Block 1")=0,"-",SUMIFS(TUNet_Usage_Actual_1[Value],TUNet_Usage_Actual_1[Customer type],$E97,TUNet_Usage_Actual_1[Description],"Usage per customer")-SUMIFS(G$95:G$96,$E$95:$E$96,$E97,$C$95:$C$96,"Usage per customer - Block 1"))</f>
        <v>-</v>
      </c>
      <c r="H97" s="155" t="str">
        <f>IF(SUMIFS(H$95:H$96,$E$95:$E$96,$E97,$C$95:$C$96,"Usage per customer - Block 1")=0,"-",SUMIFS(TUNet_Usage_Actual_1[Value],TUNet_Usage_Actual_1[Customer type],$E97,TUNet_Usage_Actual_1[Description],"Usage per customer")-SUMIFS(H$95:H$96,$E$95:$E$96,$E97,$C$95:$C$96,"Usage per customer - Block 1"))</f>
        <v>-</v>
      </c>
      <c r="I97" s="155" t="str">
        <f>IF(SUMIFS(I$95:I$96,$E$95:$E$96,$E97,$C$95:$C$96,"Usage per customer - Block 1")=0,"-",SUMIFS(TUNet_Usage_Actual_1[Value],TUNet_Usage_Actual_1[Customer type],$E97,TUNet_Usage_Actual_1[Description],"Usage per customer")-SUMIFS(I$95:I$96,$E$95:$E$96,$E97,$C$95:$C$96,"Usage per customer - Block 1"))</f>
        <v>-</v>
      </c>
      <c r="J97" s="155" t="str">
        <f>IF(SUMIFS(J$95:J$96,$E$95:$E$96,$E97,$C$95:$C$96,"Usage per customer - Block 1")=0,"-",SUMIFS(TUNet_Usage_Actual_1[Value],TUNet_Usage_Actual_1[Customer type],$E97,TUNet_Usage_Actual_1[Description],"Usage per customer")-SUMIFS(J$95:J$96,$E$95:$E$96,$E97,$C$95:$C$96,"Usage per customer - Block 1"))</f>
        <v>-</v>
      </c>
    </row>
    <row r="98" spans="2:15" hidden="1" outlineLevel="1" x14ac:dyDescent="0.25">
      <c r="B98"/>
      <c r="C98" s="152" t="s">
        <v>418</v>
      </c>
      <c r="D98" s="71" t="str">
        <f>INDEX(Inputs!$H$10:$Q$10,1,MATCH($D$5,Inputs!$H$8:$Q$8,0))</f>
        <v>VF-CurrentVDO_Input</v>
      </c>
      <c r="E98" s="48" t="s">
        <v>32</v>
      </c>
      <c r="F98" s="155" t="str">
        <f>IF(SUMIFS(F$95:F$96,$E$95:$E$96,$E98,$C$95:$C$96,"Usage per customer - Block 1")=0,"-",SUMIFS(TUNet_Usage_Actual_1[Value],TUNet_Usage_Actual_1[Customer type],$E98,TUNet_Usage_Actual_1[Description],"Usage per customer")-SUMIFS(F$95:F$96,$E$95:$E$96,$E98,$C$95:$C$96,"Usage per customer - Block 1"))</f>
        <v>-</v>
      </c>
      <c r="G98" s="155" t="str">
        <f>IF(SUMIFS(G$95:G$96,$E$95:$E$96,$E98,$C$95:$C$96,"Usage per customer - Block 1")=0,"-",SUMIFS(TUNet_Usage_Actual_1[Value],TUNet_Usage_Actual_1[Customer type],$E98,TUNet_Usage_Actual_1[Description],"Usage per customer")-SUMIFS(G$95:G$96,$E$95:$E$96,$E98,$C$95:$C$96,"Usage per customer - Block 1"))</f>
        <v>-</v>
      </c>
      <c r="H98" s="155" t="str">
        <f>IF(SUMIFS(H$95:H$96,$E$95:$E$96,$E98,$C$95:$C$96,"Usage per customer - Block 1")=0,"-",SUMIFS(TUNet_Usage_Actual_1[Value],TUNet_Usage_Actual_1[Customer type],$E98,TUNet_Usage_Actual_1[Description],"Usage per customer")-SUMIFS(H$95:H$96,$E$95:$E$96,$E98,$C$95:$C$96,"Usage per customer - Block 1"))</f>
        <v>-</v>
      </c>
      <c r="I98" s="155" t="str">
        <f>IF(SUMIFS(I$95:I$96,$E$95:$E$96,$E98,$C$95:$C$96,"Usage per customer - Block 1")=0,"-",SUMIFS(TUNet_Usage_Actual_1[Value],TUNet_Usage_Actual_1[Customer type],$E98,TUNet_Usage_Actual_1[Description],"Usage per customer")-SUMIFS(I$95:I$96,$E$95:$E$96,$E98,$C$95:$C$96,"Usage per customer - Block 1"))</f>
        <v>-</v>
      </c>
      <c r="J98" s="155" t="str">
        <f>IF(SUMIFS(J$95:J$96,$E$95:$E$96,$E98,$C$95:$C$96,"Usage per customer - Block 1")=0,"-",SUMIFS(TUNet_Usage_Actual_1[Value],TUNet_Usage_Actual_1[Customer type],$E98,TUNet_Usage_Actual_1[Description],"Usage per customer")-SUMIFS(J$95:J$96,$E$95:$E$96,$E98,$C$95:$C$96,"Usage per customer - Block 1"))</f>
        <v>-</v>
      </c>
    </row>
    <row r="99" spans="2:15" hidden="1" outlineLevel="1" x14ac:dyDescent="0.25">
      <c r="B99"/>
      <c r="C99" s="152" t="s">
        <v>419</v>
      </c>
      <c r="D99" s="71" t="str">
        <f>INDEX(Inputs!$H$10:$Q$10,1,MATCH($D$5,Inputs!$H$8:$Q$8,0))</f>
        <v>VF-CurrentVDO_Input</v>
      </c>
      <c r="E99" s="48" t="s">
        <v>31</v>
      </c>
      <c r="F99" s="155">
        <f>IF(SUMIFS(
INDEX(Input_TUNet_Actual[[F-CurrentVDO_Input]:[F-NextVDO_Input]],0,MATCH(TUNet_Usage_PerRate_1[[#This Row],[VDO decision]],Input_TUNet_Actual[[#Headers],[F-CurrentVDO_Input]:[F-NextVDO_Input]],0)),
Input_TUNet_Actual[Customer type],$E99,Input_TUNet_Actual[Item],"Usage per customer - Block 1 - "&amp;F$94)=0,SUMIFS(TUNet_Usage_Actual_1[Value],TUNet_Usage_Actual_1[Customer type],$E99,TUNet_Usage_Actual_1[Description],"Usage per customer"),"-")</f>
        <v>0</v>
      </c>
      <c r="G99" s="155">
        <f>IF(SUMIFS(
INDEX(Input_TUNet_Actual[[F-CurrentVDO_Input]:[F-NextVDO_Input]],0,MATCH(TUNet_Usage_PerRate_1[[#This Row],[VDO decision]],Input_TUNet_Actual[[#Headers],[F-CurrentVDO_Input]:[F-NextVDO_Input]],0)),
Input_TUNet_Actual[Customer type],$E99,Input_TUNet_Actual[Item],"Usage per customer - Block 1 - "&amp;G$94)=0,SUMIFS(TUNet_Usage_Actual_1[Value],TUNet_Usage_Actual_1[Customer type],$E99,TUNet_Usage_Actual_1[Description],"Usage per customer"),"-")</f>
        <v>0</v>
      </c>
      <c r="H99" s="155">
        <f>IF(SUMIFS(
INDEX(Input_TUNet_Actual[[F-CurrentVDO_Input]:[F-NextVDO_Input]],0,MATCH(TUNet_Usage_PerRate_1[[#This Row],[VDO decision]],Input_TUNet_Actual[[#Headers],[F-CurrentVDO_Input]:[F-NextVDO_Input]],0)),
Input_TUNet_Actual[Customer type],$E99,Input_TUNet_Actual[Item],"Usage per customer - Block 1 - "&amp;H$94)=0,SUMIFS(TUNet_Usage_Actual_1[Value],TUNet_Usage_Actual_1[Customer type],$E99,TUNet_Usage_Actual_1[Description],"Usage per customer"),"-")</f>
        <v>0</v>
      </c>
      <c r="I99" s="155">
        <f>IF(SUMIFS(
INDEX(Input_TUNet_Actual[[F-CurrentVDO_Input]:[F-NextVDO_Input]],0,MATCH(TUNet_Usage_PerRate_1[[#This Row],[VDO decision]],Input_TUNet_Actual[[#Headers],[F-CurrentVDO_Input]:[F-NextVDO_Input]],0)),
Input_TUNet_Actual[Customer type],$E99,Input_TUNet_Actual[Item],"Usage per customer - Block 1 - "&amp;I$94)=0,SUMIFS(TUNet_Usage_Actual_1[Value],TUNet_Usage_Actual_1[Customer type],$E99,TUNet_Usage_Actual_1[Description],"Usage per customer"),"-")</f>
        <v>0</v>
      </c>
      <c r="J99" s="155">
        <f>IF(SUMIFS(
INDEX(Input_TUNet_Actual[[F-CurrentVDO_Input]:[F-NextVDO_Input]],0,MATCH(TUNet_Usage_PerRate_1[[#This Row],[VDO decision]],Input_TUNet_Actual[[#Headers],[F-CurrentVDO_Input]:[F-NextVDO_Input]],0)),
Input_TUNet_Actual[Customer type],$E99,Input_TUNet_Actual[Item],"Usage per customer - Block 1 - "&amp;J$94)=0,SUMIFS(TUNet_Usage_Actual_1[Value],TUNet_Usage_Actual_1[Customer type],$E99,TUNet_Usage_Actual_1[Description],"Usage per customer"),"-")</f>
        <v>0</v>
      </c>
    </row>
    <row r="100" spans="2:15" hidden="1" outlineLevel="1" x14ac:dyDescent="0.25">
      <c r="B100"/>
      <c r="C100" s="116" t="s">
        <v>419</v>
      </c>
      <c r="D100" s="71" t="str">
        <f>INDEX(Inputs!$H$10:$Q$10,1,MATCH($D$5,Inputs!$H$8:$Q$8,0))</f>
        <v>VF-CurrentVDO_Input</v>
      </c>
      <c r="E100" s="48" t="s">
        <v>32</v>
      </c>
      <c r="F100" s="18">
        <f>IF(SUMIFS(
INDEX(Input_TUNet_Actual[[F-CurrentVDO_Input]:[F-NextVDO_Input]],0,MATCH(TUNet_Usage_PerRate_1[[#This Row],[VDO decision]],Input_TUNet_Actual[[#Headers],[F-CurrentVDO_Input]:[F-NextVDO_Input]],0)),
Input_TUNet_Actual[Customer type],$E100,Input_TUNet_Actual[Item],"Usage per customer - Block 1 - "&amp;F$94)=0,SUMIFS(TUNet_Usage_Actual_1[Value],TUNet_Usage_Actual_1[Customer type],$E100,TUNet_Usage_Actual_1[Description],"Usage per customer"),"-")</f>
        <v>0</v>
      </c>
      <c r="G100" s="18">
        <f>IF(SUMIFS(
INDEX(Input_TUNet_Actual[[F-CurrentVDO_Input]:[F-NextVDO_Input]],0,MATCH(TUNet_Usage_PerRate_1[[#This Row],[VDO decision]],Input_TUNet_Actual[[#Headers],[F-CurrentVDO_Input]:[F-NextVDO_Input]],0)),
Input_TUNet_Actual[Customer type],$E100,Input_TUNet_Actual[Item],"Usage per customer - Block 1 - "&amp;G$94)=0,SUMIFS(TUNet_Usage_Actual_1[Value],TUNet_Usage_Actual_1[Customer type],$E100,TUNet_Usage_Actual_1[Description],"Usage per customer"),"-")</f>
        <v>0</v>
      </c>
      <c r="H100" s="18">
        <f>IF(SUMIFS(
INDEX(Input_TUNet_Actual[[F-CurrentVDO_Input]:[F-NextVDO_Input]],0,MATCH(TUNet_Usage_PerRate_1[[#This Row],[VDO decision]],Input_TUNet_Actual[[#Headers],[F-CurrentVDO_Input]:[F-NextVDO_Input]],0)),
Input_TUNet_Actual[Customer type],$E100,Input_TUNet_Actual[Item],"Usage per customer - Block 1 - "&amp;H$94)=0,SUMIFS(TUNet_Usage_Actual_1[Value],TUNet_Usage_Actual_1[Customer type],$E100,TUNet_Usage_Actual_1[Description],"Usage per customer"),"-")</f>
        <v>0</v>
      </c>
      <c r="I100" s="18">
        <f>IF(SUMIFS(
INDEX(Input_TUNet_Actual[[F-CurrentVDO_Input]:[F-NextVDO_Input]],0,MATCH(TUNet_Usage_PerRate_1[[#This Row],[VDO decision]],Input_TUNet_Actual[[#Headers],[F-CurrentVDO_Input]:[F-NextVDO_Input]],0)),
Input_TUNet_Actual[Customer type],$E100,Input_TUNet_Actual[Item],"Usage per customer - Block 1 - "&amp;I$94)=0,SUMIFS(TUNet_Usage_Actual_1[Value],TUNet_Usage_Actual_1[Customer type],$E100,TUNet_Usage_Actual_1[Description],"Usage per customer"),"-")</f>
        <v>0</v>
      </c>
      <c r="J100" s="18">
        <f>IF(SUMIFS(
INDEX(Input_TUNet_Actual[[F-CurrentVDO_Input]:[F-NextVDO_Input]],0,MATCH(TUNet_Usage_PerRate_1[[#This Row],[VDO decision]],Input_TUNet_Actual[[#Headers],[F-CurrentVDO_Input]:[F-NextVDO_Input]],0)),
Input_TUNet_Actual[Customer type],$E100,Input_TUNet_Actual[Item],"Usage per customer - Block 1 - "&amp;J$94)=0,SUMIFS(TUNet_Usage_Actual_1[Value],TUNet_Usage_Actual_1[Customer type],$E100,TUNet_Usage_Actual_1[Description],"Usage per customer"),"-")</f>
        <v>0</v>
      </c>
    </row>
    <row r="101" spans="2:15" hidden="1" outlineLevel="1" x14ac:dyDescent="0.25">
      <c r="B101"/>
    </row>
    <row r="102" spans="2:15" ht="15.75" hidden="1" outlineLevel="1" x14ac:dyDescent="0.25">
      <c r="B102"/>
      <c r="C102" s="23" t="s">
        <v>403</v>
      </c>
    </row>
    <row r="103" spans="2:15" ht="15.75" hidden="1" outlineLevel="1" x14ac:dyDescent="0.25">
      <c r="C103" s="34" t="s">
        <v>24</v>
      </c>
      <c r="D103" s="34" t="s">
        <v>36</v>
      </c>
      <c r="E103" s="34" t="s">
        <v>352</v>
      </c>
      <c r="F103" s="34" t="s">
        <v>355</v>
      </c>
      <c r="G103" s="34" t="s">
        <v>251</v>
      </c>
      <c r="H103" s="34" t="s">
        <v>37</v>
      </c>
      <c r="I103" s="34" t="s">
        <v>38</v>
      </c>
      <c r="J103" s="33" t="s">
        <v>30</v>
      </c>
      <c r="K103" s="49" t="s">
        <v>204</v>
      </c>
      <c r="L103" s="49" t="s">
        <v>205</v>
      </c>
      <c r="M103" s="49" t="s">
        <v>206</v>
      </c>
      <c r="N103" s="49" t="s">
        <v>207</v>
      </c>
      <c r="O103" s="49" t="s">
        <v>208</v>
      </c>
    </row>
    <row r="104" spans="2:15" hidden="1" outlineLevel="1" x14ac:dyDescent="0.25">
      <c r="C104" s="48"/>
      <c r="D104" s="48"/>
      <c r="E104" s="48"/>
      <c r="F104" s="48"/>
      <c r="G104" s="48"/>
      <c r="H104" s="48"/>
      <c r="I104" s="48"/>
      <c r="J104" s="48"/>
      <c r="K104" s="55"/>
      <c r="L104" s="48"/>
      <c r="M104" s="48"/>
      <c r="N104" s="48"/>
      <c r="O104" s="48"/>
    </row>
    <row r="105" spans="2:15" ht="15.75" hidden="1" outlineLevel="1" x14ac:dyDescent="0.25">
      <c r="C105" s="1" t="s">
        <v>313</v>
      </c>
      <c r="D105" s="48"/>
      <c r="E105" s="48"/>
      <c r="F105" s="48"/>
      <c r="G105" s="57" t="s">
        <v>253</v>
      </c>
      <c r="H105" s="48"/>
      <c r="I105" s="48"/>
      <c r="J105" s="48"/>
      <c r="K105" s="55"/>
      <c r="L105" s="48"/>
      <c r="M105" s="48"/>
      <c r="N105" s="48"/>
      <c r="O105" s="48"/>
    </row>
    <row r="106" spans="2:15" hidden="1" outlineLevel="1" x14ac:dyDescent="0.25">
      <c r="C106" s="46" t="s">
        <v>327</v>
      </c>
      <c r="D106" s="46"/>
      <c r="E106" s="46"/>
      <c r="F106" s="46"/>
      <c r="G106" s="57"/>
      <c r="H106" s="57"/>
      <c r="I106" s="18"/>
      <c r="J106" s="18"/>
      <c r="K106" s="54"/>
      <c r="L106" s="18"/>
      <c r="M106" s="18"/>
      <c r="N106" s="18"/>
      <c r="O106" s="18"/>
    </row>
    <row r="107" spans="2:15" hidden="1" outlineLevel="1" x14ac:dyDescent="0.25">
      <c r="C107" s="48" t="s">
        <v>301</v>
      </c>
      <c r="D107" s="71" t="str">
        <f>Calc_TU_values!$D$5</f>
        <v>VDO 2021 - Variation final</v>
      </c>
      <c r="E107" s="18" t="s">
        <v>353</v>
      </c>
      <c r="F107" s="71" t="str">
        <f>INDEX(Inputs!$H$10:$Q$10,1,MATCH($D107,Inputs!$H$8:$Q$8,0))</f>
        <v>VF-CurrentVDO_Input</v>
      </c>
      <c r="G107" s="47"/>
      <c r="H107" s="18" t="s">
        <v>44</v>
      </c>
      <c r="I107" s="18" t="s">
        <v>45</v>
      </c>
      <c r="J107" s="48" t="s">
        <v>31</v>
      </c>
      <c r="K107" s="55" cm="1">
        <f t="array" ref="K107">IFERROR(INDEX(Input_ForRateCalc[],MATCH($C107&amp;" - "&amp;K$103,Input_ForRateCalc[[Cost item]:[Cost item]],0),MATCH(Calc_TUV_Net_1[[#This Row],[Decision ref]:[Decision ref]],Input_ForRateCalc[#Headers],0)),"-")*TUProp_Days_1</f>
        <v>0</v>
      </c>
      <c r="L107" s="55" cm="1">
        <f t="array" ref="L107">IFERROR(INDEX(Input_ForRateCalc[],MATCH($C107&amp;" - "&amp;L$103,Input_ForRateCalc[[Cost item]:[Cost item]],0),MATCH(Calc_TUV_Net_1[[#This Row],[Decision ref]:[Decision ref]],Input_ForRateCalc[#Headers],0)),"-")*TUProp_Days_1</f>
        <v>0</v>
      </c>
      <c r="M107" s="55" cm="1">
        <f t="array" ref="M107">IFERROR(INDEX(Input_ForRateCalc[],MATCH($C107&amp;" - "&amp;M$103,Input_ForRateCalc[[Cost item]:[Cost item]],0),MATCH(Calc_TUV_Net_1[[#This Row],[Decision ref]:[Decision ref]],Input_ForRateCalc[#Headers],0)),"-")*TUProp_Days_1</f>
        <v>0</v>
      </c>
      <c r="N107" s="55" cm="1">
        <f t="array" ref="N107">IFERROR(INDEX(Input_ForRateCalc[],MATCH($C107&amp;" - "&amp;N$103,Input_ForRateCalc[[Cost item]:[Cost item]],0),MATCH(Calc_TUV_Net_1[[#This Row],[Decision ref]:[Decision ref]],Input_ForRateCalc[#Headers],0)),"-")*TUProp_Days_1</f>
        <v>0</v>
      </c>
      <c r="O107" s="55" cm="1">
        <f t="array" ref="O107">IFERROR(INDEX(Input_ForRateCalc[],MATCH($C107&amp;" - "&amp;O$103,Input_ForRateCalc[[Cost item]:[Cost item]],0),MATCH(Calc_TUV_Net_1[[#This Row],[Decision ref]:[Decision ref]],Input_ForRateCalc[#Headers],0)),"-")*TUProp_Days_1</f>
        <v>0</v>
      </c>
    </row>
    <row r="108" spans="2:15" hidden="1" outlineLevel="1" x14ac:dyDescent="0.25">
      <c r="C108" s="48" t="s">
        <v>211</v>
      </c>
      <c r="D108" s="71" t="str">
        <f>Calc_TU_values!$D$5</f>
        <v>VDO 2021 - Variation final</v>
      </c>
      <c r="E108" s="18" t="s">
        <v>353</v>
      </c>
      <c r="F108" s="71" t="str">
        <f>INDEX(Inputs!$H$10:$Q$10,1,MATCH($D108,Inputs!$H$8:$Q$8,0))</f>
        <v>VF-CurrentVDO_Input</v>
      </c>
      <c r="G108" s="47"/>
      <c r="H108" s="18" t="s">
        <v>44</v>
      </c>
      <c r="I108" s="18" t="s">
        <v>45</v>
      </c>
      <c r="J108" s="48" t="s">
        <v>31</v>
      </c>
      <c r="K108" s="55" cm="1">
        <f t="array" ref="K108">IFERROR(INDEX(Input_ForRateCalc[],MATCH($C108&amp;" - "&amp;K$103,Input_ForRateCalc[[Cost item]:[Cost item]],0),MATCH(Calc_TUV_Net_1[[#This Row],[Decision ref]:[Decision ref]],Input_ForRateCalc[#Headers],0)),"-")*TUProp_Days_1</f>
        <v>0</v>
      </c>
      <c r="L108" s="55" cm="1">
        <f t="array" ref="L108">IFERROR(INDEX(Input_ForRateCalc[],MATCH($C108&amp;" - "&amp;L$103,Input_ForRateCalc[[Cost item]:[Cost item]],0),MATCH(Calc_TUV_Net_1[[#This Row],[Decision ref]:[Decision ref]],Input_ForRateCalc[#Headers],0)),"-")*TUProp_Days_1</f>
        <v>0</v>
      </c>
      <c r="M108" s="55" cm="1">
        <f t="array" ref="M108">IFERROR(INDEX(Input_ForRateCalc[],MATCH($C108&amp;" - "&amp;M$103,Input_ForRateCalc[[Cost item]:[Cost item]],0),MATCH(Calc_TUV_Net_1[[#This Row],[Decision ref]:[Decision ref]],Input_ForRateCalc[#Headers],0)),"-")*TUProp_Days_1</f>
        <v>0</v>
      </c>
      <c r="N108" s="55" cm="1">
        <f t="array" ref="N108">IFERROR(INDEX(Input_ForRateCalc[],MATCH($C108&amp;" - "&amp;N$103,Input_ForRateCalc[[Cost item]:[Cost item]],0),MATCH(Calc_TUV_Net_1[[#This Row],[Decision ref]:[Decision ref]],Input_ForRateCalc[#Headers],0)),"-")*TUProp_Days_1</f>
        <v>0</v>
      </c>
      <c r="O108" s="55" cm="1">
        <f t="array" ref="O108">IFERROR(INDEX(Input_ForRateCalc[],MATCH($C108&amp;" - "&amp;O$103,Input_ForRateCalc[[Cost item]:[Cost item]],0),MATCH(Calc_TUV_Net_1[[#This Row],[Decision ref]:[Decision ref]],Input_ForRateCalc[#Headers],0)),"-")*TUProp_Days_1</f>
        <v>0</v>
      </c>
    </row>
    <row r="109" spans="2:15" hidden="1" outlineLevel="1" x14ac:dyDescent="0.25">
      <c r="C109" s="48" t="s">
        <v>254</v>
      </c>
      <c r="D109" s="71" t="str">
        <f>Calc_TU_values!$D$5</f>
        <v>VDO 2021 - Variation final</v>
      </c>
      <c r="E109" s="18" t="s">
        <v>353</v>
      </c>
      <c r="F109" s="71" t="str">
        <f>INDEX(Inputs!$H$10:$Q$10,1,MATCH($D109,Inputs!$H$8:$Q$8,0))</f>
        <v>VF-CurrentVDO_Input</v>
      </c>
      <c r="G109" s="47"/>
      <c r="H109" s="18" t="s">
        <v>44</v>
      </c>
      <c r="I109" s="18" t="s">
        <v>45</v>
      </c>
      <c r="J109" s="48" t="s">
        <v>31</v>
      </c>
      <c r="K109" s="53">
        <f>IFERROR(SUM(K107:K108),"-")</f>
        <v>0</v>
      </c>
      <c r="L109" s="53">
        <f>IFERROR(SUM(L107:L108),"-")</f>
        <v>0</v>
      </c>
      <c r="M109" s="53">
        <f>IFERROR(SUM(M107:M108),"-")</f>
        <v>0</v>
      </c>
      <c r="N109" s="53">
        <f>IFERROR(SUM(N107:N108),"-")</f>
        <v>0</v>
      </c>
      <c r="O109" s="53">
        <f>IFERROR(SUM(O107:O108),"-")</f>
        <v>0</v>
      </c>
    </row>
    <row r="110" spans="2:15" hidden="1" outlineLevel="1" x14ac:dyDescent="0.25">
      <c r="C110" s="48" t="s">
        <v>301</v>
      </c>
      <c r="D110" s="71" t="str">
        <f>INDEX(Input_DecisionActual[[Actual]:[Actual]],MATCH(Calc_TU_values!$D$5,Input_DecisionActual[[VDO period]:[VDO period]],0),1)</f>
        <v>VDO 2021 - Final</v>
      </c>
      <c r="E110" s="18" t="s">
        <v>354</v>
      </c>
      <c r="F110" s="71" t="str">
        <f>IF($D110="-","-",INDEX(Inputs!$H$10:$Q$10,1,MATCH($D110,Inputs!$H$8:$Q$8,0)))</f>
        <v>F-CurrentVDO_Input</v>
      </c>
      <c r="G110" s="47"/>
      <c r="H110" s="18" t="s">
        <v>44</v>
      </c>
      <c r="I110" s="18" t="s">
        <v>45</v>
      </c>
      <c r="J110" s="48" t="s">
        <v>31</v>
      </c>
      <c r="K110" s="55" cm="1">
        <f t="array" ref="K110">IFERROR(INDEX(Input_ForRateCalc[],MATCH($C110&amp;" - "&amp;K$103,Input_ForRateCalc[[Cost item]:[Cost item]],0),MATCH(Calc_TUV_Net_1[[#This Row],[Decision ref]:[Decision ref]],Input_ForRateCalc[#Headers],0)),"-")*TUProp_Days_1</f>
        <v>0</v>
      </c>
      <c r="L110" s="55" cm="1">
        <f t="array" ref="L110">IFERROR(INDEX(Input_ForRateCalc[],MATCH($C110&amp;" - "&amp;L$103,Input_ForRateCalc[[Cost item]:[Cost item]],0),MATCH(Calc_TUV_Net_1[[#This Row],[Decision ref]:[Decision ref]],Input_ForRateCalc[#Headers],0)),"-")*TUProp_Days_1</f>
        <v>0</v>
      </c>
      <c r="M110" s="55" cm="1">
        <f t="array" ref="M110">IFERROR(INDEX(Input_ForRateCalc[],MATCH($C110&amp;" - "&amp;M$103,Input_ForRateCalc[[Cost item]:[Cost item]],0),MATCH(Calc_TUV_Net_1[[#This Row],[Decision ref]:[Decision ref]],Input_ForRateCalc[#Headers],0)),"-")*TUProp_Days_1</f>
        <v>0</v>
      </c>
      <c r="N110" s="55" cm="1">
        <f t="array" ref="N110">IFERROR(INDEX(Input_ForRateCalc[],MATCH($C110&amp;" - "&amp;N$103,Input_ForRateCalc[[Cost item]:[Cost item]],0),MATCH(Calc_TUV_Net_1[[#This Row],[Decision ref]:[Decision ref]],Input_ForRateCalc[#Headers],0)),"-")*TUProp_Days_1</f>
        <v>0</v>
      </c>
      <c r="O110" s="55" cm="1">
        <f t="array" ref="O110">IFERROR(INDEX(Input_ForRateCalc[],MATCH($C110&amp;" - "&amp;O$103,Input_ForRateCalc[[Cost item]:[Cost item]],0),MATCH(Calc_TUV_Net_1[[#This Row],[Decision ref]:[Decision ref]],Input_ForRateCalc[#Headers],0)),"-")*TUProp_Days_1</f>
        <v>0</v>
      </c>
    </row>
    <row r="111" spans="2:15" hidden="1" outlineLevel="1" x14ac:dyDescent="0.25">
      <c r="C111" s="48" t="s">
        <v>211</v>
      </c>
      <c r="D111" s="71" t="str">
        <f>INDEX(Input_DecisionActual[[Actual]:[Actual]],MATCH(Calc_TU_values!$D$5,Input_DecisionActual[[VDO period]:[VDO period]],0),1)</f>
        <v>VDO 2021 - Final</v>
      </c>
      <c r="E111" s="18" t="s">
        <v>354</v>
      </c>
      <c r="F111" s="71" t="str">
        <f>IF($D111="-","-",INDEX(Inputs!$H$10:$Q$10,1,MATCH($D111,Inputs!$H$8:$Q$8,0)))</f>
        <v>F-CurrentVDO_Input</v>
      </c>
      <c r="G111" s="47"/>
      <c r="H111" s="18" t="s">
        <v>44</v>
      </c>
      <c r="I111" s="18" t="s">
        <v>45</v>
      </c>
      <c r="J111" s="48" t="s">
        <v>31</v>
      </c>
      <c r="K111" s="55" cm="1">
        <f t="array" ref="K111">IFERROR(INDEX(Input_ForRateCalc[],MATCH($C111&amp;" - "&amp;K$103,Input_ForRateCalc[[Cost item]:[Cost item]],0),MATCH(Calc_TUV_Net_1[[#This Row],[Decision ref]:[Decision ref]],Input_ForRateCalc[#Headers],0)),"-")*TUProp_Days_1</f>
        <v>0</v>
      </c>
      <c r="L111" s="55" cm="1">
        <f t="array" ref="L111">IFERROR(INDEX(Input_ForRateCalc[],MATCH($C111&amp;" - "&amp;L$103,Input_ForRateCalc[[Cost item]:[Cost item]],0),MATCH(Calc_TUV_Net_1[[#This Row],[Decision ref]:[Decision ref]],Input_ForRateCalc[#Headers],0)),"-")*TUProp_Days_1</f>
        <v>0</v>
      </c>
      <c r="M111" s="55" cm="1">
        <f t="array" ref="M111">IFERROR(INDEX(Input_ForRateCalc[],MATCH($C111&amp;" - "&amp;M$103,Input_ForRateCalc[[Cost item]:[Cost item]],0),MATCH(Calc_TUV_Net_1[[#This Row],[Decision ref]:[Decision ref]],Input_ForRateCalc[#Headers],0)),"-")*TUProp_Days_1</f>
        <v>0</v>
      </c>
      <c r="N111" s="55" cm="1">
        <f t="array" ref="N111">IFERROR(INDEX(Input_ForRateCalc[],MATCH($C111&amp;" - "&amp;N$103,Input_ForRateCalc[[Cost item]:[Cost item]],0),MATCH(Calc_TUV_Net_1[[#This Row],[Decision ref]:[Decision ref]],Input_ForRateCalc[#Headers],0)),"-")*TUProp_Days_1</f>
        <v>0</v>
      </c>
      <c r="O111" s="55" cm="1">
        <f t="array" ref="O111">IFERROR(INDEX(Input_ForRateCalc[],MATCH($C111&amp;" - "&amp;O$103,Input_ForRateCalc[[Cost item]:[Cost item]],0),MATCH(Calc_TUV_Net_1[[#This Row],[Decision ref]:[Decision ref]],Input_ForRateCalc[#Headers],0)),"-")*TUProp_Days_1</f>
        <v>0</v>
      </c>
    </row>
    <row r="112" spans="2:15" hidden="1" outlineLevel="1" x14ac:dyDescent="0.25">
      <c r="C112" s="48" t="s">
        <v>254</v>
      </c>
      <c r="D112" s="71" t="str">
        <f>INDEX(Input_DecisionActual[[Actual]:[Actual]],MATCH(Calc_TU_values!$D$5,Input_DecisionActual[[VDO period]:[VDO period]],0),1)</f>
        <v>VDO 2021 - Final</v>
      </c>
      <c r="E112" s="18" t="s">
        <v>354</v>
      </c>
      <c r="F112" s="71" t="str">
        <f>IF($D112="-","-",INDEX(Inputs!$H$10:$Q$10,1,MATCH($D112,Inputs!$H$8:$Q$8,0)))</f>
        <v>F-CurrentVDO_Input</v>
      </c>
      <c r="G112" s="47"/>
      <c r="H112" s="18" t="s">
        <v>44</v>
      </c>
      <c r="I112" s="18" t="s">
        <v>45</v>
      </c>
      <c r="J112" s="48" t="s">
        <v>31</v>
      </c>
      <c r="K112" s="54">
        <f>SUM(K110:K111)</f>
        <v>0</v>
      </c>
      <c r="L112" s="54">
        <f>SUM(L110:L111)</f>
        <v>0</v>
      </c>
      <c r="M112" s="54">
        <f>SUM(M110:M111)</f>
        <v>0</v>
      </c>
      <c r="N112" s="54">
        <f>SUM(N110:N111)</f>
        <v>0</v>
      </c>
      <c r="O112" s="54">
        <f>SUM(O110:O111)</f>
        <v>0</v>
      </c>
    </row>
    <row r="113" spans="3:15" hidden="1" outlineLevel="1" x14ac:dyDescent="0.25">
      <c r="C113" s="48" t="s">
        <v>255</v>
      </c>
      <c r="D113" s="18"/>
      <c r="E113" s="18"/>
      <c r="F113" s="18"/>
      <c r="G113" s="18"/>
      <c r="H113" s="18" t="s">
        <v>44</v>
      </c>
      <c r="I113" s="18" t="s">
        <v>45</v>
      </c>
      <c r="J113" s="48" t="s">
        <v>31</v>
      </c>
      <c r="K113" s="54" t="str">
        <f>IF(K112=0,"-",K109-K112)</f>
        <v>-</v>
      </c>
      <c r="L113" s="54" t="str">
        <f t="shared" ref="L113:O113" si="60">IF(L112=0,"-",L109-L112)</f>
        <v>-</v>
      </c>
      <c r="M113" s="54" t="str">
        <f t="shared" si="60"/>
        <v>-</v>
      </c>
      <c r="N113" s="54" t="str">
        <f t="shared" si="60"/>
        <v>-</v>
      </c>
      <c r="O113" s="54" t="str">
        <f t="shared" si="60"/>
        <v>-</v>
      </c>
    </row>
    <row r="114" spans="3:15" hidden="1" outlineLevel="1" x14ac:dyDescent="0.25">
      <c r="C114" s="48" t="s">
        <v>296</v>
      </c>
      <c r="D114" s="18"/>
      <c r="E114" s="18"/>
      <c r="F114" s="18"/>
      <c r="G114" s="18"/>
      <c r="H114" s="18" t="s">
        <v>44</v>
      </c>
      <c r="I114" s="18" t="s">
        <v>45</v>
      </c>
      <c r="J114" s="48" t="s">
        <v>31</v>
      </c>
      <c r="K114" s="55" t="str">
        <f>IFERROR(IF($D$11="Yes",K113*(1+WACC_adj_1),""),"-")</f>
        <v/>
      </c>
      <c r="L114" s="55" t="str">
        <f>IFERROR(IF($D$11="Yes",L113*(1+WACC_adj_1),""),"-")</f>
        <v/>
      </c>
      <c r="M114" s="55" t="str">
        <f>IFERROR(IF($D$11="Yes",M113*(1+WACC_adj_1),""),"-")</f>
        <v/>
      </c>
      <c r="N114" s="55" t="str">
        <f>IFERROR(IF($D$11="Yes",N113*(1+WACC_adj_1),""),"-")</f>
        <v/>
      </c>
      <c r="O114" s="55" t="str">
        <f>IFERROR(IF($D$11="Yes",O113*(1+WACC_adj_1),""),"-")</f>
        <v/>
      </c>
    </row>
    <row r="115" spans="3:15" hidden="1" outlineLevel="1" x14ac:dyDescent="0.25">
      <c r="C115" s="48" t="s">
        <v>257</v>
      </c>
      <c r="D115" s="71" t="str">
        <f>INDEX(Input_DecisionActual[[Actual]:[Actual]],MATCH(Calc_TU_values!$D$5,Input_DecisionActual[[VDO period]:[VDO period]],0),1)</f>
        <v>VDO 2021 - Final</v>
      </c>
      <c r="E115" s="18" t="s">
        <v>354</v>
      </c>
      <c r="F115" s="71" t="str">
        <f>IF($D115="-","-",INDEX(Inputs!$H$10:$Q$10,1,MATCH($D115,Inputs!$H$8:$Q$8,0)))</f>
        <v>F-CurrentVDO_Input</v>
      </c>
      <c r="G115" s="18"/>
      <c r="H115" s="18" t="s">
        <v>44</v>
      </c>
      <c r="I115" s="18" t="s">
        <v>45</v>
      </c>
      <c r="J115" s="48" t="s">
        <v>31</v>
      </c>
      <c r="K115" s="55" cm="1">
        <f t="array" ref="K115">IFERROR(SUM(K113:K114)*(INDEX(Inputs!$H$11:$Q$125,MATCH("Retail operating margin",Input_ForRateCalc[[Cost item]:[Cost item]],0),MATCH(Calc_TUV_Net_1[[#This Row],[Decision ref]:[Decision ref]],Inputs!$H$10:$Q$10,0))),"-")</f>
        <v>0</v>
      </c>
      <c r="L115" s="55" cm="1">
        <f t="array" ref="L115">IFERROR(SUM(L113:L114)*(INDEX(Inputs!$H$11:$Q$125,MATCH("Retail operating margin",Input_ForRateCalc[[Cost item]:[Cost item]],0),MATCH(Calc_TUV_Net_1[[#This Row],[Decision ref]:[Decision ref]],Inputs!$H$10:$Q$10,0))),"-")</f>
        <v>0</v>
      </c>
      <c r="M115" s="55" cm="1">
        <f t="array" ref="M115">IFERROR(SUM(M113:M114)*(INDEX(Inputs!$H$11:$Q$125,MATCH("Retail operating margin",Input_ForRateCalc[[Cost item]:[Cost item]],0),MATCH(Calc_TUV_Net_1[[#This Row],[Decision ref]:[Decision ref]],Inputs!$H$10:$Q$10,0))),"-")</f>
        <v>0</v>
      </c>
      <c r="N115" s="55" cm="1">
        <f t="array" ref="N115">IFERROR(SUM(N113:N114)*(INDEX(Inputs!$H$11:$Q$125,MATCH("Retail operating margin",Input_ForRateCalc[[Cost item]:[Cost item]],0),MATCH(Calc_TUV_Net_1[[#This Row],[Decision ref]:[Decision ref]],Inputs!$H$10:$Q$10,0))),"-")</f>
        <v>0</v>
      </c>
      <c r="O115" s="55" cm="1">
        <f t="array" ref="O115">IFERROR(SUM(O113:O114)*(INDEX(Inputs!$H$11:$Q$125,MATCH("Retail operating margin",Input_ForRateCalc[[Cost item]:[Cost item]],0),MATCH(Calc_TUV_Net_1[[#This Row],[Decision ref]:[Decision ref]],Inputs!$H$10:$Q$10,0))),"-")</f>
        <v>0</v>
      </c>
    </row>
    <row r="116" spans="3:15" hidden="1" outlineLevel="1" x14ac:dyDescent="0.25">
      <c r="C116" s="48" t="s">
        <v>297</v>
      </c>
      <c r="D116" s="18"/>
      <c r="E116" s="18"/>
      <c r="F116" s="18"/>
      <c r="G116" s="18"/>
      <c r="H116" s="18" t="s">
        <v>44</v>
      </c>
      <c r="I116" s="18" t="s">
        <v>45</v>
      </c>
      <c r="J116" s="48" t="s">
        <v>31</v>
      </c>
      <c r="K116" s="55" t="str">
        <f>IF(K112=0,"-",SUM(K113:K115)*GST)</f>
        <v>-</v>
      </c>
      <c r="L116" s="55" t="str">
        <f>IF(L112=0,"-",SUM(L113:L115)*GST)</f>
        <v>-</v>
      </c>
      <c r="M116" s="55" t="str">
        <f>IF(M112=0,"-",SUM(M113:M115)*GST)</f>
        <v>-</v>
      </c>
      <c r="N116" s="55" t="str">
        <f>IF(N112=0,"-",SUM(N113:N115)*GST)</f>
        <v>-</v>
      </c>
      <c r="O116" s="55" t="str">
        <f>IF(O112=0,"-",SUM(O113:O115)*GST)</f>
        <v>-</v>
      </c>
    </row>
    <row r="117" spans="3:15" hidden="1" outlineLevel="1" x14ac:dyDescent="0.25">
      <c r="C117" s="18" t="s">
        <v>323</v>
      </c>
      <c r="D117" s="18"/>
      <c r="E117" s="18"/>
      <c r="F117" s="18"/>
      <c r="G117" s="18"/>
      <c r="H117" s="18" t="s">
        <v>44</v>
      </c>
      <c r="I117" s="18" t="s">
        <v>45</v>
      </c>
      <c r="J117" s="48" t="s">
        <v>31</v>
      </c>
      <c r="K117" s="55" t="str">
        <f>IF(K112=0,"-",SUM(K113:K116))</f>
        <v>-</v>
      </c>
      <c r="L117" s="55" t="str">
        <f>IF(L112=0,"-",SUM(L113:L116))</f>
        <v>-</v>
      </c>
      <c r="M117" s="55" t="str">
        <f>IF(M112=0,"-",SUM(M113:M116))</f>
        <v>-</v>
      </c>
      <c r="N117" s="55" t="str">
        <f>IF(N112=0,"-",SUM(N113:N116))</f>
        <v>-</v>
      </c>
      <c r="O117" s="55" t="str">
        <f>IF(O112=0,"-",SUM(O113:O116))</f>
        <v>-</v>
      </c>
    </row>
    <row r="118" spans="3:15" hidden="1" outlineLevel="1" x14ac:dyDescent="0.25">
      <c r="C118" s="48"/>
      <c r="D118" s="94"/>
      <c r="E118" s="94"/>
      <c r="F118" s="94"/>
      <c r="H118" s="18"/>
      <c r="I118" s="18"/>
      <c r="J118" s="18"/>
      <c r="K118" s="105"/>
      <c r="L118" s="105"/>
      <c r="M118" s="105"/>
      <c r="N118" s="105"/>
      <c r="O118" s="105"/>
    </row>
    <row r="119" spans="3:15" hidden="1" outlineLevel="1" x14ac:dyDescent="0.25">
      <c r="C119" s="46" t="s">
        <v>328</v>
      </c>
      <c r="D119" s="18"/>
      <c r="E119" s="18"/>
      <c r="F119" s="18"/>
      <c r="G119" s="57"/>
      <c r="H119" s="18"/>
      <c r="I119" s="18"/>
      <c r="J119" s="18"/>
      <c r="K119" s="106"/>
      <c r="L119" s="106"/>
      <c r="M119" s="106"/>
      <c r="N119" s="106"/>
      <c r="O119" s="106"/>
    </row>
    <row r="120" spans="3:15" hidden="1" outlineLevel="1" x14ac:dyDescent="0.25">
      <c r="C120" s="48" t="s">
        <v>305</v>
      </c>
      <c r="D120" s="71" t="str">
        <f>Calc_TU_values!$D$5</f>
        <v>VDO 2021 - Variation final</v>
      </c>
      <c r="E120" s="18" t="s">
        <v>353</v>
      </c>
      <c r="F120" s="71" t="str">
        <f>INDEX(Inputs!$H$10:$Q$10,1,MATCH($D120,Inputs!$H$8:$Q$8,0))</f>
        <v>VF-CurrentVDO_Input</v>
      </c>
      <c r="G120" s="18"/>
      <c r="H120" s="18" t="s">
        <v>66</v>
      </c>
      <c r="I120" s="18" t="s">
        <v>101</v>
      </c>
      <c r="J120" s="48" t="s">
        <v>31</v>
      </c>
      <c r="K120" s="55" cm="1">
        <f t="array" ref="K120">IFERROR(INDEX(Input_ForRateCalc[],MATCH($C120&amp;" - "&amp;K$103,Input_ForRateCalc[[Cost item]:[Cost item]],0),MATCH(Calc_TUV_Net_1[[#This Row],[Decision ref]:[Decision ref]],Input_ForRateCalc[#Headers],0)),"-")</f>
        <v>11.4503</v>
      </c>
      <c r="L120" s="55" t="str" cm="1">
        <f t="array" ref="L120">IFERROR(INDEX(Input_ForRateCalc[],MATCH($C120&amp;" - "&amp;L$103,Input_ForRateCalc[[Cost item]:[Cost item]],0),MATCH(Calc_TUV_Net_1[[#This Row],[Decision ref]:[Decision ref]],Input_ForRateCalc[#Headers],0)),"-")</f>
        <v>-</v>
      </c>
      <c r="M120" s="55" t="str" cm="1">
        <f t="array" ref="M120">IFERROR(INDEX(Input_ForRateCalc[],MATCH($C120&amp;" - "&amp;M$103,Input_ForRateCalc[[Cost item]:[Cost item]],0),MATCH(Calc_TUV_Net_1[[#This Row],[Decision ref]:[Decision ref]],Input_ForRateCalc[#Headers],0)),"-")</f>
        <v>-</v>
      </c>
      <c r="N120" s="55" t="str" cm="1">
        <f t="array" ref="N120">IFERROR(INDEX(Input_ForRateCalc[],MATCH($C120&amp;" - "&amp;N$103,Input_ForRateCalc[[Cost item]:[Cost item]],0),MATCH(Calc_TUV_Net_1[[#This Row],[Decision ref]:[Decision ref]],Input_ForRateCalc[#Headers],0)),"-")</f>
        <v>-</v>
      </c>
      <c r="O120" s="55" t="str" cm="1">
        <f t="array" ref="O120">IFERROR(INDEX(Input_ForRateCalc[],MATCH($C120&amp;" - "&amp;O$103,Input_ForRateCalc[[Cost item]:[Cost item]],0),MATCH(Calc_TUV_Net_1[[#This Row],[Decision ref]:[Decision ref]],Input_ForRateCalc[#Headers],0)),"-")</f>
        <v>-</v>
      </c>
    </row>
    <row r="121" spans="3:15" hidden="1" outlineLevel="1" x14ac:dyDescent="0.25">
      <c r="C121" s="48" t="s">
        <v>306</v>
      </c>
      <c r="D121" s="71" t="str">
        <f>Calc_TU_values!$D$5</f>
        <v>VDO 2021 - Variation final</v>
      </c>
      <c r="E121" s="18" t="s">
        <v>353</v>
      </c>
      <c r="F121" s="71" t="str">
        <f>INDEX(Inputs!$H$10:$Q$10,1,MATCH($D121,Inputs!$H$8:$Q$8,0))</f>
        <v>VF-CurrentVDO_Input</v>
      </c>
      <c r="G121" s="57"/>
      <c r="H121" s="18" t="s">
        <v>66</v>
      </c>
      <c r="I121" s="18" t="s">
        <v>101</v>
      </c>
      <c r="J121" s="48" t="s">
        <v>31</v>
      </c>
      <c r="K121" s="55" cm="1">
        <f t="array" ref="K121">IFERROR(INDEX(Input_ForRateCalc[],MATCH($C121&amp;" - "&amp;K$103,Input_ForRateCalc[[Cost item]:[Cost item]],0),MATCH(Calc_TUV_Net_1[[#This Row],[Decision ref]:[Decision ref]],Input_ForRateCalc[#Headers],0)),"-")</f>
        <v>12.838200000000001</v>
      </c>
      <c r="L121" s="55" t="str" cm="1">
        <f t="array" ref="L121">IFERROR(INDEX(Input_ForRateCalc[],MATCH($C121&amp;" - "&amp;L$103,Input_ForRateCalc[[Cost item]:[Cost item]],0),MATCH(Calc_TUV_Net_1[[#This Row],[Decision ref]:[Decision ref]],Input_ForRateCalc[#Headers],0)),"-")</f>
        <v>-</v>
      </c>
      <c r="M121" s="55" t="str" cm="1">
        <f t="array" ref="M121">IFERROR(INDEX(Input_ForRateCalc[],MATCH($C121&amp;" - "&amp;M$103,Input_ForRateCalc[[Cost item]:[Cost item]],0),MATCH(Calc_TUV_Net_1[[#This Row],[Decision ref]:[Decision ref]],Input_ForRateCalc[#Headers],0)),"-")</f>
        <v>-</v>
      </c>
      <c r="N121" s="55" t="str" cm="1">
        <f t="array" ref="N121">IFERROR(INDEX(Input_ForRateCalc[],MATCH($C121&amp;" - "&amp;N$103,Input_ForRateCalc[[Cost item]:[Cost item]],0),MATCH(Calc_TUV_Net_1[[#This Row],[Decision ref]:[Decision ref]],Input_ForRateCalc[#Headers],0)),"-")</f>
        <v>-</v>
      </c>
      <c r="O121" s="55" t="str" cm="1">
        <f t="array" ref="O121">IFERROR(INDEX(Input_ForRateCalc[],MATCH($C121&amp;" - "&amp;O$103,Input_ForRateCalc[[Cost item]:[Cost item]],0),MATCH(Calc_TUV_Net_1[[#This Row],[Decision ref]:[Decision ref]],Input_ForRateCalc[#Headers],0)),"-")</f>
        <v>-</v>
      </c>
    </row>
    <row r="122" spans="3:15" hidden="1" outlineLevel="1" x14ac:dyDescent="0.25">
      <c r="C122" s="48" t="s">
        <v>307</v>
      </c>
      <c r="D122" s="71" t="str">
        <f>Calc_TU_values!$D$5</f>
        <v>VDO 2021 - Variation final</v>
      </c>
      <c r="E122" s="18" t="s">
        <v>353</v>
      </c>
      <c r="F122" s="71" t="str">
        <f>INDEX(Inputs!$H$10:$Q$10,1,MATCH($D122,Inputs!$H$8:$Q$8,0))</f>
        <v>VF-CurrentVDO_Input</v>
      </c>
      <c r="G122" s="47"/>
      <c r="H122" s="18" t="s">
        <v>66</v>
      </c>
      <c r="I122" s="18" t="s">
        <v>101</v>
      </c>
      <c r="J122" s="48" t="s">
        <v>31</v>
      </c>
      <c r="K122" s="55" t="str" cm="1">
        <f t="array" ref="K122">IFERROR(INDEX(Input_ForRateCalc[],MATCH($C122&amp;" - "&amp;K$103,Input_ForRateCalc[[Cost item]:[Cost item]],0),MATCH(Calc_TUV_Net_1[[#This Row],[Decision ref]:[Decision ref]],Input_ForRateCalc[#Headers],0)),"-")</f>
        <v>-</v>
      </c>
      <c r="L122" s="55" cm="1">
        <f t="array" ref="L122">IFERROR(INDEX(Input_ForRateCalc[],MATCH($C122&amp;" - "&amp;L$103,Input_ForRateCalc[[Cost item]:[Cost item]],0),MATCH(Calc_TUV_Net_1[[#This Row],[Decision ref]:[Decision ref]],Input_ForRateCalc[#Headers],0)),"-")</f>
        <v>8.0500000000000007</v>
      </c>
      <c r="M122" s="55" cm="1">
        <f t="array" ref="M122">IFERROR(INDEX(Input_ForRateCalc[],MATCH($C122&amp;" - "&amp;M$103,Input_ForRateCalc[[Cost item]:[Cost item]],0),MATCH(Calc_TUV_Net_1[[#This Row],[Decision ref]:[Decision ref]],Input_ForRateCalc[#Headers],0)),"-")</f>
        <v>8.67</v>
      </c>
      <c r="N122" s="55" cm="1">
        <f t="array" ref="N122">IFERROR(INDEX(Input_ForRateCalc[],MATCH($C122&amp;" - "&amp;N$103,Input_ForRateCalc[[Cost item]:[Cost item]],0),MATCH(Calc_TUV_Net_1[[#This Row],[Decision ref]:[Decision ref]],Input_ForRateCalc[#Headers],0)),"-")</f>
        <v>8.15</v>
      </c>
      <c r="O122" s="55" cm="1">
        <f t="array" ref="O122">IFERROR(INDEX(Input_ForRateCalc[],MATCH($C122&amp;" - "&amp;O$103,Input_ForRateCalc[[Cost item]:[Cost item]],0),MATCH(Calc_TUV_Net_1[[#This Row],[Decision ref]:[Decision ref]],Input_ForRateCalc[#Headers],0)),"-")</f>
        <v>7.99</v>
      </c>
    </row>
    <row r="123" spans="3:15" hidden="1" outlineLevel="1" x14ac:dyDescent="0.25">
      <c r="C123" s="48" t="s">
        <v>254</v>
      </c>
      <c r="D123" s="71" t="str">
        <f>Calc_TU_values!$D$5</f>
        <v>VDO 2021 - Variation final</v>
      </c>
      <c r="E123" s="18" t="s">
        <v>353</v>
      </c>
      <c r="F123" s="71" t="str">
        <f>INDEX(Inputs!$H$10:$Q$10,1,MATCH($D123,Inputs!$H$8:$Q$8,0))</f>
        <v>VF-CurrentVDO_Input</v>
      </c>
      <c r="G123" s="47"/>
      <c r="H123" s="18" t="s">
        <v>66</v>
      </c>
      <c r="I123" s="18" t="s">
        <v>45</v>
      </c>
      <c r="J123" s="48" t="s">
        <v>31</v>
      </c>
      <c r="K123" s="56">
        <f>SUM(
IFERROR(K120/100*SUMIFS(INDEX(TUNet_Usage_PerRate_1[],0,MATCH(K$103,TUNet_Usage_PerRate_1[#Headers],0)),TUNet_Usage_PerRate_1[Customer type],Calc_TUV_Net_1[[#This Row],[Customer type]],TUNet_Usage_PerRate_1[Description],"Usage per customer - Block 1"),0),
IFERROR(K121/100*SUMIFS(INDEX(TUNet_Usage_PerRate_1[],0,MATCH(K$103,TUNet_Usage_PerRate_1[#Headers],0)),TUNet_Usage_PerRate_1[Customer type],Calc_TUV_Net_1[[#This Row],[Customer type]],TUNet_Usage_PerRate_1[Description],"Usage per customer - Balance"),0),
IFERROR(K122/100*SUMIFS(INDEX(TUNet_Usage_PerRate_1[],0,MATCH(K$103,TUNet_Usage_PerRate_1[#Headers],0)),TUNet_Usage_PerRate_1[Customer type],Calc_TUV_Net_1[[#This Row],[Customer type]],TUNet_Usage_PerRate_1[Description],"Usage per customer - Single rate"),0))</f>
        <v>0</v>
      </c>
      <c r="L123" s="56">
        <f>SUM(
IFERROR(L120/100*SUMIFS(INDEX(TUNet_Usage_PerRate_1[],0,MATCH(L$103,TUNet_Usage_PerRate_1[#Headers],0)),TUNet_Usage_PerRate_1[Customer type],Calc_TUV_Net_1[[#This Row],[Customer type]],TUNet_Usage_PerRate_1[Description],"Usage per customer - Block 1"),0),
IFERROR(L121/100*SUMIFS(INDEX(TUNet_Usage_PerRate_1[],0,MATCH(L$103,TUNet_Usage_PerRate_1[#Headers],0)),TUNet_Usage_PerRate_1[Customer type],Calc_TUV_Net_1[[#This Row],[Customer type]],TUNet_Usage_PerRate_1[Description],"Usage per customer - Balance"),0),
IFERROR(L122/100*SUMIFS(INDEX(TUNet_Usage_PerRate_1[],0,MATCH(L$103,TUNet_Usage_PerRate_1[#Headers],0)),TUNet_Usage_PerRate_1[Customer type],Calc_TUV_Net_1[[#This Row],[Customer type]],TUNet_Usage_PerRate_1[Description],"Usage per customer - Single rate"),0))</f>
        <v>0</v>
      </c>
      <c r="M123" s="56">
        <f>SUM(
IFERROR(M120/100*SUMIFS(INDEX(TUNet_Usage_PerRate_1[],0,MATCH(M$103,TUNet_Usage_PerRate_1[#Headers],0)),TUNet_Usage_PerRate_1[Customer type],Calc_TUV_Net_1[[#This Row],[Customer type]],TUNet_Usage_PerRate_1[Description],"Usage per customer - Block 1"),0),
IFERROR(M121/100*SUMIFS(INDEX(TUNet_Usage_PerRate_1[],0,MATCH(M$103,TUNet_Usage_PerRate_1[#Headers],0)),TUNet_Usage_PerRate_1[Customer type],Calc_TUV_Net_1[[#This Row],[Customer type]],TUNet_Usage_PerRate_1[Description],"Usage per customer - Balance"),0),
IFERROR(M122/100*SUMIFS(INDEX(TUNet_Usage_PerRate_1[],0,MATCH(M$103,TUNet_Usage_PerRate_1[#Headers],0)),TUNet_Usage_PerRate_1[Customer type],Calc_TUV_Net_1[[#This Row],[Customer type]],TUNet_Usage_PerRate_1[Description],"Usage per customer - Single rate"),0))</f>
        <v>0</v>
      </c>
      <c r="N123" s="56">
        <f>SUM(
IFERROR(N120/100*SUMIFS(INDEX(TUNet_Usage_PerRate_1[],0,MATCH(N$103,TUNet_Usage_PerRate_1[#Headers],0)),TUNet_Usage_PerRate_1[Customer type],Calc_TUV_Net_1[[#This Row],[Customer type]],TUNet_Usage_PerRate_1[Description],"Usage per customer - Block 1"),0),
IFERROR(N121/100*SUMIFS(INDEX(TUNet_Usage_PerRate_1[],0,MATCH(N$103,TUNet_Usage_PerRate_1[#Headers],0)),TUNet_Usage_PerRate_1[Customer type],Calc_TUV_Net_1[[#This Row],[Customer type]],TUNet_Usage_PerRate_1[Description],"Usage per customer - Balance"),0),
IFERROR(N122/100*SUMIFS(INDEX(TUNet_Usage_PerRate_1[],0,MATCH(N$103,TUNet_Usage_PerRate_1[#Headers],0)),TUNet_Usage_PerRate_1[Customer type],Calc_TUV_Net_1[[#This Row],[Customer type]],TUNet_Usage_PerRate_1[Description],"Usage per customer - Single rate"),0))</f>
        <v>0</v>
      </c>
      <c r="O123" s="56">
        <f>SUM(
IFERROR(O120/100*SUMIFS(INDEX(TUNet_Usage_PerRate_1[],0,MATCH(O$103,TUNet_Usage_PerRate_1[#Headers],0)),TUNet_Usage_PerRate_1[Customer type],Calc_TUV_Net_1[[#This Row],[Customer type]],TUNet_Usage_PerRate_1[Description],"Usage per customer - Block 1"),0),
IFERROR(O121/100*SUMIFS(INDEX(TUNet_Usage_PerRate_1[],0,MATCH(O$103,TUNet_Usage_PerRate_1[#Headers],0)),TUNet_Usage_PerRate_1[Customer type],Calc_TUV_Net_1[[#This Row],[Customer type]],TUNet_Usage_PerRate_1[Description],"Usage per customer - Balance"),0),
IFERROR(O122/100*SUMIFS(INDEX(TUNet_Usage_PerRate_1[],0,MATCH(O$103,TUNet_Usage_PerRate_1[#Headers],0)),TUNet_Usage_PerRate_1[Customer type],Calc_TUV_Net_1[[#This Row],[Customer type]],TUNet_Usage_PerRate_1[Description],"Usage per customer - Single rate"),0))</f>
        <v>0</v>
      </c>
    </row>
    <row r="124" spans="3:15" hidden="1" outlineLevel="1" x14ac:dyDescent="0.25">
      <c r="C124" s="48" t="s">
        <v>305</v>
      </c>
      <c r="D124" s="71" t="str">
        <f>INDEX(Input_DecisionActual[[Actual]:[Actual]],MATCH(Calc_TU_values!$D$5,Input_DecisionActual[[VDO period]:[VDO period]],0),1)</f>
        <v>VDO 2021 - Final</v>
      </c>
      <c r="E124" s="18" t="s">
        <v>354</v>
      </c>
      <c r="F124" s="71" t="str">
        <f>IF($D124="-","-",INDEX(Inputs!$H$10:$Q$10,1,MATCH($D124,Inputs!$H$8:$Q$8,0)))</f>
        <v>F-CurrentVDO_Input</v>
      </c>
      <c r="G124" s="47"/>
      <c r="H124" s="18" t="s">
        <v>66</v>
      </c>
      <c r="I124" s="18" t="s">
        <v>101</v>
      </c>
      <c r="J124" s="48" t="s">
        <v>31</v>
      </c>
      <c r="K124" s="55" cm="1">
        <f t="array" ref="K124">IFERROR(INDEX(Input_ForRateCalc[],MATCH($C124&amp;" - "&amp;K$103,Input_ForRateCalc[[Cost item]:[Cost item]],0),MATCH(Calc_TUV_Net_1[[#This Row],[Decision ref]:[Decision ref]],Input_ForRateCalc[#Headers],0)),"-")</f>
        <v>10.535</v>
      </c>
      <c r="L124" s="55" t="str" cm="1">
        <f t="array" ref="L124">IFERROR(INDEX(Input_ForRateCalc[],MATCH($C124&amp;" - "&amp;L$103,Input_ForRateCalc[[Cost item]:[Cost item]],0),MATCH(Calc_TUV_Net_1[[#This Row],[Decision ref]:[Decision ref]],Input_ForRateCalc[#Headers],0)),"-")</f>
        <v>-</v>
      </c>
      <c r="M124" s="55" t="str" cm="1">
        <f t="array" ref="M124">IFERROR(INDEX(Input_ForRateCalc[],MATCH($C124&amp;" - "&amp;M$103,Input_ForRateCalc[[Cost item]:[Cost item]],0),MATCH(Calc_TUV_Net_1[[#This Row],[Decision ref]:[Decision ref]],Input_ForRateCalc[#Headers],0)),"-")</f>
        <v>-</v>
      </c>
      <c r="N124" s="55" t="str" cm="1">
        <f t="array" ref="N124">IFERROR(INDEX(Input_ForRateCalc[],MATCH($C124&amp;" - "&amp;N$103,Input_ForRateCalc[[Cost item]:[Cost item]],0),MATCH(Calc_TUV_Net_1[[#This Row],[Decision ref]:[Decision ref]],Input_ForRateCalc[#Headers],0)),"-")</f>
        <v>-</v>
      </c>
      <c r="O124" s="55" t="str" cm="1">
        <f t="array" ref="O124">IFERROR(INDEX(Input_ForRateCalc[],MATCH($C124&amp;" - "&amp;O$103,Input_ForRateCalc[[Cost item]:[Cost item]],0),MATCH(Calc_TUV_Net_1[[#This Row],[Decision ref]:[Decision ref]],Input_ForRateCalc[#Headers],0)),"-")</f>
        <v>-</v>
      </c>
    </row>
    <row r="125" spans="3:15" hidden="1" outlineLevel="1" x14ac:dyDescent="0.25">
      <c r="C125" s="48" t="s">
        <v>306</v>
      </c>
      <c r="D125" s="71" t="str">
        <f>INDEX(Input_DecisionActual[[Actual]:[Actual]],MATCH(Calc_TU_values!$D$5,Input_DecisionActual[[VDO period]:[VDO period]],0),1)</f>
        <v>VDO 2021 - Final</v>
      </c>
      <c r="E125" s="18" t="s">
        <v>354</v>
      </c>
      <c r="F125" s="71" t="str">
        <f>IF($D125="-","-",INDEX(Inputs!$H$10:$Q$10,1,MATCH($D125,Inputs!$H$8:$Q$8,0)))</f>
        <v>F-CurrentVDO_Input</v>
      </c>
      <c r="G125" s="47"/>
      <c r="H125" s="18" t="s">
        <v>66</v>
      </c>
      <c r="I125" s="18" t="s">
        <v>101</v>
      </c>
      <c r="J125" s="48" t="s">
        <v>31</v>
      </c>
      <c r="K125" s="55" cm="1">
        <f t="array" ref="K125">IFERROR(INDEX(Input_ForRateCalc[],MATCH($C125&amp;" - "&amp;K$103,Input_ForRateCalc[[Cost item]:[Cost item]],0),MATCH(Calc_TUV_Net_1[[#This Row],[Decision ref]:[Decision ref]],Input_ForRateCalc[#Headers],0)),"-")</f>
        <v>12.073700000000001</v>
      </c>
      <c r="L125" s="55" t="str" cm="1">
        <f t="array" ref="L125">IFERROR(INDEX(Input_ForRateCalc[],MATCH($C125&amp;" - "&amp;L$103,Input_ForRateCalc[[Cost item]:[Cost item]],0),MATCH(Calc_TUV_Net_1[[#This Row],[Decision ref]:[Decision ref]],Input_ForRateCalc[#Headers],0)),"-")</f>
        <v>-</v>
      </c>
      <c r="M125" s="55" t="str" cm="1">
        <f t="array" ref="M125">IFERROR(INDEX(Input_ForRateCalc[],MATCH($C125&amp;" - "&amp;M$103,Input_ForRateCalc[[Cost item]:[Cost item]],0),MATCH(Calc_TUV_Net_1[[#This Row],[Decision ref]:[Decision ref]],Input_ForRateCalc[#Headers],0)),"-")</f>
        <v>-</v>
      </c>
      <c r="N125" s="55" t="str" cm="1">
        <f t="array" ref="N125">IFERROR(INDEX(Input_ForRateCalc[],MATCH($C125&amp;" - "&amp;N$103,Input_ForRateCalc[[Cost item]:[Cost item]],0),MATCH(Calc_TUV_Net_1[[#This Row],[Decision ref]:[Decision ref]],Input_ForRateCalc[#Headers],0)),"-")</f>
        <v>-</v>
      </c>
      <c r="O125" s="55" t="str" cm="1">
        <f t="array" ref="O125">IFERROR(INDEX(Input_ForRateCalc[],MATCH($C125&amp;" - "&amp;O$103,Input_ForRateCalc[[Cost item]:[Cost item]],0),MATCH(Calc_TUV_Net_1[[#This Row],[Decision ref]:[Decision ref]],Input_ForRateCalc[#Headers],0)),"-")</f>
        <v>-</v>
      </c>
    </row>
    <row r="126" spans="3:15" hidden="1" outlineLevel="1" x14ac:dyDescent="0.25">
      <c r="C126" s="48" t="s">
        <v>307</v>
      </c>
      <c r="D126" s="71" t="str">
        <f>INDEX(Input_DecisionActual[[Actual]:[Actual]],MATCH(Calc_TU_values!$D$5,Input_DecisionActual[[VDO period]:[VDO period]],0),1)</f>
        <v>VDO 2021 - Final</v>
      </c>
      <c r="E126" s="18" t="s">
        <v>354</v>
      </c>
      <c r="F126" s="71" t="str">
        <f>IF($D126="-","-",INDEX(Inputs!$H$10:$Q$10,1,MATCH($D126,Inputs!$H$8:$Q$8,0)))</f>
        <v>F-CurrentVDO_Input</v>
      </c>
      <c r="G126" s="47"/>
      <c r="H126" s="18" t="s">
        <v>66</v>
      </c>
      <c r="I126" s="18" t="s">
        <v>101</v>
      </c>
      <c r="J126" s="48" t="s">
        <v>31</v>
      </c>
      <c r="K126" s="55" t="str" cm="1">
        <f t="array" ref="K126">IFERROR(INDEX(Input_ForRateCalc[],MATCH($C126&amp;" - "&amp;K$103,Input_ForRateCalc[[Cost item]:[Cost item]],0),MATCH(Calc_TUV_Net_1[[#This Row],[Decision ref]:[Decision ref]],Input_ForRateCalc[#Headers],0)),"-")</f>
        <v>-</v>
      </c>
      <c r="L126" s="55" cm="1">
        <f t="array" ref="L126">IFERROR(INDEX(Input_ForRateCalc[],MATCH($C126&amp;" - "&amp;L$103,Input_ForRateCalc[[Cost item]:[Cost item]],0),MATCH(Calc_TUV_Net_1[[#This Row],[Decision ref]:[Decision ref]],Input_ForRateCalc[#Headers],0)),"-")</f>
        <v>6.47</v>
      </c>
      <c r="M126" s="55" cm="1">
        <f t="array" ref="M126">IFERROR(INDEX(Input_ForRateCalc[],MATCH($C126&amp;" - "&amp;M$103,Input_ForRateCalc[[Cost item]:[Cost item]],0),MATCH(Calc_TUV_Net_1[[#This Row],[Decision ref]:[Decision ref]],Input_ForRateCalc[#Headers],0)),"-")</f>
        <v>7.4139999999999997</v>
      </c>
      <c r="N126" s="55" cm="1">
        <f t="array" ref="N126">IFERROR(INDEX(Input_ForRateCalc[],MATCH($C126&amp;" - "&amp;N$103,Input_ForRateCalc[[Cost item]:[Cost item]],0),MATCH(Calc_TUV_Net_1[[#This Row],[Decision ref]:[Decision ref]],Input_ForRateCalc[#Headers],0)),"-")</f>
        <v>6.74</v>
      </c>
      <c r="O126" s="55" cm="1">
        <f t="array" ref="O126">IFERROR(INDEX(Input_ForRateCalc[],MATCH($C126&amp;" - "&amp;O$103,Input_ForRateCalc[[Cost item]:[Cost item]],0),MATCH(Calc_TUV_Net_1[[#This Row],[Decision ref]:[Decision ref]],Input_ForRateCalc[#Headers],0)),"-")</f>
        <v>7.67</v>
      </c>
    </row>
    <row r="127" spans="3:15" hidden="1" outlineLevel="1" x14ac:dyDescent="0.25">
      <c r="C127" s="48" t="s">
        <v>254</v>
      </c>
      <c r="D127" s="71" t="str">
        <f>INDEX(Input_DecisionActual[[Actual]:[Actual]],MATCH(Calc_TU_values!$D$5,Input_DecisionActual[[VDO period]:[VDO period]],0),1)</f>
        <v>VDO 2021 - Final</v>
      </c>
      <c r="E127" s="18" t="s">
        <v>354</v>
      </c>
      <c r="F127" s="71" t="str">
        <f>IF($D127="-","-",INDEX(Inputs!$H$10:$Q$10,1,MATCH($D127,Inputs!$H$8:$Q$8,0)))</f>
        <v>F-CurrentVDO_Input</v>
      </c>
      <c r="G127" s="47"/>
      <c r="H127" s="18" t="s">
        <v>66</v>
      </c>
      <c r="I127" s="18" t="s">
        <v>45</v>
      </c>
      <c r="J127" s="48" t="s">
        <v>31</v>
      </c>
      <c r="K127" s="56">
        <f>SUM(
IFERROR(K124/100*SUMIFS(INDEX(TUNet_Usage_PerRate_1[],0,MATCH(K$103,TUNet_Usage_PerRate_1[#Headers],0)),TUNet_Usage_PerRate_1[Customer type],Calc_TUV_Net_1[[#This Row],[Customer type]],TUNet_Usage_PerRate_1[Description],"Usage per customer - Block 1"),0),
IFERROR(K125/100*SUMIFS(INDEX(TUNet_Usage_PerRate_1[],0,MATCH(K$103,TUNet_Usage_PerRate_1[#Headers],0)),TUNet_Usage_PerRate_1[Customer type],Calc_TUV_Net_1[[#This Row],[Customer type]],TUNet_Usage_PerRate_1[Description],"Usage per customer - Balance"),0),
IFERROR(K126/100*SUMIFS(INDEX(TUNet_Usage_PerRate_1[],0,MATCH(K$103,TUNet_Usage_PerRate_1[#Headers],0)),TUNet_Usage_PerRate_1[Customer type],Calc_TUV_Net_1[[#This Row],[Customer type]],TUNet_Usage_PerRate_1[Description],"Usage per customer - Single rate"),0))</f>
        <v>0</v>
      </c>
      <c r="L127" s="56">
        <f>SUM(
IFERROR(L124/100*SUMIFS(INDEX(TUNet_Usage_PerRate_1[],0,MATCH(L$103,TUNet_Usage_PerRate_1[#Headers],0)),TUNet_Usage_PerRate_1[Customer type],Calc_TUV_Net_1[[#This Row],[Customer type]],TUNet_Usage_PerRate_1[Description],"Usage per customer - Block 1"),0),
IFERROR(L125/100*SUMIFS(INDEX(TUNet_Usage_PerRate_1[],0,MATCH(L$103,TUNet_Usage_PerRate_1[#Headers],0)),TUNet_Usage_PerRate_1[Customer type],Calc_TUV_Net_1[[#This Row],[Customer type]],TUNet_Usage_PerRate_1[Description],"Usage per customer - Balance"),0),
IFERROR(L126/100*SUMIFS(INDEX(TUNet_Usage_PerRate_1[],0,MATCH(L$103,TUNet_Usage_PerRate_1[#Headers],0)),TUNet_Usage_PerRate_1[Customer type],Calc_TUV_Net_1[[#This Row],[Customer type]],TUNet_Usage_PerRate_1[Description],"Usage per customer - Single rate"),0))</f>
        <v>0</v>
      </c>
      <c r="M127" s="56">
        <f>SUM(
IFERROR(M124/100*SUMIFS(INDEX(TUNet_Usage_PerRate_1[],0,MATCH(M$103,TUNet_Usage_PerRate_1[#Headers],0)),TUNet_Usage_PerRate_1[Customer type],Calc_TUV_Net_1[[#This Row],[Customer type]],TUNet_Usage_PerRate_1[Description],"Usage per customer - Block 1"),0),
IFERROR(M125/100*SUMIFS(INDEX(TUNet_Usage_PerRate_1[],0,MATCH(M$103,TUNet_Usage_PerRate_1[#Headers],0)),TUNet_Usage_PerRate_1[Customer type],Calc_TUV_Net_1[[#This Row],[Customer type]],TUNet_Usage_PerRate_1[Description],"Usage per customer - Balance"),0),
IFERROR(M126/100*SUMIFS(INDEX(TUNet_Usage_PerRate_1[],0,MATCH(M$103,TUNet_Usage_PerRate_1[#Headers],0)),TUNet_Usage_PerRate_1[Customer type],Calc_TUV_Net_1[[#This Row],[Customer type]],TUNet_Usage_PerRate_1[Description],"Usage per customer - Single rate"),0))</f>
        <v>0</v>
      </c>
      <c r="N127" s="56">
        <f>SUM(
IFERROR(N124/100*SUMIFS(INDEX(TUNet_Usage_PerRate_1[],0,MATCH(N$103,TUNet_Usage_PerRate_1[#Headers],0)),TUNet_Usage_PerRate_1[Customer type],Calc_TUV_Net_1[[#This Row],[Customer type]],TUNet_Usage_PerRate_1[Description],"Usage per customer - Block 1"),0),
IFERROR(N125/100*SUMIFS(INDEX(TUNet_Usage_PerRate_1[],0,MATCH(N$103,TUNet_Usage_PerRate_1[#Headers],0)),TUNet_Usage_PerRate_1[Customer type],Calc_TUV_Net_1[[#This Row],[Customer type]],TUNet_Usage_PerRate_1[Description],"Usage per customer - Balance"),0),
IFERROR(N126/100*SUMIFS(INDEX(TUNet_Usage_PerRate_1[],0,MATCH(N$103,TUNet_Usage_PerRate_1[#Headers],0)),TUNet_Usage_PerRate_1[Customer type],Calc_TUV_Net_1[[#This Row],[Customer type]],TUNet_Usage_PerRate_1[Description],"Usage per customer - Single rate"),0))</f>
        <v>0</v>
      </c>
      <c r="O127" s="56">
        <f>SUM(
IFERROR(O124/100*SUMIFS(INDEX(TUNet_Usage_PerRate_1[],0,MATCH(O$103,TUNet_Usage_PerRate_1[#Headers],0)),TUNet_Usage_PerRate_1[Customer type],Calc_TUV_Net_1[[#This Row],[Customer type]],TUNet_Usage_PerRate_1[Description],"Usage per customer - Block 1"),0),
IFERROR(O125/100*SUMIFS(INDEX(TUNet_Usage_PerRate_1[],0,MATCH(O$103,TUNet_Usage_PerRate_1[#Headers],0)),TUNet_Usage_PerRate_1[Customer type],Calc_TUV_Net_1[[#This Row],[Customer type]],TUNet_Usage_PerRate_1[Description],"Usage per customer - Balance"),0),
IFERROR(O126/100*SUMIFS(INDEX(TUNet_Usage_PerRate_1[],0,MATCH(O$103,TUNet_Usage_PerRate_1[#Headers],0)),TUNet_Usage_PerRate_1[Customer type],Calc_TUV_Net_1[[#This Row],[Customer type]],TUNet_Usage_PerRate_1[Description],"Usage per customer - Single rate"),0))</f>
        <v>0</v>
      </c>
    </row>
    <row r="128" spans="3:15" hidden="1" outlineLevel="1" x14ac:dyDescent="0.25">
      <c r="C128" s="48" t="s">
        <v>255</v>
      </c>
      <c r="D128" s="18"/>
      <c r="E128" s="18"/>
      <c r="F128" s="18"/>
      <c r="G128" s="18"/>
      <c r="H128" s="18" t="s">
        <v>66</v>
      </c>
      <c r="I128" s="18" t="s">
        <v>45</v>
      </c>
      <c r="J128" s="48" t="s">
        <v>31</v>
      </c>
      <c r="K128" s="54" t="str">
        <f>IF(K127=0,"-",K123-K127)</f>
        <v>-</v>
      </c>
      <c r="L128" s="54" t="str">
        <f t="shared" ref="L128:O128" si="61">IF(L127=0,"-",L123-L127)</f>
        <v>-</v>
      </c>
      <c r="M128" s="54" t="str">
        <f t="shared" si="61"/>
        <v>-</v>
      </c>
      <c r="N128" s="54" t="str">
        <f t="shared" si="61"/>
        <v>-</v>
      </c>
      <c r="O128" s="54" t="str">
        <f t="shared" si="61"/>
        <v>-</v>
      </c>
    </row>
    <row r="129" spans="3:15" hidden="1" outlineLevel="1" x14ac:dyDescent="0.25">
      <c r="C129" s="48" t="s">
        <v>296</v>
      </c>
      <c r="D129" s="18"/>
      <c r="E129" s="18"/>
      <c r="F129" s="18"/>
      <c r="G129" s="18"/>
      <c r="H129" s="18" t="s">
        <v>66</v>
      </c>
      <c r="I129" s="18" t="s">
        <v>45</v>
      </c>
      <c r="J129" s="48" t="s">
        <v>31</v>
      </c>
      <c r="K129" s="55" t="str">
        <f>IFERROR(IF($D$11="Yes",K128*(1+WACC_adj_1),""),"-")</f>
        <v/>
      </c>
      <c r="L129" s="55" t="str">
        <f>IFERROR(IF($D$11="Yes",L128*(1+WACC_adj_1),""),"-")</f>
        <v/>
      </c>
      <c r="M129" s="55" t="str">
        <f>IFERROR(IF($D$11="Yes",M128*(1+WACC_adj_1),""),"-")</f>
        <v/>
      </c>
      <c r="N129" s="55" t="str">
        <f>IFERROR(IF($D$11="Yes",N128*(1+WACC_adj_1),""),"-")</f>
        <v/>
      </c>
      <c r="O129" s="55" t="str">
        <f>IFERROR(IF($D$11="Yes",O128*(1+WACC_adj_1),""),"-")</f>
        <v/>
      </c>
    </row>
    <row r="130" spans="3:15" hidden="1" outlineLevel="1" x14ac:dyDescent="0.25">
      <c r="C130" s="48" t="s">
        <v>257</v>
      </c>
      <c r="D130" s="71" t="str">
        <f>INDEX(Input_DecisionActual[[Actual]:[Actual]],MATCH(Calc_TU_values!$D$5,Input_DecisionActual[[VDO period]:[VDO period]],0),1)</f>
        <v>VDO 2021 - Final</v>
      </c>
      <c r="E130" s="18" t="s">
        <v>354</v>
      </c>
      <c r="F130" s="71" t="str">
        <f>IF($D130="-","-",INDEX(Inputs!$H$10:$Q$10,1,MATCH($D130,Inputs!$H$8:$Q$8,0)))</f>
        <v>F-CurrentVDO_Input</v>
      </c>
      <c r="G130" s="18"/>
      <c r="H130" s="18" t="s">
        <v>66</v>
      </c>
      <c r="I130" s="18" t="s">
        <v>45</v>
      </c>
      <c r="J130" s="48" t="s">
        <v>31</v>
      </c>
      <c r="K130" s="55" cm="1">
        <f t="array" ref="K130">IFERROR(SUM(K128:K129)*(INDEX(Inputs!$H$11:$Q$125,MATCH("Retail operating margin",Input_ForRateCalc[[Cost item]:[Cost item]],0),MATCH(Calc_TUV_Net_1[[#This Row],[Decision ref]:[Decision ref]],Inputs!$H$10:$Q$10,0))),"-")</f>
        <v>0</v>
      </c>
      <c r="L130" s="55" cm="1">
        <f t="array" ref="L130">IFERROR(SUM(L128:L129)*(INDEX(Inputs!$H$11:$Q$125,MATCH("Retail operating margin",Input_ForRateCalc[[Cost item]:[Cost item]],0),MATCH(Calc_TUV_Net_1[[#This Row],[Decision ref]:[Decision ref]],Inputs!$H$10:$Q$10,0))),"-")</f>
        <v>0</v>
      </c>
      <c r="M130" s="55" cm="1">
        <f t="array" ref="M130">IFERROR(SUM(M128:M129)*(INDEX(Inputs!$H$11:$Q$125,MATCH("Retail operating margin",Input_ForRateCalc[[Cost item]:[Cost item]],0),MATCH(Calc_TUV_Net_1[[#This Row],[Decision ref]:[Decision ref]],Inputs!$H$10:$Q$10,0))),"-")</f>
        <v>0</v>
      </c>
      <c r="N130" s="55" cm="1">
        <f t="array" ref="N130">IFERROR(SUM(N128:N129)*(INDEX(Inputs!$H$11:$Q$125,MATCH("Retail operating margin",Input_ForRateCalc[[Cost item]:[Cost item]],0),MATCH(Calc_TUV_Net_1[[#This Row],[Decision ref]:[Decision ref]],Inputs!$H$10:$Q$10,0))),"-")</f>
        <v>0</v>
      </c>
      <c r="O130" s="55" cm="1">
        <f t="array" ref="O130">IFERROR(SUM(O128:O129)*(INDEX(Inputs!$H$11:$Q$125,MATCH("Retail operating margin",Input_ForRateCalc[[Cost item]:[Cost item]],0),MATCH(Calc_TUV_Net_1[[#This Row],[Decision ref]:[Decision ref]],Inputs!$H$10:$Q$10,0))),"-")</f>
        <v>0</v>
      </c>
    </row>
    <row r="131" spans="3:15" hidden="1" outlineLevel="1" x14ac:dyDescent="0.25">
      <c r="C131" s="48" t="s">
        <v>297</v>
      </c>
      <c r="D131" s="18"/>
      <c r="E131" s="18"/>
      <c r="F131" s="18"/>
      <c r="G131" s="18"/>
      <c r="H131" s="18" t="s">
        <v>66</v>
      </c>
      <c r="I131" s="18" t="s">
        <v>45</v>
      </c>
      <c r="J131" s="48" t="s">
        <v>31</v>
      </c>
      <c r="K131" s="55" t="str">
        <f>IF(K127=0,"-",SUM(K128:K130)*GST)</f>
        <v>-</v>
      </c>
      <c r="L131" s="55" t="str">
        <f>IF(L127=0,"-",SUM(L128:L130)*GST)</f>
        <v>-</v>
      </c>
      <c r="M131" s="55" t="str">
        <f>IF(M127=0,"-",SUM(M128:M130)*GST)</f>
        <v>-</v>
      </c>
      <c r="N131" s="55" t="str">
        <f>IF(N127=0,"-",SUM(N128:N130)*GST)</f>
        <v>-</v>
      </c>
      <c r="O131" s="55" t="str">
        <f>IF(O127=0,"-",SUM(O128:O130)*GST)</f>
        <v>-</v>
      </c>
    </row>
    <row r="132" spans="3:15" hidden="1" outlineLevel="1" x14ac:dyDescent="0.25">
      <c r="C132" s="48" t="s">
        <v>324</v>
      </c>
      <c r="D132" s="94"/>
      <c r="E132" s="94"/>
      <c r="F132" s="94"/>
      <c r="H132" s="18" t="s">
        <v>66</v>
      </c>
      <c r="I132" s="18" t="s">
        <v>45</v>
      </c>
      <c r="J132" s="48" t="s">
        <v>31</v>
      </c>
      <c r="K132" s="55" t="str">
        <f>IF(K127=0,"-",SUM(K128:K131))</f>
        <v>-</v>
      </c>
      <c r="L132" s="55" t="str">
        <f t="shared" ref="L132:O132" si="62">IF(L127=0,"-",SUM(L128:L131))</f>
        <v>-</v>
      </c>
      <c r="M132" s="55" t="str">
        <f t="shared" si="62"/>
        <v>-</v>
      </c>
      <c r="N132" s="55" t="str">
        <f t="shared" si="62"/>
        <v>-</v>
      </c>
      <c r="O132" s="55" t="str">
        <f t="shared" si="62"/>
        <v>-</v>
      </c>
    </row>
    <row r="133" spans="3:15" hidden="1" outlineLevel="1" x14ac:dyDescent="0.25">
      <c r="C133" s="48"/>
      <c r="D133" s="103"/>
      <c r="E133" s="103"/>
      <c r="F133" s="103"/>
      <c r="G133" s="103"/>
      <c r="H133" s="103"/>
      <c r="I133" s="103"/>
      <c r="J133" s="103"/>
      <c r="K133" s="109"/>
      <c r="L133" s="109"/>
      <c r="M133" s="109"/>
      <c r="N133" s="109"/>
      <c r="O133" s="109"/>
    </row>
    <row r="134" spans="3:15" hidden="1" outlineLevel="1" x14ac:dyDescent="0.25">
      <c r="C134" s="46" t="s">
        <v>377</v>
      </c>
      <c r="D134" s="18"/>
      <c r="E134" s="18"/>
      <c r="F134" s="18"/>
      <c r="G134" s="57" t="s">
        <v>253</v>
      </c>
      <c r="H134" s="18"/>
      <c r="I134" s="18"/>
      <c r="J134" s="18"/>
      <c r="K134" s="109"/>
      <c r="L134" s="109"/>
      <c r="M134" s="109"/>
      <c r="N134" s="109"/>
      <c r="O134" s="109"/>
    </row>
    <row r="135" spans="3:15" hidden="1" outlineLevel="1" x14ac:dyDescent="0.25">
      <c r="C135" s="48" t="s">
        <v>376</v>
      </c>
      <c r="D135" s="71" t="str">
        <f>Calc_TU_values!$D$5</f>
        <v>VDO 2021 - Variation final</v>
      </c>
      <c r="E135" s="18" t="s">
        <v>353</v>
      </c>
      <c r="F135" s="71" t="str">
        <f>INDEX(Inputs!$H$10:$Q$10,1,MATCH($D135,Inputs!$H$8:$Q$8,0))</f>
        <v>VF-CurrentVDO_Input</v>
      </c>
      <c r="G135" s="18"/>
      <c r="H135" s="18" t="s">
        <v>66</v>
      </c>
      <c r="I135" s="18" t="s">
        <v>101</v>
      </c>
      <c r="J135" s="48" t="s">
        <v>31</v>
      </c>
      <c r="K135" s="55" cm="1">
        <f t="array" ref="K135">IFERROR(INDEX(Input_ForRateCalc[],MATCH($C135&amp;" - "&amp;K$103,Input_ForRateCalc[[Cost item]:[Cost item]],0),MATCH(Calc_TUV_Net_1[[#This Row],[Decision ref]:[Decision ref]],Input_ForRateCalc[#Headers],0)),"-")</f>
        <v>4.2622999999999998</v>
      </c>
      <c r="L135" s="55" cm="1">
        <f t="array" ref="L135">IFERROR(INDEX(Input_ForRateCalc[],MATCH($C135&amp;" - "&amp;L$103,Input_ForRateCalc[[Cost item]:[Cost item]],0),MATCH(Calc_TUV_Net_1[[#This Row],[Decision ref]:[Decision ref]],Input_ForRateCalc[#Headers],0)),"-")</f>
        <v>2.4700000000000002</v>
      </c>
      <c r="M135" s="55" cm="1">
        <f t="array" ref="M135">IFERROR(INDEX(Input_ForRateCalc[],MATCH($C135&amp;" - "&amp;M$103,Input_ForRateCalc[[Cost item]:[Cost item]],0),MATCH(Calc_TUV_Net_1[[#This Row],[Decision ref]:[Decision ref]],Input_ForRateCalc[#Headers],0)),"-")</f>
        <v>3.5990000000000002</v>
      </c>
      <c r="N135" s="55" cm="1">
        <f t="array" ref="N135">IFERROR(INDEX(Input_ForRateCalc[],MATCH($C135&amp;" - "&amp;N$103,Input_ForRateCalc[[Cost item]:[Cost item]],0),MATCH(Calc_TUV_Net_1[[#This Row],[Decision ref]:[Decision ref]],Input_ForRateCalc[#Headers],0)),"-")</f>
        <v>2.39</v>
      </c>
      <c r="O135" s="55" cm="1">
        <f t="array" ref="O135">IFERROR(INDEX(Input_ForRateCalc[],MATCH($C135&amp;" - "&amp;O$103,Input_ForRateCalc[[Cost item]:[Cost item]],0),MATCH(Calc_TUV_Net_1[[#This Row],[Decision ref]:[Decision ref]],Input_ForRateCalc[#Headers],0)),"-")</f>
        <v>2.17</v>
      </c>
    </row>
    <row r="136" spans="3:15" hidden="1" outlineLevel="1" x14ac:dyDescent="0.25">
      <c r="C136" s="48" t="s">
        <v>254</v>
      </c>
      <c r="D136" s="71" t="str">
        <f>Calc_TU_values!$D$5</f>
        <v>VDO 2021 - Variation final</v>
      </c>
      <c r="E136" s="18" t="s">
        <v>353</v>
      </c>
      <c r="F136" s="71" t="str">
        <f>INDEX(Inputs!$H$10:$Q$10,1,MATCH($D136,Inputs!$H$8:$Q$8,0))</f>
        <v>VF-CurrentVDO_Input</v>
      </c>
      <c r="G136" s="103"/>
      <c r="H136" s="18" t="s">
        <v>66</v>
      </c>
      <c r="I136" s="18" t="s">
        <v>45</v>
      </c>
      <c r="J136" s="48" t="s">
        <v>31</v>
      </c>
      <c r="K136" s="56" cm="1">
        <f t="array" ref="K136">TUProp_Days_1*SUM(
IFERROR(K135/100*INDEX(Input_Usage[#All],MATCH(Calc_TUV_Net_1[[#This Row],[Customer type]:[Customer type]]&amp;" - medium - controlled load",Input_Usage[[#All],[Ref]],0),MATCH($F136,Input_Usage[#Headers],0)),0))</f>
        <v>0</v>
      </c>
      <c r="L136" s="56" cm="1">
        <f t="array" ref="L136">TUProp_Days_1*SUM(
IFERROR(L135/100*INDEX(Input_Usage[#All],MATCH(Calc_TUV_Net_1[[#This Row],[Customer type]:[Customer type]]&amp;" - medium - controlled load",Input_Usage[[#All],[Ref]],0),MATCH($F136,Input_Usage[#Headers],0)),0))</f>
        <v>0</v>
      </c>
      <c r="M136" s="56" cm="1">
        <f t="array" ref="M136">TUProp_Days_1*SUM(
IFERROR(M135/100*INDEX(Input_Usage[#All],MATCH(Calc_TUV_Net_1[[#This Row],[Customer type]:[Customer type]]&amp;" - medium - controlled load",Input_Usage[[#All],[Ref]],0),MATCH($F136,Input_Usage[#Headers],0)),0))</f>
        <v>0</v>
      </c>
      <c r="N136" s="56" cm="1">
        <f t="array" ref="N136">TUProp_Days_1*SUM(
IFERROR(N135/100*INDEX(Input_Usage[#All],MATCH(Calc_TUV_Net_1[[#This Row],[Customer type]:[Customer type]]&amp;" - medium - controlled load",Input_Usage[[#All],[Ref]],0),MATCH($F136,Input_Usage[#Headers],0)),0))</f>
        <v>0</v>
      </c>
      <c r="O136" s="56" cm="1">
        <f t="array" ref="O136">TUProp_Days_1*SUM(
IFERROR(O135/100*INDEX(Input_Usage[#All],MATCH(Calc_TUV_Net_1[[#This Row],[Customer type]:[Customer type]]&amp;" - medium - controlled load",Input_Usage[[#All],[Ref]],0),MATCH($F136,Input_Usage[#Headers],0)),0))</f>
        <v>0</v>
      </c>
    </row>
    <row r="137" spans="3:15" hidden="1" outlineLevel="1" x14ac:dyDescent="0.25">
      <c r="C137" s="48" t="s">
        <v>376</v>
      </c>
      <c r="D137" s="71" t="str">
        <f>INDEX(Input_DecisionActual[[Actual]:[Actual]],MATCH(Calc_TU_values!$D$5,Input_DecisionActual[[VDO period]:[VDO period]],0),1)</f>
        <v>VDO 2021 - Final</v>
      </c>
      <c r="E137" s="18" t="s">
        <v>354</v>
      </c>
      <c r="F137" s="71" t="str">
        <f>IF($D137="-","-",INDEX(Inputs!$H$10:$Q$10,1,MATCH($D137,Inputs!$H$8:$Q$8,0)))</f>
        <v>F-CurrentVDO_Input</v>
      </c>
      <c r="G137" s="103"/>
      <c r="H137" s="18" t="s">
        <v>66</v>
      </c>
      <c r="I137" s="18" t="s">
        <v>101</v>
      </c>
      <c r="J137" s="48" t="s">
        <v>31</v>
      </c>
      <c r="K137" s="55">
        <f>IFERROR(INDEX(Input_ForRateCalc[],MATCH($C137&amp;" - "&amp;K$103,Input_ForRateCalc[[Cost item]:[Cost item]],0),MATCH($F137,Input_ForRateCalc[#Headers],0)),"-")</f>
        <v>3.8612000000000002</v>
      </c>
      <c r="L137" s="55">
        <f>IFERROR(INDEX(Input_ForRateCalc[],MATCH($C137&amp;" - "&amp;L$103,Input_ForRateCalc[[Cost item]:[Cost item]],0),MATCH($F137,Input_ForRateCalc[#Headers],0)),"-")</f>
        <v>2.09</v>
      </c>
      <c r="M137" s="55">
        <f>IFERROR(INDEX(Input_ForRateCalc[],MATCH($C137&amp;" - "&amp;M$103,Input_ForRateCalc[[Cost item]:[Cost item]],0),MATCH($F137,Input_ForRateCalc[#Headers],0)),"-")</f>
        <v>2.9159999999999999</v>
      </c>
      <c r="N137" s="55">
        <f>IFERROR(INDEX(Input_ForRateCalc[],MATCH($C137&amp;" - "&amp;N$103,Input_ForRateCalc[[Cost item]:[Cost item]],0),MATCH($F137,Input_ForRateCalc[#Headers],0)),"-")</f>
        <v>2.14</v>
      </c>
      <c r="O137" s="55">
        <f>IFERROR(INDEX(Input_ForRateCalc[],MATCH($C137&amp;" - "&amp;O$103,Input_ForRateCalc[[Cost item]:[Cost item]],0),MATCH($F137,Input_ForRateCalc[#Headers],0)),"-")</f>
        <v>1.73</v>
      </c>
    </row>
    <row r="138" spans="3:15" hidden="1" outlineLevel="1" x14ac:dyDescent="0.25">
      <c r="C138" s="48" t="s">
        <v>254</v>
      </c>
      <c r="D138" s="71" t="str">
        <f>INDEX(Input_DecisionActual[[Actual]:[Actual]],MATCH(Calc_TU_values!$D$5,Input_DecisionActual[[VDO period]:[VDO period]],0),1)</f>
        <v>VDO 2021 - Final</v>
      </c>
      <c r="E138" s="18" t="s">
        <v>354</v>
      </c>
      <c r="F138" s="71" t="str">
        <f>IF($D138="-","-",INDEX(Inputs!$H$10:$Q$10,1,MATCH($D138,Inputs!$H$8:$Q$8,0)))</f>
        <v>F-CurrentVDO_Input</v>
      </c>
      <c r="G138" s="103"/>
      <c r="H138" s="18" t="s">
        <v>66</v>
      </c>
      <c r="I138" s="18" t="s">
        <v>45</v>
      </c>
      <c r="J138" s="48" t="s">
        <v>31</v>
      </c>
      <c r="K138" s="56" cm="1">
        <f t="array" ref="K138">TUProp_Days_1*SUM(
IFERROR(K137/100*INDEX(Input_Usage[#All],MATCH(Calc_TUV_Net_1[[#This Row],[Customer type]:[Customer type]]&amp;" - medium - controlled load",Input_Usage[[#All],[Ref]],0),MATCH($F138,Input_Usage[#Headers],0)),0))</f>
        <v>0</v>
      </c>
      <c r="L138" s="56" cm="1">
        <f t="array" ref="L138">TUProp_Days_1*SUM(
IFERROR(L137/100*INDEX(Input_Usage[#All],MATCH(Calc_TUV_Net_1[[#This Row],[Customer type]:[Customer type]]&amp;" - medium - controlled load",Input_Usage[[#All],[Ref]],0),MATCH($F138,Input_Usage[#Headers],0)),0))</f>
        <v>0</v>
      </c>
      <c r="M138" s="56" cm="1">
        <f t="array" ref="M138">TUProp_Days_1*SUM(
IFERROR(M137/100*INDEX(Input_Usage[#All],MATCH(Calc_TUV_Net_1[[#This Row],[Customer type]:[Customer type]]&amp;" - medium - controlled load",Input_Usage[[#All],[Ref]],0),MATCH($F138,Input_Usage[#Headers],0)),0))</f>
        <v>0</v>
      </c>
      <c r="N138" s="56" cm="1">
        <f t="array" ref="N138">TUProp_Days_1*SUM(
IFERROR(N137/100*INDEX(Input_Usage[#All],MATCH(Calc_TUV_Net_1[[#This Row],[Customer type]:[Customer type]]&amp;" - medium - controlled load",Input_Usage[[#All],[Ref]],0),MATCH($F138,Input_Usage[#Headers],0)),0))</f>
        <v>0</v>
      </c>
      <c r="O138" s="56" cm="1">
        <f t="array" ref="O138">TUProp_Days_1*SUM(
IFERROR(O137/100*INDEX(Input_Usage[#All],MATCH(Calc_TUV_Net_1[[#This Row],[Customer type]:[Customer type]]&amp;" - medium - controlled load",Input_Usage[[#All],[Ref]],0),MATCH($F138,Input_Usage[#Headers],0)),0))</f>
        <v>0</v>
      </c>
    </row>
    <row r="139" spans="3:15" hidden="1" outlineLevel="1" x14ac:dyDescent="0.25">
      <c r="C139" s="48" t="s">
        <v>255</v>
      </c>
      <c r="D139" s="18"/>
      <c r="E139" s="18"/>
      <c r="F139" s="18"/>
      <c r="G139" s="18"/>
      <c r="H139" s="18" t="s">
        <v>66</v>
      </c>
      <c r="I139" s="18" t="s">
        <v>45</v>
      </c>
      <c r="J139" s="48" t="s">
        <v>31</v>
      </c>
      <c r="K139" s="54" t="str">
        <f>IF(K138=0,"-",K136-K138)</f>
        <v>-</v>
      </c>
      <c r="L139" s="54" t="str">
        <f t="shared" ref="L139:O139" si="63">IF(L138=0,"-",L136-L138)</f>
        <v>-</v>
      </c>
      <c r="M139" s="54" t="str">
        <f t="shared" si="63"/>
        <v>-</v>
      </c>
      <c r="N139" s="54" t="str">
        <f t="shared" si="63"/>
        <v>-</v>
      </c>
      <c r="O139" s="54" t="str">
        <f t="shared" si="63"/>
        <v>-</v>
      </c>
    </row>
    <row r="140" spans="3:15" hidden="1" outlineLevel="1" x14ac:dyDescent="0.25">
      <c r="C140" s="48" t="s">
        <v>296</v>
      </c>
      <c r="D140" s="18"/>
      <c r="E140" s="18"/>
      <c r="F140" s="18"/>
      <c r="G140" s="18"/>
      <c r="H140" s="18" t="s">
        <v>66</v>
      </c>
      <c r="I140" s="18" t="s">
        <v>45</v>
      </c>
      <c r="J140" s="48" t="s">
        <v>31</v>
      </c>
      <c r="K140" s="55" t="str">
        <f>IFERROR(IF($D$11="Yes",K139*(1+WACC_adj_1),""),"-")</f>
        <v/>
      </c>
      <c r="L140" s="55" t="str">
        <f>IFERROR(IF($D$11="Yes",L139*(1+WACC_adj_1),""),"-")</f>
        <v/>
      </c>
      <c r="M140" s="55" t="str">
        <f>IFERROR(IF($D$11="Yes",M139*(1+WACC_adj_1),""),"-")</f>
        <v/>
      </c>
      <c r="N140" s="55" t="str">
        <f>IFERROR(IF($D$11="Yes",N139*(1+WACC_adj_1),""),"-")</f>
        <v/>
      </c>
      <c r="O140" s="55" t="str">
        <f>IFERROR(IF($D$11="Yes",O139*(1+WACC_adj_1),""),"-")</f>
        <v/>
      </c>
    </row>
    <row r="141" spans="3:15" hidden="1" outlineLevel="1" x14ac:dyDescent="0.25">
      <c r="C141" s="48" t="s">
        <v>257</v>
      </c>
      <c r="D141" s="71" t="str">
        <f>INDEX(Input_DecisionActual[[Actual]:[Actual]],MATCH(Calc_TU_values!$D$5,Input_DecisionActual[[VDO period]:[VDO period]],0),1)</f>
        <v>VDO 2021 - Final</v>
      </c>
      <c r="E141" s="18" t="s">
        <v>354</v>
      </c>
      <c r="F141" s="71" t="str">
        <f>IF($D141="-","-",INDEX(Inputs!$H$10:$Q$10,1,MATCH($D141,Inputs!$H$8:$Q$8,0)))</f>
        <v>F-CurrentVDO_Input</v>
      </c>
      <c r="G141" s="18"/>
      <c r="H141" s="18" t="s">
        <v>66</v>
      </c>
      <c r="I141" s="18" t="s">
        <v>45</v>
      </c>
      <c r="J141" s="48" t="s">
        <v>31</v>
      </c>
      <c r="K141" s="55" cm="1">
        <f t="array" ref="K141">IFERROR(SUM(K139:K140)*(INDEX(Inputs!$H$11:$Q$125,MATCH("Retail operating margin",Input_ForRateCalc[[Cost item]:[Cost item]],0),MATCH(Calc_TUV_Net_1[[#This Row],[Decision ref]:[Decision ref]],Inputs!$H$10:$Q$10,0))),"-")</f>
        <v>0</v>
      </c>
      <c r="L141" s="55" cm="1">
        <f t="array" ref="L141">IFERROR(SUM(L139:L140)*(INDEX(Inputs!$H$11:$Q$125,MATCH("Retail operating margin",Input_ForRateCalc[[Cost item]:[Cost item]],0),MATCH(Calc_TUV_Net_1[[#This Row],[Decision ref]:[Decision ref]],Inputs!$H$10:$Q$10,0))),"-")</f>
        <v>0</v>
      </c>
      <c r="M141" s="55" cm="1">
        <f t="array" ref="M141">IFERROR(SUM(M139:M140)*(INDEX(Inputs!$H$11:$Q$125,MATCH("Retail operating margin",Input_ForRateCalc[[Cost item]:[Cost item]],0),MATCH(Calc_TUV_Net_1[[#This Row],[Decision ref]:[Decision ref]],Inputs!$H$10:$Q$10,0))),"-")</f>
        <v>0</v>
      </c>
      <c r="N141" s="55" cm="1">
        <f t="array" ref="N141">IFERROR(SUM(N139:N140)*(INDEX(Inputs!$H$11:$Q$125,MATCH("Retail operating margin",Input_ForRateCalc[[Cost item]:[Cost item]],0),MATCH(Calc_TUV_Net_1[[#This Row],[Decision ref]:[Decision ref]],Inputs!$H$10:$Q$10,0))),"-")</f>
        <v>0</v>
      </c>
      <c r="O141" s="55" cm="1">
        <f t="array" ref="O141">IFERROR(SUM(O139:O140)*(INDEX(Inputs!$H$11:$Q$125,MATCH("Retail operating margin",Input_ForRateCalc[[Cost item]:[Cost item]],0),MATCH(Calc_TUV_Net_1[[#This Row],[Decision ref]:[Decision ref]],Inputs!$H$10:$Q$10,0))),"-")</f>
        <v>0</v>
      </c>
    </row>
    <row r="142" spans="3:15" hidden="1" outlineLevel="1" x14ac:dyDescent="0.25">
      <c r="C142" s="48" t="s">
        <v>297</v>
      </c>
      <c r="D142" s="18"/>
      <c r="E142" s="18"/>
      <c r="F142" s="18"/>
      <c r="G142" s="18"/>
      <c r="H142" s="18" t="s">
        <v>66</v>
      </c>
      <c r="I142" s="18" t="s">
        <v>45</v>
      </c>
      <c r="J142" s="48" t="s">
        <v>31</v>
      </c>
      <c r="K142" s="55" t="str">
        <f>IF(K138=0,"-",SUM(K139:K141)*GST)</f>
        <v>-</v>
      </c>
      <c r="L142" s="55" t="str">
        <f>IF(L138=0,"-",SUM(L139:L141)*GST)</f>
        <v>-</v>
      </c>
      <c r="M142" s="55" t="str">
        <f>IF(M138=0,"-",SUM(M139:M141)*GST)</f>
        <v>-</v>
      </c>
      <c r="N142" s="55" t="str">
        <f>IF(N138=0,"-",SUM(N139:N141)*GST)</f>
        <v>-</v>
      </c>
      <c r="O142" s="55" t="str">
        <f>IF(O138=0,"-",SUM(O139:O141)*GST)</f>
        <v>-</v>
      </c>
    </row>
    <row r="143" spans="3:15" hidden="1" outlineLevel="1" x14ac:dyDescent="0.25">
      <c r="C143" s="48" t="s">
        <v>396</v>
      </c>
      <c r="D143" s="94"/>
      <c r="E143" s="94"/>
      <c r="F143" s="94"/>
      <c r="H143" s="18" t="s">
        <v>66</v>
      </c>
      <c r="I143" s="18" t="s">
        <v>45</v>
      </c>
      <c r="J143" s="48" t="s">
        <v>31</v>
      </c>
      <c r="K143" s="55" t="str">
        <f>IF(K138=0,"-",SUM(K139:K142))</f>
        <v>-</v>
      </c>
      <c r="L143" s="55" t="str">
        <f>IF(L138=0,"-",SUM(L139:L142))</f>
        <v>-</v>
      </c>
      <c r="M143" s="55" t="str">
        <f>IF(M138=0,"-",SUM(M139:M142))</f>
        <v>-</v>
      </c>
      <c r="N143" s="55" t="str">
        <f>IF(N138=0,"-",SUM(N139:N142))</f>
        <v>-</v>
      </c>
      <c r="O143" s="55" t="str">
        <f>IF(O138=0,"-",SUM(O139:O142))</f>
        <v>-</v>
      </c>
    </row>
    <row r="144" spans="3:15" hidden="1" outlineLevel="1" x14ac:dyDescent="0.25">
      <c r="C144" s="48"/>
      <c r="D144" s="103"/>
      <c r="E144" s="103"/>
      <c r="F144" s="103"/>
      <c r="G144" s="103"/>
      <c r="H144" s="103"/>
      <c r="I144" s="103"/>
      <c r="J144" s="103"/>
      <c r="K144" s="109"/>
      <c r="L144" s="109"/>
      <c r="M144" s="109"/>
      <c r="N144" s="109"/>
      <c r="O144" s="109"/>
    </row>
    <row r="145" spans="3:15" ht="15.75" hidden="1" outlineLevel="1" x14ac:dyDescent="0.25">
      <c r="C145" s="120" t="s">
        <v>314</v>
      </c>
      <c r="D145" s="18"/>
      <c r="E145" s="18"/>
      <c r="F145" s="18"/>
      <c r="G145" s="57" t="s">
        <v>253</v>
      </c>
      <c r="H145" s="18"/>
      <c r="I145" s="18"/>
      <c r="J145" s="18"/>
      <c r="K145" s="54"/>
      <c r="L145" s="18"/>
      <c r="M145" s="18"/>
      <c r="N145" s="18"/>
      <c r="O145" s="18"/>
    </row>
    <row r="146" spans="3:15" hidden="1" outlineLevel="1" x14ac:dyDescent="0.25">
      <c r="C146" s="46" t="s">
        <v>329</v>
      </c>
      <c r="D146" s="46"/>
      <c r="E146" s="46"/>
      <c r="F146" s="46"/>
      <c r="G146" s="57"/>
      <c r="H146" s="57"/>
      <c r="I146" s="18"/>
      <c r="J146" s="18"/>
      <c r="K146" s="54"/>
      <c r="L146" s="18"/>
      <c r="M146" s="18"/>
      <c r="N146" s="18"/>
      <c r="O146" s="18"/>
    </row>
    <row r="147" spans="3:15" hidden="1" outlineLevel="1" x14ac:dyDescent="0.25">
      <c r="C147" s="48" t="s">
        <v>309</v>
      </c>
      <c r="D147" s="71" t="str">
        <f>Calc_TU_values!$D$5</f>
        <v>VDO 2021 - Variation final</v>
      </c>
      <c r="E147" s="18" t="s">
        <v>353</v>
      </c>
      <c r="F147" s="71" t="str">
        <f>INDEX(Inputs!$H$10:$Q$10,1,MATCH($D147,Inputs!$H$8:$Q$8,0))</f>
        <v>VF-CurrentVDO_Input</v>
      </c>
      <c r="G147" s="47"/>
      <c r="H147" s="18" t="s">
        <v>44</v>
      </c>
      <c r="I147" s="18" t="s">
        <v>45</v>
      </c>
      <c r="J147" s="48" t="s">
        <v>32</v>
      </c>
      <c r="K147" s="55" cm="1">
        <f t="array" ref="K147">IFERROR(INDEX(Input_ForRateCalc[],MATCH($C147&amp;" - "&amp;K$103,Input_ForRateCalc[[Cost item]:[Cost item]],0),MATCH(Calc_TUV_Net_1[[#This Row],[Decision ref]:[Decision ref]],Input_ForRateCalc[#Headers],0)),"-")*TUProp_Days_1</f>
        <v>0</v>
      </c>
      <c r="L147" s="55" cm="1">
        <f t="array" ref="L147">IFERROR(INDEX(Input_ForRateCalc[],MATCH($C147&amp;" - "&amp;L$103,Input_ForRateCalc[[Cost item]:[Cost item]],0),MATCH(Calc_TUV_Net_1[[#This Row],[Decision ref]:[Decision ref]],Input_ForRateCalc[#Headers],0)),"-")*TUProp_Days_1</f>
        <v>0</v>
      </c>
      <c r="M147" s="55" cm="1">
        <f t="array" ref="M147">IFERROR(INDEX(Input_ForRateCalc[],MATCH($C147&amp;" - "&amp;M$103,Input_ForRateCalc[[Cost item]:[Cost item]],0),MATCH(Calc_TUV_Net_1[[#This Row],[Decision ref]:[Decision ref]],Input_ForRateCalc[#Headers],0)),"-")*TUProp_Days_1</f>
        <v>0</v>
      </c>
      <c r="N147" s="55" cm="1">
        <f t="array" ref="N147">IFERROR(INDEX(Input_ForRateCalc[],MATCH($C147&amp;" - "&amp;N$103,Input_ForRateCalc[[Cost item]:[Cost item]],0),MATCH(Calc_TUV_Net_1[[#This Row],[Decision ref]:[Decision ref]],Input_ForRateCalc[#Headers],0)),"-")*TUProp_Days_1</f>
        <v>0</v>
      </c>
      <c r="O147" s="55" cm="1">
        <f t="array" ref="O147">IFERROR(INDEX(Input_ForRateCalc[],MATCH($C147&amp;" - "&amp;O$103,Input_ForRateCalc[[Cost item]:[Cost item]],0),MATCH(Calc_TUV_Net_1[[#This Row],[Decision ref]:[Decision ref]],Input_ForRateCalc[#Headers],0)),"-")*TUProp_Days_1</f>
        <v>0</v>
      </c>
    </row>
    <row r="148" spans="3:15" hidden="1" outlineLevel="1" x14ac:dyDescent="0.25">
      <c r="C148" s="48" t="s">
        <v>211</v>
      </c>
      <c r="D148" s="71" t="str">
        <f>Calc_TU_values!$D$5</f>
        <v>VDO 2021 - Variation final</v>
      </c>
      <c r="E148" s="18" t="s">
        <v>353</v>
      </c>
      <c r="F148" s="71" t="str">
        <f>INDEX(Inputs!$H$10:$Q$10,1,MATCH($D148,Inputs!$H$8:$Q$8,0))</f>
        <v>VF-CurrentVDO_Input</v>
      </c>
      <c r="G148" s="47"/>
      <c r="H148" s="18" t="s">
        <v>44</v>
      </c>
      <c r="I148" s="18" t="s">
        <v>45</v>
      </c>
      <c r="J148" s="48" t="s">
        <v>32</v>
      </c>
      <c r="K148" s="55" cm="1">
        <f t="array" ref="K148">IFERROR(INDEX(Input_ForRateCalc[],MATCH($C148&amp;" - "&amp;K$103,Input_ForRateCalc[[Cost item]:[Cost item]],0),MATCH(Calc_TUV_Net_1[[#This Row],[Decision ref]:[Decision ref]],Input_ForRateCalc[#Headers],0)),"-")*TUProp_Days_1</f>
        <v>0</v>
      </c>
      <c r="L148" s="55" cm="1">
        <f t="array" ref="L148">IFERROR(INDEX(Input_ForRateCalc[],MATCH($C148&amp;" - "&amp;L$103,Input_ForRateCalc[[Cost item]:[Cost item]],0),MATCH(Calc_TUV_Net_1[[#This Row],[Decision ref]:[Decision ref]],Input_ForRateCalc[#Headers],0)),"-")*TUProp_Days_1</f>
        <v>0</v>
      </c>
      <c r="M148" s="55" cm="1">
        <f t="array" ref="M148">IFERROR(INDEX(Input_ForRateCalc[],MATCH($C148&amp;" - "&amp;M$103,Input_ForRateCalc[[Cost item]:[Cost item]],0),MATCH(Calc_TUV_Net_1[[#This Row],[Decision ref]:[Decision ref]],Input_ForRateCalc[#Headers],0)),"-")*TUProp_Days_1</f>
        <v>0</v>
      </c>
      <c r="N148" s="55" cm="1">
        <f t="array" ref="N148">IFERROR(INDEX(Input_ForRateCalc[],MATCH($C148&amp;" - "&amp;N$103,Input_ForRateCalc[[Cost item]:[Cost item]],0),MATCH(Calc_TUV_Net_1[[#This Row],[Decision ref]:[Decision ref]],Input_ForRateCalc[#Headers],0)),"-")*TUProp_Days_1</f>
        <v>0</v>
      </c>
      <c r="O148" s="55" cm="1">
        <f t="array" ref="O148">IFERROR(INDEX(Input_ForRateCalc[],MATCH($C148&amp;" - "&amp;O$103,Input_ForRateCalc[[Cost item]:[Cost item]],0),MATCH(Calc_TUV_Net_1[[#This Row],[Decision ref]:[Decision ref]],Input_ForRateCalc[#Headers],0)),"-")*TUProp_Days_1</f>
        <v>0</v>
      </c>
    </row>
    <row r="149" spans="3:15" hidden="1" outlineLevel="1" x14ac:dyDescent="0.25">
      <c r="C149" s="48" t="s">
        <v>254</v>
      </c>
      <c r="D149" s="71" t="str">
        <f>Calc_TU_values!$D$5</f>
        <v>VDO 2021 - Variation final</v>
      </c>
      <c r="E149" s="18" t="s">
        <v>353</v>
      </c>
      <c r="F149" s="71" t="str">
        <f>INDEX(Inputs!$H$10:$Q$10,1,MATCH($D149,Inputs!$H$8:$Q$8,0))</f>
        <v>VF-CurrentVDO_Input</v>
      </c>
      <c r="G149" s="47"/>
      <c r="H149" s="18" t="s">
        <v>44</v>
      </c>
      <c r="I149" s="18" t="s">
        <v>45</v>
      </c>
      <c r="J149" s="48" t="s">
        <v>32</v>
      </c>
      <c r="K149" s="53">
        <f>IFERROR(SUM(K147:K148),"-")</f>
        <v>0</v>
      </c>
      <c r="L149" s="53">
        <f>IFERROR(SUM(L147:L148),"-")</f>
        <v>0</v>
      </c>
      <c r="M149" s="53">
        <f>IFERROR(SUM(M147:M148),"-")</f>
        <v>0</v>
      </c>
      <c r="N149" s="53">
        <f>IFERROR(SUM(N147:N148),"-")</f>
        <v>0</v>
      </c>
      <c r="O149" s="53">
        <f>IFERROR(SUM(O147:O148),"-")</f>
        <v>0</v>
      </c>
    </row>
    <row r="150" spans="3:15" hidden="1" outlineLevel="1" x14ac:dyDescent="0.25">
      <c r="C150" s="48" t="s">
        <v>309</v>
      </c>
      <c r="D150" s="71" t="str">
        <f>INDEX(Input_DecisionActual[[Actual]:[Actual]],MATCH(Calc_TU_values!$D$5,Input_DecisionActual[[VDO period]:[VDO period]],0),1)</f>
        <v>VDO 2021 - Final</v>
      </c>
      <c r="E150" s="18" t="s">
        <v>354</v>
      </c>
      <c r="F150" s="71" t="str">
        <f>IF($D150="-","-",INDEX(Inputs!$H$10:$Q$10,1,MATCH($D150,Inputs!$H$8:$Q$8,0)))</f>
        <v>F-CurrentVDO_Input</v>
      </c>
      <c r="G150" s="47"/>
      <c r="H150" s="18" t="s">
        <v>44</v>
      </c>
      <c r="I150" s="18" t="s">
        <v>45</v>
      </c>
      <c r="J150" s="48" t="s">
        <v>32</v>
      </c>
      <c r="K150" s="55" cm="1">
        <f t="array" ref="K150">IFERROR(INDEX(Input_ForRateCalc[],MATCH($C150&amp;" - "&amp;K$103,Input_ForRateCalc[[Cost item]:[Cost item]],0),MATCH(Calc_TUV_Net_1[[#This Row],[Decision ref]:[Decision ref]],Input_ForRateCalc[#Headers],0)),"-")*TUProp_Days_1</f>
        <v>0</v>
      </c>
      <c r="L150" s="55" cm="1">
        <f t="array" ref="L150">IFERROR(INDEX(Input_ForRateCalc[],MATCH($C150&amp;" - "&amp;L$103,Input_ForRateCalc[[Cost item]:[Cost item]],0),MATCH(Calc_TUV_Net_1[[#This Row],[Decision ref]:[Decision ref]],Input_ForRateCalc[#Headers],0)),"-")*TUProp_Days_1</f>
        <v>0</v>
      </c>
      <c r="M150" s="55" cm="1">
        <f t="array" ref="M150">IFERROR(INDEX(Input_ForRateCalc[],MATCH($C150&amp;" - "&amp;M$103,Input_ForRateCalc[[Cost item]:[Cost item]],0),MATCH(Calc_TUV_Net_1[[#This Row],[Decision ref]:[Decision ref]],Input_ForRateCalc[#Headers],0)),"-")*TUProp_Days_1</f>
        <v>0</v>
      </c>
      <c r="N150" s="55" cm="1">
        <f t="array" ref="N150">IFERROR(INDEX(Input_ForRateCalc[],MATCH($C150&amp;" - "&amp;N$103,Input_ForRateCalc[[Cost item]:[Cost item]],0),MATCH(Calc_TUV_Net_1[[#This Row],[Decision ref]:[Decision ref]],Input_ForRateCalc[#Headers],0)),"-")*TUProp_Days_1</f>
        <v>0</v>
      </c>
      <c r="O150" s="55" cm="1">
        <f t="array" ref="O150">IFERROR(INDEX(Input_ForRateCalc[],MATCH($C150&amp;" - "&amp;O$103,Input_ForRateCalc[[Cost item]:[Cost item]],0),MATCH(Calc_TUV_Net_1[[#This Row],[Decision ref]:[Decision ref]],Input_ForRateCalc[#Headers],0)),"-")*TUProp_Days_1</f>
        <v>0</v>
      </c>
    </row>
    <row r="151" spans="3:15" hidden="1" outlineLevel="1" x14ac:dyDescent="0.25">
      <c r="C151" s="48" t="s">
        <v>211</v>
      </c>
      <c r="D151" s="71" t="str">
        <f>INDEX(Input_DecisionActual[[Actual]:[Actual]],MATCH(Calc_TU_values!$D$5,Input_DecisionActual[[VDO period]:[VDO period]],0),1)</f>
        <v>VDO 2021 - Final</v>
      </c>
      <c r="E151" s="18" t="s">
        <v>354</v>
      </c>
      <c r="F151" s="71" t="str">
        <f>IF($D151="-","-",INDEX(Inputs!$H$10:$Q$10,1,MATCH($D151,Inputs!$H$8:$Q$8,0)))</f>
        <v>F-CurrentVDO_Input</v>
      </c>
      <c r="G151" s="47"/>
      <c r="H151" s="18" t="s">
        <v>44</v>
      </c>
      <c r="I151" s="18" t="s">
        <v>45</v>
      </c>
      <c r="J151" s="48" t="s">
        <v>32</v>
      </c>
      <c r="K151" s="55" cm="1">
        <f t="array" ref="K151">IFERROR(INDEX(Input_ForRateCalc[],MATCH($C151&amp;" - "&amp;K$103,Input_ForRateCalc[[Cost item]:[Cost item]],0),MATCH(Calc_TUV_Net_1[[#This Row],[Decision ref]:[Decision ref]],Input_ForRateCalc[#Headers],0)),"-")*TUProp_Days_1</f>
        <v>0</v>
      </c>
      <c r="L151" s="55" cm="1">
        <f t="array" ref="L151">IFERROR(INDEX(Input_ForRateCalc[],MATCH($C151&amp;" - "&amp;L$103,Input_ForRateCalc[[Cost item]:[Cost item]],0),MATCH(Calc_TUV_Net_1[[#This Row],[Decision ref]:[Decision ref]],Input_ForRateCalc[#Headers],0)),"-")*TUProp_Days_1</f>
        <v>0</v>
      </c>
      <c r="M151" s="55" cm="1">
        <f t="array" ref="M151">IFERROR(INDEX(Input_ForRateCalc[],MATCH($C151&amp;" - "&amp;M$103,Input_ForRateCalc[[Cost item]:[Cost item]],0),MATCH(Calc_TUV_Net_1[[#This Row],[Decision ref]:[Decision ref]],Input_ForRateCalc[#Headers],0)),"-")*TUProp_Days_1</f>
        <v>0</v>
      </c>
      <c r="N151" s="55" cm="1">
        <f t="array" ref="N151">IFERROR(INDEX(Input_ForRateCalc[],MATCH($C151&amp;" - "&amp;N$103,Input_ForRateCalc[[Cost item]:[Cost item]],0),MATCH(Calc_TUV_Net_1[[#This Row],[Decision ref]:[Decision ref]],Input_ForRateCalc[#Headers],0)),"-")*TUProp_Days_1</f>
        <v>0</v>
      </c>
      <c r="O151" s="55" cm="1">
        <f t="array" ref="O151">IFERROR(INDEX(Input_ForRateCalc[],MATCH($C151&amp;" - "&amp;O$103,Input_ForRateCalc[[Cost item]:[Cost item]],0),MATCH(Calc_TUV_Net_1[[#This Row],[Decision ref]:[Decision ref]],Input_ForRateCalc[#Headers],0)),"-")*TUProp_Days_1</f>
        <v>0</v>
      </c>
    </row>
    <row r="152" spans="3:15" hidden="1" outlineLevel="1" x14ac:dyDescent="0.25">
      <c r="C152" s="48" t="s">
        <v>254</v>
      </c>
      <c r="D152" s="71" t="str">
        <f>INDEX(Input_DecisionActual[[Actual]:[Actual]],MATCH(Calc_TU_values!$D$5,Input_DecisionActual[[VDO period]:[VDO period]],0),1)</f>
        <v>VDO 2021 - Final</v>
      </c>
      <c r="E152" s="18" t="s">
        <v>354</v>
      </c>
      <c r="F152" s="71" t="str">
        <f>IF($D152="-","-",INDEX(Inputs!$H$10:$Q$10,1,MATCH($D152,Inputs!$H$8:$Q$8,0)))</f>
        <v>F-CurrentVDO_Input</v>
      </c>
      <c r="G152" s="47"/>
      <c r="H152" s="18" t="s">
        <v>44</v>
      </c>
      <c r="I152" s="18" t="s">
        <v>45</v>
      </c>
      <c r="J152" s="48" t="s">
        <v>32</v>
      </c>
      <c r="K152" s="54">
        <f>SUM(K150:K151)</f>
        <v>0</v>
      </c>
      <c r="L152" s="54">
        <f>SUM(L150:L151)</f>
        <v>0</v>
      </c>
      <c r="M152" s="54">
        <f>SUM(M150:M151)</f>
        <v>0</v>
      </c>
      <c r="N152" s="54">
        <f>SUM(N150:N151)</f>
        <v>0</v>
      </c>
      <c r="O152" s="54">
        <f>SUM(O150:O151)</f>
        <v>0</v>
      </c>
    </row>
    <row r="153" spans="3:15" hidden="1" outlineLevel="1" x14ac:dyDescent="0.25">
      <c r="C153" s="48" t="s">
        <v>255</v>
      </c>
      <c r="D153" s="18"/>
      <c r="E153" s="18"/>
      <c r="F153" s="18"/>
      <c r="G153" s="48"/>
      <c r="H153" s="18" t="s">
        <v>44</v>
      </c>
      <c r="I153" s="18" t="s">
        <v>45</v>
      </c>
      <c r="J153" s="48" t="s">
        <v>32</v>
      </c>
      <c r="K153" s="54" t="str">
        <f>IF(K152=0,"-",K149-K152)</f>
        <v>-</v>
      </c>
      <c r="L153" s="54" t="str">
        <f t="shared" ref="L153:O153" si="64">IF(L152=0,"-",L149-L152)</f>
        <v>-</v>
      </c>
      <c r="M153" s="54" t="str">
        <f t="shared" si="64"/>
        <v>-</v>
      </c>
      <c r="N153" s="54" t="str">
        <f t="shared" si="64"/>
        <v>-</v>
      </c>
      <c r="O153" s="54" t="str">
        <f t="shared" si="64"/>
        <v>-</v>
      </c>
    </row>
    <row r="154" spans="3:15" hidden="1" outlineLevel="1" x14ac:dyDescent="0.25">
      <c r="C154" s="48" t="s">
        <v>296</v>
      </c>
      <c r="D154" s="18"/>
      <c r="E154" s="18"/>
      <c r="F154" s="18"/>
      <c r="G154" s="48"/>
      <c r="H154" s="18" t="s">
        <v>44</v>
      </c>
      <c r="I154" s="18" t="s">
        <v>45</v>
      </c>
      <c r="J154" s="48" t="s">
        <v>32</v>
      </c>
      <c r="K154" s="55" t="str">
        <f>IFERROR(IF($D$11="Yes",K153*(1+WACC_adj_1),""),"-")</f>
        <v/>
      </c>
      <c r="L154" s="55" t="str">
        <f>IFERROR(IF($D$11="Yes",L153*(1+WACC_adj_1),""),"-")</f>
        <v/>
      </c>
      <c r="M154" s="55" t="str">
        <f>IFERROR(IF($D$11="Yes",M153*(1+WACC_adj_1),""),"-")</f>
        <v/>
      </c>
      <c r="N154" s="55" t="str">
        <f>IFERROR(IF($D$11="Yes",N153*(1+WACC_adj_1),""),"-")</f>
        <v/>
      </c>
      <c r="O154" s="55" t="str">
        <f>IFERROR(IF($D$11="Yes",O153*(1+WACC_adj_1),""),"-")</f>
        <v/>
      </c>
    </row>
    <row r="155" spans="3:15" hidden="1" outlineLevel="1" x14ac:dyDescent="0.25">
      <c r="C155" s="48" t="s">
        <v>257</v>
      </c>
      <c r="D155" s="71" t="str">
        <f>INDEX(Input_DecisionActual[[Actual]:[Actual]],MATCH(Calc_TU_values!$D$5,Input_DecisionActual[[VDO period]:[VDO period]],0),1)</f>
        <v>VDO 2021 - Final</v>
      </c>
      <c r="E155" s="18" t="s">
        <v>354</v>
      </c>
      <c r="F155" s="71" t="str">
        <f>IF($D155="-","-",INDEX(Inputs!$H$10:$Q$10,1,MATCH($D155,Inputs!$H$8:$Q$8,0)))</f>
        <v>F-CurrentVDO_Input</v>
      </c>
      <c r="G155" s="48"/>
      <c r="H155" s="18" t="s">
        <v>44</v>
      </c>
      <c r="I155" s="18" t="s">
        <v>45</v>
      </c>
      <c r="J155" s="48" t="s">
        <v>32</v>
      </c>
      <c r="K155" s="55" cm="1">
        <f t="array" ref="K155">IFERROR(SUM(K153:K154)*(INDEX(Inputs!$H$11:$Q$125,MATCH("Retail operating margin",Input_ForRateCalc[[Cost item]:[Cost item]],0),MATCH(Calc_TUV_Net_1[[#This Row],[Decision ref]:[Decision ref]],Inputs!$H$10:$Q$10,0))),"-")</f>
        <v>0</v>
      </c>
      <c r="L155" s="55" cm="1">
        <f t="array" ref="L155">IFERROR(SUM(L153:L154)*(INDEX(Inputs!$H$11:$Q$125,MATCH("Retail operating margin",Input_ForRateCalc[[Cost item]:[Cost item]],0),MATCH(Calc_TUV_Net_1[[#This Row],[Decision ref]:[Decision ref]],Inputs!$H$10:$Q$10,0))),"-")</f>
        <v>0</v>
      </c>
      <c r="M155" s="55" cm="1">
        <f t="array" ref="M155">IFERROR(SUM(M153:M154)*(INDEX(Inputs!$H$11:$Q$125,MATCH("Retail operating margin",Input_ForRateCalc[[Cost item]:[Cost item]],0),MATCH(Calc_TUV_Net_1[[#This Row],[Decision ref]:[Decision ref]],Inputs!$H$10:$Q$10,0))),"-")</f>
        <v>0</v>
      </c>
      <c r="N155" s="55" cm="1">
        <f t="array" ref="N155">IFERROR(SUM(N153:N154)*(INDEX(Inputs!$H$11:$Q$125,MATCH("Retail operating margin",Input_ForRateCalc[[Cost item]:[Cost item]],0),MATCH(Calc_TUV_Net_1[[#This Row],[Decision ref]:[Decision ref]],Inputs!$H$10:$Q$10,0))),"-")</f>
        <v>0</v>
      </c>
      <c r="O155" s="55" cm="1">
        <f t="array" ref="O155">IFERROR(SUM(O153:O154)*(INDEX(Inputs!$H$11:$Q$125,MATCH("Retail operating margin",Input_ForRateCalc[[Cost item]:[Cost item]],0),MATCH(Calc_TUV_Net_1[[#This Row],[Decision ref]:[Decision ref]],Inputs!$H$10:$Q$10,0))),"-")</f>
        <v>0</v>
      </c>
    </row>
    <row r="156" spans="3:15" hidden="1" outlineLevel="1" x14ac:dyDescent="0.25">
      <c r="C156" s="48" t="s">
        <v>297</v>
      </c>
      <c r="D156" s="18"/>
      <c r="E156" s="18"/>
      <c r="F156" s="18"/>
      <c r="G156" s="48"/>
      <c r="H156" s="18" t="s">
        <v>44</v>
      </c>
      <c r="I156" s="18" t="s">
        <v>45</v>
      </c>
      <c r="J156" s="48" t="s">
        <v>32</v>
      </c>
      <c r="K156" s="55" t="str">
        <f>IF(K152=0,"-",SUM(K153:K155)*GST)</f>
        <v>-</v>
      </c>
      <c r="L156" s="55" t="str">
        <f>IF(L152=0,"-",SUM(L153:L155)*GST)</f>
        <v>-</v>
      </c>
      <c r="M156" s="55" t="str">
        <f>IF(M152=0,"-",SUM(M153:M155)*GST)</f>
        <v>-</v>
      </c>
      <c r="N156" s="55" t="str">
        <f>IF(N152=0,"-",SUM(N153:N155)*GST)</f>
        <v>-</v>
      </c>
      <c r="O156" s="55" t="str">
        <f>IF(O152=0,"-",SUM(O153:O155)*GST)</f>
        <v>-</v>
      </c>
    </row>
    <row r="157" spans="3:15" hidden="1" outlineLevel="1" x14ac:dyDescent="0.25">
      <c r="C157" s="18" t="s">
        <v>323</v>
      </c>
      <c r="D157" s="18"/>
      <c r="E157" s="18"/>
      <c r="F157" s="18"/>
      <c r="G157" s="48"/>
      <c r="H157" s="18" t="s">
        <v>44</v>
      </c>
      <c r="I157" s="18" t="s">
        <v>45</v>
      </c>
      <c r="J157" s="48" t="s">
        <v>32</v>
      </c>
      <c r="K157" s="55" t="str">
        <f>IF(K152=0,"-",SUM(K153:K156))</f>
        <v>-</v>
      </c>
      <c r="L157" s="55" t="str">
        <f>IF(L152=0,"-",SUM(L153:L156))</f>
        <v>-</v>
      </c>
      <c r="M157" s="55" t="str">
        <f>IF(M152=0,"-",SUM(M153:M156))</f>
        <v>-</v>
      </c>
      <c r="N157" s="55" t="str">
        <f>IF(N152=0,"-",SUM(N153:N156))</f>
        <v>-</v>
      </c>
      <c r="O157" s="55" t="str">
        <f>IF(O152=0,"-",SUM(O153:O156))</f>
        <v>-</v>
      </c>
    </row>
    <row r="158" spans="3:15" hidden="1" outlineLevel="1" x14ac:dyDescent="0.25">
      <c r="C158" s="48"/>
      <c r="D158" s="48"/>
      <c r="E158" s="48"/>
      <c r="F158" s="48"/>
      <c r="H158" s="48"/>
      <c r="I158" s="18"/>
      <c r="J158" s="18"/>
      <c r="K158" s="106"/>
      <c r="L158" s="106"/>
      <c r="M158" s="106"/>
      <c r="N158" s="106"/>
      <c r="O158" s="106"/>
    </row>
    <row r="159" spans="3:15" hidden="1" outlineLevel="1" x14ac:dyDescent="0.25">
      <c r="C159" s="46" t="s">
        <v>330</v>
      </c>
      <c r="D159" s="48"/>
      <c r="E159" s="48"/>
      <c r="F159" s="48"/>
      <c r="G159" s="57"/>
      <c r="H159" s="48"/>
      <c r="I159" s="18"/>
      <c r="J159" s="48"/>
      <c r="K159" s="106"/>
      <c r="L159" s="106"/>
      <c r="M159" s="106"/>
      <c r="N159" s="106"/>
      <c r="O159" s="106"/>
    </row>
    <row r="160" spans="3:15" hidden="1" outlineLevel="1" x14ac:dyDescent="0.25">
      <c r="C160" s="48" t="s">
        <v>310</v>
      </c>
      <c r="D160" s="71" t="str">
        <f>Calc_TU_values!$D$5</f>
        <v>VDO 2021 - Variation final</v>
      </c>
      <c r="E160" s="18" t="s">
        <v>353</v>
      </c>
      <c r="F160" s="71" t="str">
        <f>INDEX(Inputs!$H$10:$Q$10,1,MATCH($D160,Inputs!$H$8:$Q$8,0))</f>
        <v>VF-CurrentVDO_Input</v>
      </c>
      <c r="G160" s="48"/>
      <c r="H160" s="18" t="s">
        <v>66</v>
      </c>
      <c r="I160" s="18" t="s">
        <v>101</v>
      </c>
      <c r="J160" s="48" t="s">
        <v>32</v>
      </c>
      <c r="K160" s="55" cm="1">
        <f t="array" ref="K160">IFERROR(INDEX(Input_ForRateCalc[],MATCH($C160&amp;" - "&amp;K$103,Input_ForRateCalc[[Cost item]:[Cost item]],0),MATCH(Calc_TUV_Net_1[[#This Row],[Decision ref]:[Decision ref]],Input_ForRateCalc[#Headers],0)),"-")</f>
        <v>15.538600000000001</v>
      </c>
      <c r="L160" s="55" t="str" cm="1">
        <f t="array" ref="L160">IFERROR(INDEX(Input_ForRateCalc[],MATCH($C160&amp;" - "&amp;L$103,Input_ForRateCalc[[Cost item]:[Cost item]],0),MATCH(Calc_TUV_Net_1[[#This Row],[Decision ref]:[Decision ref]],Input_ForRateCalc[#Headers],0)),"-")</f>
        <v>-</v>
      </c>
      <c r="M160" s="55" t="str" cm="1">
        <f t="array" ref="M160">IFERROR(INDEX(Input_ForRateCalc[],MATCH($C160&amp;" - "&amp;M$103,Input_ForRateCalc[[Cost item]:[Cost item]],0),MATCH(Calc_TUV_Net_1[[#This Row],[Decision ref]:[Decision ref]],Input_ForRateCalc[#Headers],0)),"-")</f>
        <v>-</v>
      </c>
      <c r="N160" s="55" t="str" cm="1">
        <f t="array" ref="N160">IFERROR(INDEX(Input_ForRateCalc[],MATCH($C160&amp;" - "&amp;N$103,Input_ForRateCalc[[Cost item]:[Cost item]],0),MATCH(Calc_TUV_Net_1[[#This Row],[Decision ref]:[Decision ref]],Input_ForRateCalc[#Headers],0)),"-")</f>
        <v>-</v>
      </c>
      <c r="O160" s="55" t="str" cm="1">
        <f t="array" ref="O160">IFERROR(INDEX(Input_ForRateCalc[],MATCH($C160&amp;" - "&amp;O$103,Input_ForRateCalc[[Cost item]:[Cost item]],0),MATCH(Calc_TUV_Net_1[[#This Row],[Decision ref]:[Decision ref]],Input_ForRateCalc[#Headers],0)),"-")</f>
        <v>-</v>
      </c>
    </row>
    <row r="161" spans="3:15" hidden="1" outlineLevel="1" x14ac:dyDescent="0.25">
      <c r="C161" s="48" t="s">
        <v>311</v>
      </c>
      <c r="D161" s="71" t="str">
        <f>Calc_TU_values!$D$5</f>
        <v>VDO 2021 - Variation final</v>
      </c>
      <c r="E161" s="18" t="s">
        <v>353</v>
      </c>
      <c r="F161" s="71" t="str">
        <f>INDEX(Inputs!$H$10:$Q$10,1,MATCH($D161,Inputs!$H$8:$Q$8,0))</f>
        <v>VF-CurrentVDO_Input</v>
      </c>
      <c r="G161" s="57"/>
      <c r="H161" s="18" t="s">
        <v>66</v>
      </c>
      <c r="I161" s="18" t="s">
        <v>101</v>
      </c>
      <c r="J161" s="48" t="s">
        <v>32</v>
      </c>
      <c r="K161" s="55" cm="1">
        <f t="array" ref="K161">IFERROR(INDEX(Input_ForRateCalc[],MATCH($C161&amp;" - "&amp;K$103,Input_ForRateCalc[[Cost item]:[Cost item]],0),MATCH(Calc_TUV_Net_1[[#This Row],[Decision ref]:[Decision ref]],Input_ForRateCalc[#Headers],0)),"-")</f>
        <v>18.2667</v>
      </c>
      <c r="L161" s="55" t="str" cm="1">
        <f t="array" ref="L161">IFERROR(INDEX(Input_ForRateCalc[],MATCH($C161&amp;" - "&amp;L$103,Input_ForRateCalc[[Cost item]:[Cost item]],0),MATCH(Calc_TUV_Net_1[[#This Row],[Decision ref]:[Decision ref]],Input_ForRateCalc[#Headers],0)),"-")</f>
        <v>-</v>
      </c>
      <c r="M161" s="55" t="str" cm="1">
        <f t="array" ref="M161">IFERROR(INDEX(Input_ForRateCalc[],MATCH($C161&amp;" - "&amp;M$103,Input_ForRateCalc[[Cost item]:[Cost item]],0),MATCH(Calc_TUV_Net_1[[#This Row],[Decision ref]:[Decision ref]],Input_ForRateCalc[#Headers],0)),"-")</f>
        <v>-</v>
      </c>
      <c r="N161" s="55" t="str" cm="1">
        <f t="array" ref="N161">IFERROR(INDEX(Input_ForRateCalc[],MATCH($C161&amp;" - "&amp;N$103,Input_ForRateCalc[[Cost item]:[Cost item]],0),MATCH(Calc_TUV_Net_1[[#This Row],[Decision ref]:[Decision ref]],Input_ForRateCalc[#Headers],0)),"-")</f>
        <v>-</v>
      </c>
      <c r="O161" s="55" t="str" cm="1">
        <f t="array" ref="O161">IFERROR(INDEX(Input_ForRateCalc[],MATCH($C161&amp;" - "&amp;O$103,Input_ForRateCalc[[Cost item]:[Cost item]],0),MATCH(Calc_TUV_Net_1[[#This Row],[Decision ref]:[Decision ref]],Input_ForRateCalc[#Headers],0)),"-")</f>
        <v>-</v>
      </c>
    </row>
    <row r="162" spans="3:15" hidden="1" outlineLevel="1" x14ac:dyDescent="0.25">
      <c r="C162" s="48" t="s">
        <v>312</v>
      </c>
      <c r="D162" s="71" t="str">
        <f>Calc_TU_values!$D$5</f>
        <v>VDO 2021 - Variation final</v>
      </c>
      <c r="E162" s="18" t="s">
        <v>353</v>
      </c>
      <c r="F162" s="71" t="str">
        <f>INDEX(Inputs!$H$10:$Q$10,1,MATCH($D162,Inputs!$H$8:$Q$8,0))</f>
        <v>VF-CurrentVDO_Input</v>
      </c>
      <c r="G162" s="47"/>
      <c r="H162" s="18" t="s">
        <v>66</v>
      </c>
      <c r="I162" s="18" t="s">
        <v>101</v>
      </c>
      <c r="J162" s="48" t="s">
        <v>32</v>
      </c>
      <c r="K162" s="55" t="str" cm="1">
        <f t="array" ref="K162">IFERROR(INDEX(Input_ForRateCalc[],MATCH($C162&amp;" - "&amp;K$103,Input_ForRateCalc[[Cost item]:[Cost item]],0),MATCH(Calc_TUV_Net_1[[#This Row],[Decision ref]:[Decision ref]],Input_ForRateCalc[#Headers],0)),"-")</f>
        <v>-</v>
      </c>
      <c r="L162" s="55" cm="1">
        <f t="array" ref="L162">IFERROR(INDEX(Input_ForRateCalc[],MATCH($C162&amp;" - "&amp;L$103,Input_ForRateCalc[[Cost item]:[Cost item]],0),MATCH(Calc_TUV_Net_1[[#This Row],[Decision ref]:[Decision ref]],Input_ForRateCalc[#Headers],0)),"-")</f>
        <v>8.2100000000000009</v>
      </c>
      <c r="M162" s="55" cm="1">
        <f t="array" ref="M162">IFERROR(INDEX(Input_ForRateCalc[],MATCH($C162&amp;" - "&amp;M$103,Input_ForRateCalc[[Cost item]:[Cost item]],0),MATCH(Calc_TUV_Net_1[[#This Row],[Decision ref]:[Decision ref]],Input_ForRateCalc[#Headers],0)),"-")</f>
        <v>10.973000000000001</v>
      </c>
      <c r="N162" s="55" cm="1">
        <f t="array" ref="N162">IFERROR(INDEX(Input_ForRateCalc[],MATCH($C162&amp;" - "&amp;N$103,Input_ForRateCalc[[Cost item]:[Cost item]],0),MATCH(Calc_TUV_Net_1[[#This Row],[Decision ref]:[Decision ref]],Input_ForRateCalc[#Headers],0)),"-")</f>
        <v>9.2899999999999991</v>
      </c>
      <c r="O162" s="55" cm="1">
        <f t="array" ref="O162">IFERROR(INDEX(Input_ForRateCalc[],MATCH($C162&amp;" - "&amp;O$103,Input_ForRateCalc[[Cost item]:[Cost item]],0),MATCH(Calc_TUV_Net_1[[#This Row],[Decision ref]:[Decision ref]],Input_ForRateCalc[#Headers],0)),"-")</f>
        <v>8.7899999999999991</v>
      </c>
    </row>
    <row r="163" spans="3:15" hidden="1" outlineLevel="1" x14ac:dyDescent="0.25">
      <c r="C163" s="48" t="s">
        <v>254</v>
      </c>
      <c r="D163" s="71" t="str">
        <f>Calc_TU_values!$D$5</f>
        <v>VDO 2021 - Variation final</v>
      </c>
      <c r="E163" s="18" t="s">
        <v>353</v>
      </c>
      <c r="F163" s="71" t="str">
        <f>INDEX(Inputs!$H$10:$Q$10,1,MATCH($D163,Inputs!$H$8:$Q$8,0))</f>
        <v>VF-CurrentVDO_Input</v>
      </c>
      <c r="G163" s="47"/>
      <c r="H163" s="18" t="s">
        <v>66</v>
      </c>
      <c r="I163" s="18" t="s">
        <v>45</v>
      </c>
      <c r="J163" s="48" t="s">
        <v>32</v>
      </c>
      <c r="K163" s="56">
        <f>SUM(
IFERROR(K160/100*SUMIFS(INDEX(TUNet_Usage_PerRate_1[],0,MATCH(K$103,TUNet_Usage_PerRate_1[#Headers],0)),TUNet_Usage_PerRate_1[Customer type],Calc_TUV_Net_1[[#This Row],[Customer type]],TUNet_Usage_PerRate_1[Description],"Usage per customer - Block 1"),0),
IFERROR(K161/100*SUMIFS(INDEX(TUNet_Usage_PerRate_1[],0,MATCH(K$103,TUNet_Usage_PerRate_1[#Headers],0)),TUNet_Usage_PerRate_1[Customer type],Calc_TUV_Net_1[[#This Row],[Customer type]],TUNet_Usage_PerRate_1[Description],"Usage per customer - Balance"),0),
IFERROR(K162/100*SUMIFS(INDEX(TUNet_Usage_PerRate_1[],0,MATCH(K$103,TUNet_Usage_PerRate_1[#Headers],0)),TUNet_Usage_PerRate_1[Customer type],Calc_TUV_Net_1[[#This Row],[Customer type]],TUNet_Usage_PerRate_1[Description],"Usage per customer - Single rate"),0))</f>
        <v>0</v>
      </c>
      <c r="L163" s="56">
        <f>SUM(
IFERROR(L160/100*SUMIFS(INDEX(TUNet_Usage_PerRate_1[],0,MATCH(L$103,TUNet_Usage_PerRate_1[#Headers],0)),TUNet_Usage_PerRate_1[Customer type],Calc_TUV_Net_1[[#This Row],[Customer type]],TUNet_Usage_PerRate_1[Description],"Usage per customer - Block 1"),0),
IFERROR(L161/100*SUMIFS(INDEX(TUNet_Usage_PerRate_1[],0,MATCH(L$103,TUNet_Usage_PerRate_1[#Headers],0)),TUNet_Usage_PerRate_1[Customer type],Calc_TUV_Net_1[[#This Row],[Customer type]],TUNet_Usage_PerRate_1[Description],"Usage per customer - Balance"),0),
IFERROR(L162/100*SUMIFS(INDEX(TUNet_Usage_PerRate_1[],0,MATCH(L$103,TUNet_Usage_PerRate_1[#Headers],0)),TUNet_Usage_PerRate_1[Customer type],Calc_TUV_Net_1[[#This Row],[Customer type]],TUNet_Usage_PerRate_1[Description],"Usage per customer - Single rate"),0))</f>
        <v>0</v>
      </c>
      <c r="M163" s="56">
        <f>SUM(
IFERROR(M160/100*SUMIFS(INDEX(TUNet_Usage_PerRate_1[],0,MATCH(M$103,TUNet_Usage_PerRate_1[#Headers],0)),TUNet_Usage_PerRate_1[Customer type],Calc_TUV_Net_1[[#This Row],[Customer type]],TUNet_Usage_PerRate_1[Description],"Usage per customer - Block 1"),0),
IFERROR(M161/100*SUMIFS(INDEX(TUNet_Usage_PerRate_1[],0,MATCH(M$103,TUNet_Usage_PerRate_1[#Headers],0)),TUNet_Usage_PerRate_1[Customer type],Calc_TUV_Net_1[[#This Row],[Customer type]],TUNet_Usage_PerRate_1[Description],"Usage per customer - Balance"),0),
IFERROR(M162/100*SUMIFS(INDEX(TUNet_Usage_PerRate_1[],0,MATCH(M$103,TUNet_Usage_PerRate_1[#Headers],0)),TUNet_Usage_PerRate_1[Customer type],Calc_TUV_Net_1[[#This Row],[Customer type]],TUNet_Usage_PerRate_1[Description],"Usage per customer - Single rate"),0))</f>
        <v>0</v>
      </c>
      <c r="N163" s="56">
        <f>SUM(
IFERROR(N160/100*SUMIFS(INDEX(TUNet_Usage_PerRate_1[],0,MATCH(N$103,TUNet_Usage_PerRate_1[#Headers],0)),TUNet_Usage_PerRate_1[Customer type],Calc_TUV_Net_1[[#This Row],[Customer type]],TUNet_Usage_PerRate_1[Description],"Usage per customer - Block 1"),0),
IFERROR(N161/100*SUMIFS(INDEX(TUNet_Usage_PerRate_1[],0,MATCH(N$103,TUNet_Usage_PerRate_1[#Headers],0)),TUNet_Usage_PerRate_1[Customer type],Calc_TUV_Net_1[[#This Row],[Customer type]],TUNet_Usage_PerRate_1[Description],"Usage per customer - Balance"),0),
IFERROR(N162/100*SUMIFS(INDEX(TUNet_Usage_PerRate_1[],0,MATCH(N$103,TUNet_Usage_PerRate_1[#Headers],0)),TUNet_Usage_PerRate_1[Customer type],Calc_TUV_Net_1[[#This Row],[Customer type]],TUNet_Usage_PerRate_1[Description],"Usage per customer - Single rate"),0))</f>
        <v>0</v>
      </c>
      <c r="O163" s="56">
        <f>SUM(
IFERROR(O160/100*SUMIFS(INDEX(TUNet_Usage_PerRate_1[],0,MATCH(O$103,TUNet_Usage_PerRate_1[#Headers],0)),TUNet_Usage_PerRate_1[Customer type],Calc_TUV_Net_1[[#This Row],[Customer type]],TUNet_Usage_PerRate_1[Description],"Usage per customer - Block 1"),0),
IFERROR(O161/100*SUMIFS(INDEX(TUNet_Usage_PerRate_1[],0,MATCH(O$103,TUNet_Usage_PerRate_1[#Headers],0)),TUNet_Usage_PerRate_1[Customer type],Calc_TUV_Net_1[[#This Row],[Customer type]],TUNet_Usage_PerRate_1[Description],"Usage per customer - Balance"),0),
IFERROR(O162/100*SUMIFS(INDEX(TUNet_Usage_PerRate_1[],0,MATCH(O$103,TUNet_Usage_PerRate_1[#Headers],0)),TUNet_Usage_PerRate_1[Customer type],Calc_TUV_Net_1[[#This Row],[Customer type]],TUNet_Usage_PerRate_1[Description],"Usage per customer - Single rate"),0))</f>
        <v>0</v>
      </c>
    </row>
    <row r="164" spans="3:15" hidden="1" outlineLevel="1" x14ac:dyDescent="0.25">
      <c r="C164" s="48" t="s">
        <v>310</v>
      </c>
      <c r="D164" s="71" t="str">
        <f>INDEX(Input_DecisionActual[[Actual]:[Actual]],MATCH(Calc_TU_values!$D$5,Input_DecisionActual[[VDO period]:[VDO period]],0),1)</f>
        <v>VDO 2021 - Final</v>
      </c>
      <c r="E164" s="18" t="s">
        <v>354</v>
      </c>
      <c r="F164" s="71" t="str">
        <f>IF($D164="-","-",INDEX(Inputs!$H$10:$Q$10,1,MATCH($D164,Inputs!$H$8:$Q$8,0)))</f>
        <v>F-CurrentVDO_Input</v>
      </c>
      <c r="G164" s="47"/>
      <c r="H164" s="18" t="s">
        <v>66</v>
      </c>
      <c r="I164" s="18" t="s">
        <v>101</v>
      </c>
      <c r="J164" s="48" t="s">
        <v>32</v>
      </c>
      <c r="K164" s="55" cm="1">
        <f t="array" ref="K164">IFERROR(INDEX(Input_ForRateCalc[],MATCH($C164&amp;" - "&amp;K$103,Input_ForRateCalc[[Cost item]:[Cost item]],0),MATCH(Calc_TUV_Net_1[[#This Row],[Decision ref]:[Decision ref]],Input_ForRateCalc[#Headers],0)),"-")</f>
        <v>13.9602</v>
      </c>
      <c r="L164" s="55" t="str" cm="1">
        <f t="array" ref="L164">IFERROR(INDEX(Input_ForRateCalc[],MATCH($C164&amp;" - "&amp;L$103,Input_ForRateCalc[[Cost item]:[Cost item]],0),MATCH(Calc_TUV_Net_1[[#This Row],[Decision ref]:[Decision ref]],Input_ForRateCalc[#Headers],0)),"-")</f>
        <v>-</v>
      </c>
      <c r="M164" s="55" t="str" cm="1">
        <f t="array" ref="M164">IFERROR(INDEX(Input_ForRateCalc[],MATCH($C164&amp;" - "&amp;M$103,Input_ForRateCalc[[Cost item]:[Cost item]],0),MATCH(Calc_TUV_Net_1[[#This Row],[Decision ref]:[Decision ref]],Input_ForRateCalc[#Headers],0)),"-")</f>
        <v>-</v>
      </c>
      <c r="N164" s="55" t="str" cm="1">
        <f t="array" ref="N164">IFERROR(INDEX(Input_ForRateCalc[],MATCH($C164&amp;" - "&amp;N$103,Input_ForRateCalc[[Cost item]:[Cost item]],0),MATCH(Calc_TUV_Net_1[[#This Row],[Decision ref]:[Decision ref]],Input_ForRateCalc[#Headers],0)),"-")</f>
        <v>-</v>
      </c>
      <c r="O164" s="55" t="str" cm="1">
        <f t="array" ref="O164">IFERROR(INDEX(Input_ForRateCalc[],MATCH($C164&amp;" - "&amp;O$103,Input_ForRateCalc[[Cost item]:[Cost item]],0),MATCH(Calc_TUV_Net_1[[#This Row],[Decision ref]:[Decision ref]],Input_ForRateCalc[#Headers],0)),"-")</f>
        <v>-</v>
      </c>
    </row>
    <row r="165" spans="3:15" hidden="1" outlineLevel="1" x14ac:dyDescent="0.25">
      <c r="C165" s="48" t="s">
        <v>311</v>
      </c>
      <c r="D165" s="71" t="str">
        <f>INDEX(Input_DecisionActual[[Actual]:[Actual]],MATCH(Calc_TU_values!$D$5,Input_DecisionActual[[VDO period]:[VDO period]],0),1)</f>
        <v>VDO 2021 - Final</v>
      </c>
      <c r="E165" s="18" t="s">
        <v>354</v>
      </c>
      <c r="F165" s="71" t="str">
        <f>IF($D165="-","-",INDEX(Inputs!$H$10:$Q$10,1,MATCH($D165,Inputs!$H$8:$Q$8,0)))</f>
        <v>F-CurrentVDO_Input</v>
      </c>
      <c r="G165" s="47"/>
      <c r="H165" s="18" t="s">
        <v>66</v>
      </c>
      <c r="I165" s="18" t="s">
        <v>101</v>
      </c>
      <c r="J165" s="48" t="s">
        <v>32</v>
      </c>
      <c r="K165" s="55" cm="1">
        <f t="array" ref="K165">IFERROR(INDEX(Input_ForRateCalc[],MATCH($C165&amp;" - "&amp;K$103,Input_ForRateCalc[[Cost item]:[Cost item]],0),MATCH(Calc_TUV_Net_1[[#This Row],[Decision ref]:[Decision ref]],Input_ForRateCalc[#Headers],0)),"-")</f>
        <v>16.934899999999999</v>
      </c>
      <c r="L165" s="55" t="str" cm="1">
        <f t="array" ref="L165">IFERROR(INDEX(Input_ForRateCalc[],MATCH($C165&amp;" - "&amp;L$103,Input_ForRateCalc[[Cost item]:[Cost item]],0),MATCH(Calc_TUV_Net_1[[#This Row],[Decision ref]:[Decision ref]],Input_ForRateCalc[#Headers],0)),"-")</f>
        <v>-</v>
      </c>
      <c r="M165" s="55" t="str" cm="1">
        <f t="array" ref="M165">IFERROR(INDEX(Input_ForRateCalc[],MATCH($C165&amp;" - "&amp;M$103,Input_ForRateCalc[[Cost item]:[Cost item]],0),MATCH(Calc_TUV_Net_1[[#This Row],[Decision ref]:[Decision ref]],Input_ForRateCalc[#Headers],0)),"-")</f>
        <v>-</v>
      </c>
      <c r="N165" s="55" t="str" cm="1">
        <f t="array" ref="N165">IFERROR(INDEX(Input_ForRateCalc[],MATCH($C165&amp;" - "&amp;N$103,Input_ForRateCalc[[Cost item]:[Cost item]],0),MATCH(Calc_TUV_Net_1[[#This Row],[Decision ref]:[Decision ref]],Input_ForRateCalc[#Headers],0)),"-")</f>
        <v>-</v>
      </c>
      <c r="O165" s="55" t="str" cm="1">
        <f t="array" ref="O165">IFERROR(INDEX(Input_ForRateCalc[],MATCH($C165&amp;" - "&amp;O$103,Input_ForRateCalc[[Cost item]:[Cost item]],0),MATCH(Calc_TUV_Net_1[[#This Row],[Decision ref]:[Decision ref]],Input_ForRateCalc[#Headers],0)),"-")</f>
        <v>-</v>
      </c>
    </row>
    <row r="166" spans="3:15" hidden="1" outlineLevel="1" x14ac:dyDescent="0.25">
      <c r="C166" s="48" t="s">
        <v>312</v>
      </c>
      <c r="D166" s="71" t="str">
        <f>INDEX(Input_DecisionActual[[Actual]:[Actual]],MATCH(Calc_TU_values!$D$5,Input_DecisionActual[[VDO period]:[VDO period]],0),1)</f>
        <v>VDO 2021 - Final</v>
      </c>
      <c r="E166" s="18" t="s">
        <v>354</v>
      </c>
      <c r="F166" s="71" t="str">
        <f>IF($D166="-","-",INDEX(Inputs!$H$10:$Q$10,1,MATCH($D166,Inputs!$H$8:$Q$8,0)))</f>
        <v>F-CurrentVDO_Input</v>
      </c>
      <c r="G166" s="47"/>
      <c r="H166" s="18" t="s">
        <v>66</v>
      </c>
      <c r="I166" s="18" t="s">
        <v>101</v>
      </c>
      <c r="J166" s="48" t="s">
        <v>32</v>
      </c>
      <c r="K166" s="55" t="str" cm="1">
        <f t="array" ref="K166">IFERROR(INDEX(Input_ForRateCalc[],MATCH($C166&amp;" - "&amp;K$103,Input_ForRateCalc[[Cost item]:[Cost item]],0),MATCH(Calc_TUV_Net_1[[#This Row],[Decision ref]:[Decision ref]],Input_ForRateCalc[#Headers],0)),"-")</f>
        <v>-</v>
      </c>
      <c r="L166" s="55" cm="1">
        <f t="array" ref="L166">IFERROR(INDEX(Input_ForRateCalc[],MATCH($C166&amp;" - "&amp;L$103,Input_ForRateCalc[[Cost item]:[Cost item]],0),MATCH(Calc_TUV_Net_1[[#This Row],[Decision ref]:[Decision ref]],Input_ForRateCalc[#Headers],0)),"-")</f>
        <v>7.54</v>
      </c>
      <c r="M166" s="55" cm="1">
        <f t="array" ref="M166">IFERROR(INDEX(Input_ForRateCalc[],MATCH($C166&amp;" - "&amp;M$103,Input_ForRateCalc[[Cost item]:[Cost item]],0),MATCH(Calc_TUV_Net_1[[#This Row],[Decision ref]:[Decision ref]],Input_ForRateCalc[#Headers],0)),"-")</f>
        <v>9.3260000000000005</v>
      </c>
      <c r="N166" s="55" cm="1">
        <f t="array" ref="N166">IFERROR(INDEX(Input_ForRateCalc[],MATCH($C166&amp;" - "&amp;N$103,Input_ForRateCalc[[Cost item]:[Cost item]],0),MATCH(Calc_TUV_Net_1[[#This Row],[Decision ref]:[Decision ref]],Input_ForRateCalc[#Headers],0)),"-")</f>
        <v>8.44</v>
      </c>
      <c r="O166" s="55" cm="1">
        <f t="array" ref="O166">IFERROR(INDEX(Input_ForRateCalc[],MATCH($C166&amp;" - "&amp;O$103,Input_ForRateCalc[[Cost item]:[Cost item]],0),MATCH(Calc_TUV_Net_1[[#This Row],[Decision ref]:[Decision ref]],Input_ForRateCalc[#Headers],0)),"-")</f>
        <v>9.27</v>
      </c>
    </row>
    <row r="167" spans="3:15" hidden="1" outlineLevel="1" x14ac:dyDescent="0.25">
      <c r="C167" s="48" t="s">
        <v>254</v>
      </c>
      <c r="D167" s="71" t="str">
        <f>INDEX(Input_DecisionActual[[Actual]:[Actual]],MATCH(Calc_TU_values!$D$5,Input_DecisionActual[[VDO period]:[VDO period]],0),1)</f>
        <v>VDO 2021 - Final</v>
      </c>
      <c r="E167" s="18" t="s">
        <v>354</v>
      </c>
      <c r="F167" s="71" t="str">
        <f>IF($D167="-","-",INDEX(Inputs!$H$10:$Q$10,1,MATCH($D167,Inputs!$H$8:$Q$8,0)))</f>
        <v>F-CurrentVDO_Input</v>
      </c>
      <c r="G167" s="47"/>
      <c r="H167" s="18" t="s">
        <v>66</v>
      </c>
      <c r="I167" s="18" t="s">
        <v>45</v>
      </c>
      <c r="J167" s="48" t="s">
        <v>32</v>
      </c>
      <c r="K167" s="56">
        <f>SUM(
IFERROR(K164/100*SUMIFS(INDEX(TUNet_Usage_PerRate_1[],0,MATCH(K$103,TUNet_Usage_PerRate_1[#Headers],0)),TUNet_Usage_PerRate_1[Customer type],Calc_TUV_Net_1[[#This Row],[Customer type]],TUNet_Usage_PerRate_1[Description],"Usage per customer - Block 1"),0),
IFERROR(K165/100*SUMIFS(INDEX(TUNet_Usage_PerRate_1[],0,MATCH(K$103,TUNet_Usage_PerRate_1[#Headers],0)),TUNet_Usage_PerRate_1[Customer type],Calc_TUV_Net_1[[#This Row],[Customer type]],TUNet_Usage_PerRate_1[Description],"Usage per customer - Balance"),0),
IFERROR(K166/100*SUMIFS(INDEX(TUNet_Usage_PerRate_1[],0,MATCH(K$103,TUNet_Usage_PerRate_1[#Headers],0)),TUNet_Usage_PerRate_1[Customer type],Calc_TUV_Net_1[[#This Row],[Customer type]],TUNet_Usage_PerRate_1[Description],"Usage per customer - Single rate"),0))</f>
        <v>0</v>
      </c>
      <c r="L167" s="56">
        <f>SUM(
IFERROR(L164/100*SUMIFS(INDEX(TUNet_Usage_PerRate_1[],0,MATCH(L$103,TUNet_Usage_PerRate_1[#Headers],0)),TUNet_Usage_PerRate_1[Customer type],Calc_TUV_Net_1[[#This Row],[Customer type]],TUNet_Usage_PerRate_1[Description],"Usage per customer - Block 1"),0),
IFERROR(L165/100*SUMIFS(INDEX(TUNet_Usage_PerRate_1[],0,MATCH(L$103,TUNet_Usage_PerRate_1[#Headers],0)),TUNet_Usage_PerRate_1[Customer type],Calc_TUV_Net_1[[#This Row],[Customer type]],TUNet_Usage_PerRate_1[Description],"Usage per customer - Balance"),0),
IFERROR(L166/100*SUMIFS(INDEX(TUNet_Usage_PerRate_1[],0,MATCH(L$103,TUNet_Usage_PerRate_1[#Headers],0)),TUNet_Usage_PerRate_1[Customer type],Calc_TUV_Net_1[[#This Row],[Customer type]],TUNet_Usage_PerRate_1[Description],"Usage per customer - Single rate"),0))</f>
        <v>0</v>
      </c>
      <c r="M167" s="56">
        <f>SUM(
IFERROR(M164/100*SUMIFS(INDEX(TUNet_Usage_PerRate_1[],0,MATCH(M$103,TUNet_Usage_PerRate_1[#Headers],0)),TUNet_Usage_PerRate_1[Customer type],Calc_TUV_Net_1[[#This Row],[Customer type]],TUNet_Usage_PerRate_1[Description],"Usage per customer - Block 1"),0),
IFERROR(M165/100*SUMIFS(INDEX(TUNet_Usage_PerRate_1[],0,MATCH(M$103,TUNet_Usage_PerRate_1[#Headers],0)),TUNet_Usage_PerRate_1[Customer type],Calc_TUV_Net_1[[#This Row],[Customer type]],TUNet_Usage_PerRate_1[Description],"Usage per customer - Balance"),0),
IFERROR(M166/100*SUMIFS(INDEX(TUNet_Usage_PerRate_1[],0,MATCH(M$103,TUNet_Usage_PerRate_1[#Headers],0)),TUNet_Usage_PerRate_1[Customer type],Calc_TUV_Net_1[[#This Row],[Customer type]],TUNet_Usage_PerRate_1[Description],"Usage per customer - Single rate"),0))</f>
        <v>0</v>
      </c>
      <c r="N167" s="56">
        <f>SUM(
IFERROR(N164/100*SUMIFS(INDEX(TUNet_Usage_PerRate_1[],0,MATCH(N$103,TUNet_Usage_PerRate_1[#Headers],0)),TUNet_Usage_PerRate_1[Customer type],Calc_TUV_Net_1[[#This Row],[Customer type]],TUNet_Usage_PerRate_1[Description],"Usage per customer - Block 1"),0),
IFERROR(N165/100*SUMIFS(INDEX(TUNet_Usage_PerRate_1[],0,MATCH(N$103,TUNet_Usage_PerRate_1[#Headers],0)),TUNet_Usage_PerRate_1[Customer type],Calc_TUV_Net_1[[#This Row],[Customer type]],TUNet_Usage_PerRate_1[Description],"Usage per customer - Balance"),0),
IFERROR(N166/100*SUMIFS(INDEX(TUNet_Usage_PerRate_1[],0,MATCH(N$103,TUNet_Usage_PerRate_1[#Headers],0)),TUNet_Usage_PerRate_1[Customer type],Calc_TUV_Net_1[[#This Row],[Customer type]],TUNet_Usage_PerRate_1[Description],"Usage per customer - Single rate"),0))</f>
        <v>0</v>
      </c>
      <c r="O167" s="56">
        <f>SUM(
IFERROR(O164/100*SUMIFS(INDEX(TUNet_Usage_PerRate_1[],0,MATCH(O$103,TUNet_Usage_PerRate_1[#Headers],0)),TUNet_Usage_PerRate_1[Customer type],Calc_TUV_Net_1[[#This Row],[Customer type]],TUNet_Usage_PerRate_1[Description],"Usage per customer - Block 1"),0),
IFERROR(O165/100*SUMIFS(INDEX(TUNet_Usage_PerRate_1[],0,MATCH(O$103,TUNet_Usage_PerRate_1[#Headers],0)),TUNet_Usage_PerRate_1[Customer type],Calc_TUV_Net_1[[#This Row],[Customer type]],TUNet_Usage_PerRate_1[Description],"Usage per customer - Balance"),0),
IFERROR(O166/100*SUMIFS(INDEX(TUNet_Usage_PerRate_1[],0,MATCH(O$103,TUNet_Usage_PerRate_1[#Headers],0)),TUNet_Usage_PerRate_1[Customer type],Calc_TUV_Net_1[[#This Row],[Customer type]],TUNet_Usage_PerRate_1[Description],"Usage per customer - Single rate"),0))</f>
        <v>0</v>
      </c>
    </row>
    <row r="168" spans="3:15" hidden="1" outlineLevel="1" x14ac:dyDescent="0.25">
      <c r="C168" s="48" t="s">
        <v>255</v>
      </c>
      <c r="D168" s="18"/>
      <c r="E168" s="18"/>
      <c r="F168" s="18"/>
      <c r="G168" s="48"/>
      <c r="H168" s="18" t="s">
        <v>66</v>
      </c>
      <c r="I168" s="18" t="s">
        <v>45</v>
      </c>
      <c r="J168" s="48" t="s">
        <v>32</v>
      </c>
      <c r="K168" s="54" t="str">
        <f>IF(K167=0,"-",K163-K167)</f>
        <v>-</v>
      </c>
      <c r="L168" s="54" t="str">
        <f t="shared" ref="L168:O168" si="65">IF(L167=0,"-",L163-L167)</f>
        <v>-</v>
      </c>
      <c r="M168" s="54" t="str">
        <f t="shared" si="65"/>
        <v>-</v>
      </c>
      <c r="N168" s="54" t="str">
        <f t="shared" si="65"/>
        <v>-</v>
      </c>
      <c r="O168" s="54" t="str">
        <f t="shared" si="65"/>
        <v>-</v>
      </c>
    </row>
    <row r="169" spans="3:15" hidden="1" outlineLevel="1" x14ac:dyDescent="0.25">
      <c r="C169" s="48" t="s">
        <v>296</v>
      </c>
      <c r="D169" s="18"/>
      <c r="E169" s="18"/>
      <c r="F169" s="18"/>
      <c r="G169" s="48"/>
      <c r="H169" s="18" t="s">
        <v>66</v>
      </c>
      <c r="I169" s="18" t="s">
        <v>45</v>
      </c>
      <c r="J169" s="48" t="s">
        <v>32</v>
      </c>
      <c r="K169" s="55" t="str">
        <f>IFERROR(IF($D$11="Yes",K168*(1+WACC_adj_1),""),"-")</f>
        <v/>
      </c>
      <c r="L169" s="55" t="str">
        <f>IFERROR(IF($D$11="Yes",L168*(1+WACC_adj_1),""),"-")</f>
        <v/>
      </c>
      <c r="M169" s="55" t="str">
        <f>IFERROR(IF($D$11="Yes",M168*(1+WACC_adj_1),""),"-")</f>
        <v/>
      </c>
      <c r="N169" s="55" t="str">
        <f>IFERROR(IF($D$11="Yes",N168*(1+WACC_adj_1),""),"-")</f>
        <v/>
      </c>
      <c r="O169" s="55" t="str">
        <f>IFERROR(IF($D$11="Yes",O168*(1+WACC_adj_1),""),"-")</f>
        <v/>
      </c>
    </row>
    <row r="170" spans="3:15" hidden="1" outlineLevel="1" x14ac:dyDescent="0.25">
      <c r="C170" s="48" t="s">
        <v>257</v>
      </c>
      <c r="D170" s="71" t="str">
        <f>INDEX(Input_DecisionActual[[Actual]:[Actual]],MATCH(Calc_TU_values!$D$5,Input_DecisionActual[[VDO period]:[VDO period]],0),1)</f>
        <v>VDO 2021 - Final</v>
      </c>
      <c r="E170" s="18" t="s">
        <v>354</v>
      </c>
      <c r="F170" s="71" t="str">
        <f>IF($D170="-","-",INDEX(Inputs!$H$10:$Q$10,1,MATCH($D170,Inputs!$H$8:$Q$8,0)))</f>
        <v>F-CurrentVDO_Input</v>
      </c>
      <c r="G170" s="48"/>
      <c r="H170" s="18" t="s">
        <v>66</v>
      </c>
      <c r="I170" s="18" t="s">
        <v>45</v>
      </c>
      <c r="J170" s="48" t="s">
        <v>32</v>
      </c>
      <c r="K170" s="55" cm="1">
        <f t="array" ref="K170">IFERROR(SUM(K168:K169)*(INDEX(Inputs!$H$11:$Q$125,MATCH("Retail operating margin",Input_ForRateCalc[[Cost item]:[Cost item]],0),MATCH(Calc_TUV_Net_1[[#This Row],[Decision ref]:[Decision ref]],Inputs!$H$10:$Q$10,0))),"-")</f>
        <v>0</v>
      </c>
      <c r="L170" s="55" cm="1">
        <f t="array" ref="L170">IFERROR(SUM(L168:L169)*(INDEX(Inputs!$H$11:$Q$125,MATCH("Retail operating margin",Input_ForRateCalc[[Cost item]:[Cost item]],0),MATCH(Calc_TUV_Net_1[[#This Row],[Decision ref]:[Decision ref]],Inputs!$H$10:$Q$10,0))),"-")</f>
        <v>0</v>
      </c>
      <c r="M170" s="55" cm="1">
        <f t="array" ref="M170">IFERROR(SUM(M168:M169)*(INDEX(Inputs!$H$11:$Q$125,MATCH("Retail operating margin",Input_ForRateCalc[[Cost item]:[Cost item]],0),MATCH(Calc_TUV_Net_1[[#This Row],[Decision ref]:[Decision ref]],Inputs!$H$10:$Q$10,0))),"-")</f>
        <v>0</v>
      </c>
      <c r="N170" s="55" cm="1">
        <f t="array" ref="N170">IFERROR(SUM(N168:N169)*(INDEX(Inputs!$H$11:$Q$125,MATCH("Retail operating margin",Input_ForRateCalc[[Cost item]:[Cost item]],0),MATCH(Calc_TUV_Net_1[[#This Row],[Decision ref]:[Decision ref]],Inputs!$H$10:$Q$10,0))),"-")</f>
        <v>0</v>
      </c>
      <c r="O170" s="55" cm="1">
        <f t="array" ref="O170">IFERROR(SUM(O168:O169)*(INDEX(Inputs!$H$11:$Q$125,MATCH("Retail operating margin",Input_ForRateCalc[[Cost item]:[Cost item]],0),MATCH(Calc_TUV_Net_1[[#This Row],[Decision ref]:[Decision ref]],Inputs!$H$10:$Q$10,0))),"-")</f>
        <v>0</v>
      </c>
    </row>
    <row r="171" spans="3:15" hidden="1" outlineLevel="1" x14ac:dyDescent="0.25">
      <c r="C171" s="48" t="s">
        <v>297</v>
      </c>
      <c r="D171" s="18"/>
      <c r="E171" s="18"/>
      <c r="F171" s="18"/>
      <c r="G171" s="48"/>
      <c r="H171" s="18" t="s">
        <v>66</v>
      </c>
      <c r="I171" s="18" t="s">
        <v>45</v>
      </c>
      <c r="J171" s="48" t="s">
        <v>32</v>
      </c>
      <c r="K171" s="55" t="str">
        <f>IF(K167=0,"-",SUM(K168:K170)*GST)</f>
        <v>-</v>
      </c>
      <c r="L171" s="55" t="str">
        <f>IF(L167=0,"-",SUM(L168:L170)*GST)</f>
        <v>-</v>
      </c>
      <c r="M171" s="55" t="str">
        <f>IF(M167=0,"-",SUM(M168:M170)*GST)</f>
        <v>-</v>
      </c>
      <c r="N171" s="55" t="str">
        <f>IF(N167=0,"-",SUM(N168:N170)*GST)</f>
        <v>-</v>
      </c>
      <c r="O171" s="55" t="str">
        <f>IF(O167=0,"-",SUM(O168:O170)*GST)</f>
        <v>-</v>
      </c>
    </row>
    <row r="172" spans="3:15" hidden="1" outlineLevel="1" x14ac:dyDescent="0.25">
      <c r="C172" s="48" t="s">
        <v>324</v>
      </c>
      <c r="D172" s="94"/>
      <c r="E172" s="94"/>
      <c r="F172" s="94"/>
      <c r="H172" s="18" t="s">
        <v>66</v>
      </c>
      <c r="I172" s="18" t="s">
        <v>45</v>
      </c>
      <c r="J172" s="48" t="s">
        <v>32</v>
      </c>
      <c r="K172" s="55" t="str">
        <f>IF(K167=0,"-",SUM(K168:K171))</f>
        <v>-</v>
      </c>
      <c r="L172" s="55" t="str">
        <f t="shared" ref="L172:O172" si="66">IF(L167=0,"-",SUM(L168:L171))</f>
        <v>-</v>
      </c>
      <c r="M172" s="55" t="str">
        <f t="shared" si="66"/>
        <v>-</v>
      </c>
      <c r="N172" s="55" t="str">
        <f t="shared" si="66"/>
        <v>-</v>
      </c>
      <c r="O172" s="55" t="str">
        <f t="shared" si="66"/>
        <v>-</v>
      </c>
    </row>
    <row r="173" spans="3:15" hidden="1" outlineLevel="1" x14ac:dyDescent="0.25">
      <c r="C173" s="46"/>
      <c r="D173" s="46"/>
      <c r="E173" s="46"/>
      <c r="F173" s="46"/>
      <c r="G173" s="57"/>
      <c r="H173" s="57"/>
      <c r="I173" s="18"/>
      <c r="J173" s="18"/>
      <c r="K173" s="54"/>
      <c r="L173" s="18"/>
      <c r="M173" s="18"/>
      <c r="N173" s="18"/>
      <c r="O173" s="18"/>
    </row>
    <row r="174" spans="3:15" hidden="1" outlineLevel="1" x14ac:dyDescent="0.25">
      <c r="C174" s="46"/>
      <c r="D174" s="46"/>
      <c r="E174" s="46"/>
      <c r="F174" s="46"/>
      <c r="G174" s="57"/>
      <c r="H174" s="57"/>
      <c r="I174" s="18"/>
      <c r="J174" s="18"/>
      <c r="K174" s="54"/>
      <c r="L174" s="18"/>
      <c r="M174" s="18"/>
      <c r="N174" s="18"/>
      <c r="O174" s="18"/>
    </row>
    <row r="175" spans="3:15" ht="15.75" hidden="1" outlineLevel="1" x14ac:dyDescent="0.25">
      <c r="C175" s="1" t="s">
        <v>315</v>
      </c>
      <c r="D175" s="48"/>
      <c r="E175" s="48"/>
      <c r="F175" s="48"/>
      <c r="G175" s="57" t="s">
        <v>253</v>
      </c>
      <c r="H175" s="48"/>
      <c r="I175" s="18"/>
      <c r="J175" s="18"/>
      <c r="K175" s="54"/>
      <c r="L175" s="18"/>
      <c r="M175" s="18"/>
      <c r="N175" s="18"/>
      <c r="O175" s="18"/>
    </row>
    <row r="176" spans="3:15" hidden="1" outlineLevel="1" x14ac:dyDescent="0.25">
      <c r="C176" s="46" t="s">
        <v>331</v>
      </c>
      <c r="D176" s="46"/>
      <c r="E176" s="46"/>
      <c r="F176" s="46"/>
      <c r="G176" s="57"/>
      <c r="H176" s="57"/>
      <c r="I176" s="18"/>
      <c r="J176" s="18"/>
      <c r="K176" s="54"/>
      <c r="L176" s="18"/>
      <c r="M176" s="18"/>
      <c r="N176" s="18"/>
      <c r="O176" s="18"/>
    </row>
    <row r="177" spans="3:15" hidden="1" outlineLevel="1" x14ac:dyDescent="0.25">
      <c r="C177" s="48" t="s">
        <v>317</v>
      </c>
      <c r="D177" s="71" t="str">
        <f>Calc_TU_values!$D$5</f>
        <v>VDO 2021 - Variation final</v>
      </c>
      <c r="E177" s="18" t="s">
        <v>353</v>
      </c>
      <c r="F177" s="71" t="str">
        <f>INDEX(Inputs!$H$10:$Q$10,1,MATCH($D177,Inputs!$H$8:$Q$8,0))</f>
        <v>VF-CurrentVDO_Input</v>
      </c>
      <c r="G177" s="47"/>
      <c r="H177" s="18" t="s">
        <v>44</v>
      </c>
      <c r="I177" s="18" t="s">
        <v>45</v>
      </c>
      <c r="J177" s="48" t="s">
        <v>31</v>
      </c>
      <c r="K177" s="55" cm="1">
        <f t="array" ref="K177">IFERROR(INDEX(Input_ForRateCalc[],MATCH($C177&amp;" - "&amp;K$103,Input_ForRateCalc[[Cost item]:[Cost item]],0),MATCH(Calc_TUV_Net_1[[#This Row],[Decision ref]:[Decision ref]],Input_ForRateCalc[#Headers],0)),"-")*TUProp_Days_1</f>
        <v>0</v>
      </c>
      <c r="L177" s="55" cm="1">
        <f t="array" ref="L177">IFERROR(INDEX(Input_ForRateCalc[],MATCH($C177&amp;" - "&amp;L$103,Input_ForRateCalc[[Cost item]:[Cost item]],0),MATCH(Calc_TUV_Net_1[[#This Row],[Decision ref]:[Decision ref]],Input_ForRateCalc[#Headers],0)),"-")*TUProp_Days_1</f>
        <v>0</v>
      </c>
      <c r="M177" s="55" cm="1">
        <f t="array" ref="M177">IFERROR(INDEX(Input_ForRateCalc[],MATCH($C177&amp;" - "&amp;M$103,Input_ForRateCalc[[Cost item]:[Cost item]],0),MATCH(Calc_TUV_Net_1[[#This Row],[Decision ref]:[Decision ref]],Input_ForRateCalc[#Headers],0)),"-")*TUProp_Days_1</f>
        <v>0</v>
      </c>
      <c r="N177" s="55" cm="1">
        <f t="array" ref="N177">IFERROR(INDEX(Input_ForRateCalc[],MATCH($C177&amp;" - "&amp;N$103,Input_ForRateCalc[[Cost item]:[Cost item]],0),MATCH(Calc_TUV_Net_1[[#This Row],[Decision ref]:[Decision ref]],Input_ForRateCalc[#Headers],0)),"-")*TUProp_Days_1</f>
        <v>0</v>
      </c>
      <c r="O177" s="55" cm="1">
        <f t="array" ref="O177">IFERROR(INDEX(Input_ForRateCalc[],MATCH($C177&amp;" - "&amp;O$103,Input_ForRateCalc[[Cost item]:[Cost item]],0),MATCH(Calc_TUV_Net_1[[#This Row],[Decision ref]:[Decision ref]],Input_ForRateCalc[#Headers],0)),"-")*TUProp_Days_1</f>
        <v>0</v>
      </c>
    </row>
    <row r="178" spans="3:15" hidden="1" outlineLevel="1" x14ac:dyDescent="0.25">
      <c r="C178" s="48" t="s">
        <v>211</v>
      </c>
      <c r="D178" s="71" t="str">
        <f>Calc_TU_values!$D$5</f>
        <v>VDO 2021 - Variation final</v>
      </c>
      <c r="E178" s="18" t="s">
        <v>353</v>
      </c>
      <c r="F178" s="71" t="str">
        <f>INDEX(Inputs!$H$10:$Q$10,1,MATCH($D178,Inputs!$H$8:$Q$8,0))</f>
        <v>VF-CurrentVDO_Input</v>
      </c>
      <c r="G178" s="47"/>
      <c r="H178" s="18" t="s">
        <v>44</v>
      </c>
      <c r="I178" s="18" t="s">
        <v>45</v>
      </c>
      <c r="J178" s="48" t="s">
        <v>31</v>
      </c>
      <c r="K178" s="55" cm="1">
        <f t="array" ref="K178">IFERROR(INDEX(Input_ForRateCalc[],MATCH($C178&amp;" - "&amp;K$103,Input_ForRateCalc[[Cost item]:[Cost item]],0),MATCH(Calc_TUV_Net_1[[#This Row],[Decision ref]:[Decision ref]],Input_ForRateCalc[#Headers],0)),"-")*TUProp_Days_1</f>
        <v>0</v>
      </c>
      <c r="L178" s="55" cm="1">
        <f t="array" ref="L178">IFERROR(INDEX(Input_ForRateCalc[],MATCH($C178&amp;" - "&amp;L$103,Input_ForRateCalc[[Cost item]:[Cost item]],0),MATCH(Calc_TUV_Net_1[[#This Row],[Decision ref]:[Decision ref]],Input_ForRateCalc[#Headers],0)),"-")*TUProp_Days_1</f>
        <v>0</v>
      </c>
      <c r="M178" s="55" cm="1">
        <f t="array" ref="M178">IFERROR(INDEX(Input_ForRateCalc[],MATCH($C178&amp;" - "&amp;M$103,Input_ForRateCalc[[Cost item]:[Cost item]],0),MATCH(Calc_TUV_Net_1[[#This Row],[Decision ref]:[Decision ref]],Input_ForRateCalc[#Headers],0)),"-")*TUProp_Days_1</f>
        <v>0</v>
      </c>
      <c r="N178" s="55" cm="1">
        <f t="array" ref="N178">IFERROR(INDEX(Input_ForRateCalc[],MATCH($C178&amp;" - "&amp;N$103,Input_ForRateCalc[[Cost item]:[Cost item]],0),MATCH(Calc_TUV_Net_1[[#This Row],[Decision ref]:[Decision ref]],Input_ForRateCalc[#Headers],0)),"-")*TUProp_Days_1</f>
        <v>0</v>
      </c>
      <c r="O178" s="55" cm="1">
        <f t="array" ref="O178">IFERROR(INDEX(Input_ForRateCalc[],MATCH($C178&amp;" - "&amp;O$103,Input_ForRateCalc[[Cost item]:[Cost item]],0),MATCH(Calc_TUV_Net_1[[#This Row],[Decision ref]:[Decision ref]],Input_ForRateCalc[#Headers],0)),"-")*TUProp_Days_1</f>
        <v>0</v>
      </c>
    </row>
    <row r="179" spans="3:15" hidden="1" outlineLevel="1" x14ac:dyDescent="0.25">
      <c r="C179" s="48" t="s">
        <v>254</v>
      </c>
      <c r="D179" s="71" t="str">
        <f>Calc_TU_values!$D$5</f>
        <v>VDO 2021 - Variation final</v>
      </c>
      <c r="E179" s="18" t="s">
        <v>353</v>
      </c>
      <c r="F179" s="71" t="str">
        <f>INDEX(Inputs!$H$10:$Q$10,1,MATCH($D179,Inputs!$H$8:$Q$8,0))</f>
        <v>VF-CurrentVDO_Input</v>
      </c>
      <c r="G179" s="47"/>
      <c r="H179" s="18" t="s">
        <v>44</v>
      </c>
      <c r="I179" s="18" t="s">
        <v>45</v>
      </c>
      <c r="J179" s="48" t="s">
        <v>31</v>
      </c>
      <c r="K179" s="53">
        <f>IFERROR(SUM(K177:K178),"-")</f>
        <v>0</v>
      </c>
      <c r="L179" s="53">
        <f>IFERROR(SUM(L177:L178),"-")</f>
        <v>0</v>
      </c>
      <c r="M179" s="53">
        <f>IFERROR(SUM(M177:M178),"-")</f>
        <v>0</v>
      </c>
      <c r="N179" s="53">
        <f>IFERROR(SUM(N177:N178),"-")</f>
        <v>0</v>
      </c>
      <c r="O179" s="53">
        <f>IFERROR(SUM(O177:O178),"-")</f>
        <v>0</v>
      </c>
    </row>
    <row r="180" spans="3:15" hidden="1" outlineLevel="1" x14ac:dyDescent="0.25">
      <c r="C180" s="48" t="s">
        <v>301</v>
      </c>
      <c r="D180" s="71" t="str">
        <f>INDEX(Input_DecisionActual[[Actual]:[Actual]],MATCH(Calc_TU_values!$D$5,Input_DecisionActual[[VDO period]:[VDO period]],0),1)</f>
        <v>VDO 2021 - Final</v>
      </c>
      <c r="E180" s="18" t="s">
        <v>354</v>
      </c>
      <c r="F180" s="71" t="str">
        <f>IF($D180="-","-",INDEX(Inputs!$H$10:$Q$10,1,MATCH($D180,Inputs!$H$8:$Q$8,0)))</f>
        <v>F-CurrentVDO_Input</v>
      </c>
      <c r="G180" s="47"/>
      <c r="H180" s="18" t="s">
        <v>44</v>
      </c>
      <c r="I180" s="18" t="s">
        <v>45</v>
      </c>
      <c r="J180" s="48" t="s">
        <v>31</v>
      </c>
      <c r="K180" s="55" cm="1">
        <f t="array" ref="K180">IFERROR(INDEX(Input_ForRateCalc[],MATCH($C180&amp;" - "&amp;K$103,Input_ForRateCalc[[Cost item]:[Cost item]],0),MATCH(Calc_TUV_Net_1[[#This Row],[Decision ref]:[Decision ref]],Input_ForRateCalc[#Headers],0)),"-")*TUProp_Days_1</f>
        <v>0</v>
      </c>
      <c r="L180" s="55" cm="1">
        <f t="array" ref="L180">IFERROR(INDEX(Input_ForRateCalc[],MATCH($C180&amp;" - "&amp;L$103,Input_ForRateCalc[[Cost item]:[Cost item]],0),MATCH(Calc_TUV_Net_1[[#This Row],[Decision ref]:[Decision ref]],Input_ForRateCalc[#Headers],0)),"-")*TUProp_Days_1</f>
        <v>0</v>
      </c>
      <c r="M180" s="55" cm="1">
        <f t="array" ref="M180">IFERROR(INDEX(Input_ForRateCalc[],MATCH($C180&amp;" - "&amp;M$103,Input_ForRateCalc[[Cost item]:[Cost item]],0),MATCH(Calc_TUV_Net_1[[#This Row],[Decision ref]:[Decision ref]],Input_ForRateCalc[#Headers],0)),"-")*TUProp_Days_1</f>
        <v>0</v>
      </c>
      <c r="N180" s="55" cm="1">
        <f t="array" ref="N180">IFERROR(INDEX(Input_ForRateCalc[],MATCH($C180&amp;" - "&amp;N$103,Input_ForRateCalc[[Cost item]:[Cost item]],0),MATCH(Calc_TUV_Net_1[[#This Row],[Decision ref]:[Decision ref]],Input_ForRateCalc[#Headers],0)),"-")*TUProp_Days_1</f>
        <v>0</v>
      </c>
      <c r="O180" s="55" cm="1">
        <f t="array" ref="O180">IFERROR(INDEX(Input_ForRateCalc[],MATCH($C180&amp;" - "&amp;O$103,Input_ForRateCalc[[Cost item]:[Cost item]],0),MATCH(Calc_TUV_Net_1[[#This Row],[Decision ref]:[Decision ref]],Input_ForRateCalc[#Headers],0)),"-")*TUProp_Days_1</f>
        <v>0</v>
      </c>
    </row>
    <row r="181" spans="3:15" hidden="1" outlineLevel="1" x14ac:dyDescent="0.25">
      <c r="C181" s="48" t="s">
        <v>211</v>
      </c>
      <c r="D181" s="71" t="str">
        <f>INDEX(Input_DecisionActual[[Actual]:[Actual]],MATCH(Calc_TU_values!$D$5,Input_DecisionActual[[VDO period]:[VDO period]],0),1)</f>
        <v>VDO 2021 - Final</v>
      </c>
      <c r="E181" s="18" t="s">
        <v>354</v>
      </c>
      <c r="F181" s="71" t="str">
        <f>IF($D181="-","-",INDEX(Inputs!$H$10:$Q$10,1,MATCH($D181,Inputs!$H$8:$Q$8,0)))</f>
        <v>F-CurrentVDO_Input</v>
      </c>
      <c r="G181" s="47"/>
      <c r="H181" s="18" t="s">
        <v>44</v>
      </c>
      <c r="I181" s="18" t="s">
        <v>45</v>
      </c>
      <c r="J181" s="48" t="s">
        <v>31</v>
      </c>
      <c r="K181" s="55" cm="1">
        <f t="array" ref="K181">IFERROR(INDEX(Input_ForRateCalc[],MATCH($C181&amp;" - "&amp;K$103,Input_ForRateCalc[[Cost item]:[Cost item]],0),MATCH(Calc_TUV_Net_1[[#This Row],[Decision ref]:[Decision ref]],Input_ForRateCalc[#Headers],0)),"-")*TUProp_Days_1</f>
        <v>0</v>
      </c>
      <c r="L181" s="55" cm="1">
        <f t="array" ref="L181">IFERROR(INDEX(Input_ForRateCalc[],MATCH($C181&amp;" - "&amp;L$103,Input_ForRateCalc[[Cost item]:[Cost item]],0),MATCH(Calc_TUV_Net_1[[#This Row],[Decision ref]:[Decision ref]],Input_ForRateCalc[#Headers],0)),"-")*TUProp_Days_1</f>
        <v>0</v>
      </c>
      <c r="M181" s="55" cm="1">
        <f t="array" ref="M181">IFERROR(INDEX(Input_ForRateCalc[],MATCH($C181&amp;" - "&amp;M$103,Input_ForRateCalc[[Cost item]:[Cost item]],0),MATCH(Calc_TUV_Net_1[[#This Row],[Decision ref]:[Decision ref]],Input_ForRateCalc[#Headers],0)),"-")*TUProp_Days_1</f>
        <v>0</v>
      </c>
      <c r="N181" s="55" cm="1">
        <f t="array" ref="N181">IFERROR(INDEX(Input_ForRateCalc[],MATCH($C181&amp;" - "&amp;N$103,Input_ForRateCalc[[Cost item]:[Cost item]],0),MATCH(Calc_TUV_Net_1[[#This Row],[Decision ref]:[Decision ref]],Input_ForRateCalc[#Headers],0)),"-")*TUProp_Days_1</f>
        <v>0</v>
      </c>
      <c r="O181" s="55" cm="1">
        <f t="array" ref="O181">IFERROR(INDEX(Input_ForRateCalc[],MATCH($C181&amp;" - "&amp;O$103,Input_ForRateCalc[[Cost item]:[Cost item]],0),MATCH(Calc_TUV_Net_1[[#This Row],[Decision ref]:[Decision ref]],Input_ForRateCalc[#Headers],0)),"-")*TUProp_Days_1</f>
        <v>0</v>
      </c>
    </row>
    <row r="182" spans="3:15" hidden="1" outlineLevel="1" x14ac:dyDescent="0.25">
      <c r="C182" s="48" t="s">
        <v>254</v>
      </c>
      <c r="D182" s="71" t="str">
        <f>INDEX(Input_DecisionActual[[Actual]:[Actual]],MATCH(Calc_TU_values!$D$5,Input_DecisionActual[[VDO period]:[VDO period]],0),1)</f>
        <v>VDO 2021 - Final</v>
      </c>
      <c r="E182" s="18" t="s">
        <v>354</v>
      </c>
      <c r="F182" s="71" t="str">
        <f>IF($D182="-","-",INDEX(Inputs!$H$10:$Q$10,1,MATCH($D182,Inputs!$H$8:$Q$8,0)))</f>
        <v>F-CurrentVDO_Input</v>
      </c>
      <c r="G182" s="47"/>
      <c r="H182" s="18" t="s">
        <v>44</v>
      </c>
      <c r="I182" s="18" t="s">
        <v>45</v>
      </c>
      <c r="J182" s="48" t="s">
        <v>31</v>
      </c>
      <c r="K182" s="54">
        <f>SUM(K180:K181)</f>
        <v>0</v>
      </c>
      <c r="L182" s="54">
        <f>SUM(L180:L181)</f>
        <v>0</v>
      </c>
      <c r="M182" s="54">
        <f>SUM(M180:M181)</f>
        <v>0</v>
      </c>
      <c r="N182" s="54">
        <f>SUM(N180:N181)</f>
        <v>0</v>
      </c>
      <c r="O182" s="54">
        <f>SUM(O180:O181)</f>
        <v>0</v>
      </c>
    </row>
    <row r="183" spans="3:15" hidden="1" outlineLevel="1" x14ac:dyDescent="0.25">
      <c r="C183" s="48" t="s">
        <v>255</v>
      </c>
      <c r="D183" s="18"/>
      <c r="E183" s="18"/>
      <c r="F183" s="18"/>
      <c r="G183" s="48"/>
      <c r="H183" s="18" t="s">
        <v>44</v>
      </c>
      <c r="I183" s="18" t="s">
        <v>45</v>
      </c>
      <c r="J183" s="48" t="s">
        <v>31</v>
      </c>
      <c r="K183" s="54" t="str">
        <f>IF(K182=0,"-",K179-K182)</f>
        <v>-</v>
      </c>
      <c r="L183" s="54" t="str">
        <f t="shared" ref="L183:O183" si="67">IF(L182=0,"-",L179-L182)</f>
        <v>-</v>
      </c>
      <c r="M183" s="54" t="str">
        <f t="shared" si="67"/>
        <v>-</v>
      </c>
      <c r="N183" s="54" t="str">
        <f t="shared" si="67"/>
        <v>-</v>
      </c>
      <c r="O183" s="54" t="str">
        <f t="shared" si="67"/>
        <v>-</v>
      </c>
    </row>
    <row r="184" spans="3:15" hidden="1" outlineLevel="1" x14ac:dyDescent="0.25">
      <c r="C184" s="48" t="s">
        <v>296</v>
      </c>
      <c r="D184" s="18"/>
      <c r="E184" s="18"/>
      <c r="F184" s="18"/>
      <c r="G184" s="48"/>
      <c r="H184" s="18" t="s">
        <v>44</v>
      </c>
      <c r="I184" s="18" t="s">
        <v>45</v>
      </c>
      <c r="J184" s="48" t="s">
        <v>31</v>
      </c>
      <c r="K184" s="55" t="str">
        <f>IFERROR(IF($D$11="Yes",K183*(1+WACC_adj_1),""),"-")</f>
        <v/>
      </c>
      <c r="L184" s="55" t="str">
        <f>IFERROR(IF($D$11="Yes",L183*(1+WACC_adj_1),""),"-")</f>
        <v/>
      </c>
      <c r="M184" s="55" t="str">
        <f>IFERROR(IF($D$11="Yes",M183*(1+WACC_adj_1),""),"-")</f>
        <v/>
      </c>
      <c r="N184" s="55" t="str">
        <f>IFERROR(IF($D$11="Yes",N183*(1+WACC_adj_1),""),"-")</f>
        <v/>
      </c>
      <c r="O184" s="55" t="str">
        <f>IFERROR(IF($D$11="Yes",O183*(1+WACC_adj_1),""),"-")</f>
        <v/>
      </c>
    </row>
    <row r="185" spans="3:15" hidden="1" outlineLevel="1" x14ac:dyDescent="0.25">
      <c r="C185" s="48" t="s">
        <v>257</v>
      </c>
      <c r="D185" s="71" t="str">
        <f>INDEX(Input_DecisionActual[[Actual]:[Actual]],MATCH(Calc_TU_values!$D$5,Input_DecisionActual[[VDO period]:[VDO period]],0),1)</f>
        <v>VDO 2021 - Final</v>
      </c>
      <c r="E185" s="18" t="s">
        <v>354</v>
      </c>
      <c r="F185" s="71" t="str">
        <f>IF($D185="-","-",INDEX(Inputs!$H$10:$Q$10,1,MATCH($D185,Inputs!$H$8:$Q$8,0)))</f>
        <v>F-CurrentVDO_Input</v>
      </c>
      <c r="G185" s="48"/>
      <c r="H185" s="18" t="s">
        <v>44</v>
      </c>
      <c r="I185" s="18" t="s">
        <v>45</v>
      </c>
      <c r="J185" s="48" t="s">
        <v>31</v>
      </c>
      <c r="K185" s="55" cm="1">
        <f t="array" ref="K185">IFERROR(SUM(K183:K184)*(INDEX(Inputs!$H$11:$Q$125,MATCH("Retail operating margin",Input_ForRateCalc[[Cost item]:[Cost item]],0),MATCH(Calc_TUV_Net_1[[#This Row],[Decision ref]:[Decision ref]],Inputs!$H$10:$Q$10,0))),"-")</f>
        <v>0</v>
      </c>
      <c r="L185" s="55" cm="1">
        <f t="array" ref="L185">IFERROR(SUM(L183:L184)*(INDEX(Inputs!$H$11:$Q$125,MATCH("Retail operating margin",Input_ForRateCalc[[Cost item]:[Cost item]],0),MATCH(Calc_TUV_Net_1[[#This Row],[Decision ref]:[Decision ref]],Inputs!$H$10:$Q$10,0))),"-")</f>
        <v>0</v>
      </c>
      <c r="M185" s="55" cm="1">
        <f t="array" ref="M185">IFERROR(SUM(M183:M184)*(INDEX(Inputs!$H$11:$Q$125,MATCH("Retail operating margin",Input_ForRateCalc[[Cost item]:[Cost item]],0),MATCH(Calc_TUV_Net_1[[#This Row],[Decision ref]:[Decision ref]],Inputs!$H$10:$Q$10,0))),"-")</f>
        <v>0</v>
      </c>
      <c r="N185" s="55" cm="1">
        <f t="array" ref="N185">IFERROR(SUM(N183:N184)*(INDEX(Inputs!$H$11:$Q$125,MATCH("Retail operating margin",Input_ForRateCalc[[Cost item]:[Cost item]],0),MATCH(Calc_TUV_Net_1[[#This Row],[Decision ref]:[Decision ref]],Inputs!$H$10:$Q$10,0))),"-")</f>
        <v>0</v>
      </c>
      <c r="O185" s="55" cm="1">
        <f t="array" ref="O185">IFERROR(SUM(O183:O184)*(INDEX(Inputs!$H$11:$Q$125,MATCH("Retail operating margin",Input_ForRateCalc[[Cost item]:[Cost item]],0),MATCH(Calc_TUV_Net_1[[#This Row],[Decision ref]:[Decision ref]],Inputs!$H$10:$Q$10,0))),"-")</f>
        <v>0</v>
      </c>
    </row>
    <row r="186" spans="3:15" hidden="1" outlineLevel="1" x14ac:dyDescent="0.25">
      <c r="C186" s="48" t="s">
        <v>297</v>
      </c>
      <c r="D186" s="18"/>
      <c r="E186" s="18"/>
      <c r="F186" s="18"/>
      <c r="G186" s="48"/>
      <c r="H186" s="18" t="s">
        <v>44</v>
      </c>
      <c r="I186" s="18" t="s">
        <v>45</v>
      </c>
      <c r="J186" s="48" t="s">
        <v>31</v>
      </c>
      <c r="K186" s="55" t="str">
        <f>IF(K182=0,"-",SUM(K183:K185)*GST)</f>
        <v>-</v>
      </c>
      <c r="L186" s="55" t="str">
        <f>IF(L182=0,"-",SUM(L183:L185)*GST)</f>
        <v>-</v>
      </c>
      <c r="M186" s="55" t="str">
        <f>IF(M182=0,"-",SUM(M183:M185)*GST)</f>
        <v>-</v>
      </c>
      <c r="N186" s="55" t="str">
        <f>IF(N182=0,"-",SUM(N183:N185)*GST)</f>
        <v>-</v>
      </c>
      <c r="O186" s="55" t="str">
        <f>IF(O182=0,"-",SUM(O183:O185)*GST)</f>
        <v>-</v>
      </c>
    </row>
    <row r="187" spans="3:15" hidden="1" outlineLevel="1" x14ac:dyDescent="0.25">
      <c r="C187" s="18" t="s">
        <v>325</v>
      </c>
      <c r="D187" s="18"/>
      <c r="E187" s="18"/>
      <c r="F187" s="18"/>
      <c r="G187" s="48"/>
      <c r="H187" s="18" t="s">
        <v>44</v>
      </c>
      <c r="I187" s="18" t="s">
        <v>45</v>
      </c>
      <c r="J187" s="48" t="s">
        <v>31</v>
      </c>
      <c r="K187" s="55" t="str">
        <f>IF(K182=0,"-",SUM(K183:K186))</f>
        <v>-</v>
      </c>
      <c r="L187" s="55" t="str">
        <f>IF(L182=0,"-",SUM(L183:L186))</f>
        <v>-</v>
      </c>
      <c r="M187" s="55" t="str">
        <f>IF(M182=0,"-",SUM(M183:M186))</f>
        <v>-</v>
      </c>
      <c r="N187" s="55" t="str">
        <f>IF(N182=0,"-",SUM(N183:N186))</f>
        <v>-</v>
      </c>
      <c r="O187" s="55" t="str">
        <f>IF(O182=0,"-",SUM(O183:O186))</f>
        <v>-</v>
      </c>
    </row>
    <row r="188" spans="3:15" hidden="1" outlineLevel="1" x14ac:dyDescent="0.25">
      <c r="C188" s="48"/>
      <c r="D188" s="48"/>
      <c r="E188" s="48"/>
      <c r="F188" s="48"/>
      <c r="H188" s="48"/>
      <c r="I188" s="18"/>
      <c r="J188" s="18"/>
      <c r="K188" s="106"/>
      <c r="L188" s="106"/>
      <c r="M188" s="106"/>
      <c r="N188" s="106"/>
      <c r="O188" s="106"/>
    </row>
    <row r="189" spans="3:15" hidden="1" outlineLevel="1" x14ac:dyDescent="0.25">
      <c r="C189" s="46" t="s">
        <v>332</v>
      </c>
      <c r="D189" s="48"/>
      <c r="E189" s="48"/>
      <c r="F189" s="48"/>
      <c r="G189" s="57"/>
      <c r="H189" s="48"/>
      <c r="I189" s="18"/>
      <c r="J189" s="18"/>
      <c r="K189" s="106"/>
      <c r="L189" s="106"/>
      <c r="M189" s="106"/>
      <c r="N189" s="106"/>
      <c r="O189" s="106"/>
    </row>
    <row r="190" spans="3:15" hidden="1" outlineLevel="1" x14ac:dyDescent="0.25">
      <c r="C190" s="48" t="s">
        <v>318</v>
      </c>
      <c r="D190" s="71" t="str">
        <f>Calc_TU_values!$D$5</f>
        <v>VDO 2021 - Variation final</v>
      </c>
      <c r="E190" s="18" t="s">
        <v>353</v>
      </c>
      <c r="F190" s="71" t="str">
        <f>INDEX(Inputs!$H$10:$Q$10,1,MATCH($D190,Inputs!$H$8:$Q$8,0))</f>
        <v>VF-CurrentVDO_Input</v>
      </c>
      <c r="G190" s="48"/>
      <c r="H190" s="18" t="s">
        <v>66</v>
      </c>
      <c r="I190" s="18" t="s">
        <v>101</v>
      </c>
      <c r="J190" s="48" t="s">
        <v>31</v>
      </c>
      <c r="K190" s="55" cm="1">
        <f t="array" ref="K190">IFERROR(INDEX(Input_ForRateCalc[],MATCH($C190&amp;" - "&amp;K$103,Input_ForRateCalc[[Cost item]:[Cost item]],0),MATCH(Calc_TUV_Net_1[[#This Row],[Decision ref]:[Decision ref]],Input_ForRateCalc[#Headers],0)),"-")</f>
        <v>20.853200000000001</v>
      </c>
      <c r="L190" s="55" cm="1">
        <f t="array" ref="L190">IFERROR(INDEX(Input_ForRateCalc[],MATCH($C190&amp;" - "&amp;L$103,Input_ForRateCalc[[Cost item]:[Cost item]],0),MATCH(Calc_TUV_Net_1[[#This Row],[Decision ref]:[Decision ref]],Input_ForRateCalc[#Headers],0)),"-")</f>
        <v>15.94</v>
      </c>
      <c r="M190" s="55" cm="1">
        <f t="array" ref="M190">IFERROR(INDEX(Input_ForRateCalc[],MATCH($C190&amp;" - "&amp;M$103,Input_ForRateCalc[[Cost item]:[Cost item]],0),MATCH(Calc_TUV_Net_1[[#This Row],[Decision ref]:[Decision ref]],Input_ForRateCalc[#Headers],0)),"-")</f>
        <v>13.492000000000001</v>
      </c>
      <c r="N190" s="55" cm="1">
        <f t="array" ref="N190">IFERROR(INDEX(Input_ForRateCalc[],MATCH($C190&amp;" - "&amp;N$103,Input_ForRateCalc[[Cost item]:[Cost item]],0),MATCH(Calc_TUV_Net_1[[#This Row],[Decision ref]:[Decision ref]],Input_ForRateCalc[#Headers],0)),"-")</f>
        <v>15.87</v>
      </c>
      <c r="O190" s="55" cm="1">
        <f t="array" ref="O190">IFERROR(INDEX(Input_ForRateCalc[],MATCH($C190&amp;" - "&amp;O$103,Input_ForRateCalc[[Cost item]:[Cost item]],0),MATCH(Calc_TUV_Net_1[[#This Row],[Decision ref]:[Decision ref]],Input_ForRateCalc[#Headers],0)),"-")</f>
        <v>15.79</v>
      </c>
    </row>
    <row r="191" spans="3:15" hidden="1" outlineLevel="1" x14ac:dyDescent="0.25">
      <c r="C191" s="48" t="s">
        <v>319</v>
      </c>
      <c r="D191" s="71" t="str">
        <f>Calc_TU_values!$D$5</f>
        <v>VDO 2021 - Variation final</v>
      </c>
      <c r="E191" s="18" t="s">
        <v>353</v>
      </c>
      <c r="F191" s="71" t="str">
        <f>INDEX(Inputs!$H$10:$Q$10,1,MATCH($D191,Inputs!$H$8:$Q$8,0))</f>
        <v>VF-CurrentVDO_Input</v>
      </c>
      <c r="G191" s="57"/>
      <c r="H191" s="18" t="s">
        <v>66</v>
      </c>
      <c r="I191" s="18" t="s">
        <v>101</v>
      </c>
      <c r="J191" s="48" t="s">
        <v>31</v>
      </c>
      <c r="K191" s="55" cm="1">
        <f t="array" ref="K191">IFERROR(INDEX(Input_ForRateCalc[],MATCH($C191&amp;" - "&amp;K$103,Input_ForRateCalc[[Cost item]:[Cost item]],0),MATCH(Calc_TUV_Net_1[[#This Row],[Decision ref]:[Decision ref]],Input_ForRateCalc[#Headers],0)),"-")</f>
        <v>4.3418999999999999</v>
      </c>
      <c r="L191" s="55" cm="1">
        <f t="array" ref="L191">IFERROR(INDEX(Input_ForRateCalc[],MATCH($C191&amp;" - "&amp;L$103,Input_ForRateCalc[[Cost item]:[Cost item]],0),MATCH(Calc_TUV_Net_1[[#This Row],[Decision ref]:[Decision ref]],Input_ForRateCalc[#Headers],0)),"-")</f>
        <v>3.98</v>
      </c>
      <c r="M191" s="55" cm="1">
        <f t="array" ref="M191">IFERROR(INDEX(Input_ForRateCalc[],MATCH($C191&amp;" - "&amp;M$103,Input_ForRateCalc[[Cost item]:[Cost item]],0),MATCH(Calc_TUV_Net_1[[#This Row],[Decision ref]:[Decision ref]],Input_ForRateCalc[#Headers],0)),"-")</f>
        <v>3.89</v>
      </c>
      <c r="N191" s="55" cm="1">
        <f t="array" ref="N191">IFERROR(INDEX(Input_ForRateCalc[],MATCH($C191&amp;" - "&amp;N$103,Input_ForRateCalc[[Cost item]:[Cost item]],0),MATCH(Calc_TUV_Net_1[[#This Row],[Decision ref]:[Decision ref]],Input_ForRateCalc[#Headers],0)),"-")</f>
        <v>3.96</v>
      </c>
      <c r="O191" s="55" cm="1">
        <f t="array" ref="O191">IFERROR(INDEX(Input_ForRateCalc[],MATCH($C191&amp;" - "&amp;O$103,Input_ForRateCalc[[Cost item]:[Cost item]],0),MATCH(Calc_TUV_Net_1[[#This Row],[Decision ref]:[Decision ref]],Input_ForRateCalc[#Headers],0)),"-")</f>
        <v>3.95</v>
      </c>
    </row>
    <row r="192" spans="3:15" hidden="1" outlineLevel="1" x14ac:dyDescent="0.25">
      <c r="C192" s="48" t="s">
        <v>254</v>
      </c>
      <c r="D192" s="71" t="str">
        <f>Calc_TU_values!$D$5</f>
        <v>VDO 2021 - Variation final</v>
      </c>
      <c r="E192" s="18" t="s">
        <v>353</v>
      </c>
      <c r="F192" s="71" t="str">
        <f>INDEX(Inputs!$H$10:$Q$10,1,MATCH($D192,Inputs!$H$8:$Q$8,0))</f>
        <v>VF-CurrentVDO_Input</v>
      </c>
      <c r="G192" s="47"/>
      <c r="H192" s="18" t="s">
        <v>66</v>
      </c>
      <c r="I192" s="18" t="s">
        <v>101</v>
      </c>
      <c r="J192" s="48" t="s">
        <v>31</v>
      </c>
      <c r="K192" s="56">
        <f>SUMIFS(TUNet_Usage_Actual_1[Value],TUNet_Usage_Actual_1[Customer type],Calc_TUV_Net_1[[#This Row],[Customer type]],TUNet_Usage_Actual_1[Description],"Usage per customer")*SUM(
IFERROR(K190/100*SUMIFS(Input_TUNet_Props[F-NextVDO_Input],Input_TUNet_Props[Customer type],Calc_TUV_Net_1[[#This Row],[Customer type]],Input_TUNet_Props[Usage type],"Peak"),0),
IFERROR(K191/100*SUMIFS(Input_TUNet_Props[F-NextVDO_Input],Input_TUNet_Props[Customer type],Calc_TUV_Net_1[[#This Row],[Customer type]],Input_TUNet_Props[Usage type],"Off peak"),0))</f>
        <v>0</v>
      </c>
      <c r="L192" s="56">
        <f>SUMIFS(TUNet_Usage_Actual_1[Value],TUNet_Usage_Actual_1[Customer type],Calc_TUV_Net_1[[#This Row],[Customer type]],TUNet_Usage_Actual_1[Description],"Usage per customer")*SUM(
IFERROR(L190/100*SUMIFS(Input_TUNet_Props[F-NextVDO_Input],Input_TUNet_Props[Customer type],Calc_TUV_Net_1[[#This Row],[Customer type]],Input_TUNet_Props[Usage type],"Peak"),0),
IFERROR(L191/100*SUMIFS(Input_TUNet_Props[F-NextVDO_Input],Input_TUNet_Props[Customer type],Calc_TUV_Net_1[[#This Row],[Customer type]],Input_TUNet_Props[Usage type],"Off peak"),0))</f>
        <v>0</v>
      </c>
      <c r="M192" s="56">
        <f>SUMIFS(TUNet_Usage_Actual_1[Value],TUNet_Usage_Actual_1[Customer type],Calc_TUV_Net_1[[#This Row],[Customer type]],TUNet_Usage_Actual_1[Description],"Usage per customer")*SUM(
IFERROR(M190/100*SUMIFS(Input_TUNet_Props[F-NextVDO_Input],Input_TUNet_Props[Customer type],Calc_TUV_Net_1[[#This Row],[Customer type]],Input_TUNet_Props[Usage type],"Peak"),0),
IFERROR(M191/100*SUMIFS(Input_TUNet_Props[F-NextVDO_Input],Input_TUNet_Props[Customer type],Calc_TUV_Net_1[[#This Row],[Customer type]],Input_TUNet_Props[Usage type],"Off peak"),0))</f>
        <v>0</v>
      </c>
      <c r="N192" s="56">
        <f>SUMIFS(TUNet_Usage_Actual_1[Value],TUNet_Usage_Actual_1[Customer type],Calc_TUV_Net_1[[#This Row],[Customer type]],TUNet_Usage_Actual_1[Description],"Usage per customer")*SUM(
IFERROR(N190/100*SUMIFS(Input_TUNet_Props[F-NextVDO_Input],Input_TUNet_Props[Customer type],Calc_TUV_Net_1[[#This Row],[Customer type]],Input_TUNet_Props[Usage type],"Peak"),0),
IFERROR(N191/100*SUMIFS(Input_TUNet_Props[F-NextVDO_Input],Input_TUNet_Props[Customer type],Calc_TUV_Net_1[[#This Row],[Customer type]],Input_TUNet_Props[Usage type],"Off peak"),0))</f>
        <v>0</v>
      </c>
      <c r="O192" s="56">
        <f>SUMIFS(TUNet_Usage_Actual_1[Value],TUNet_Usage_Actual_1[Customer type],Calc_TUV_Net_1[[#This Row],[Customer type]],TUNet_Usage_Actual_1[Description],"Usage per customer")*SUM(
IFERROR(O190/100*SUMIFS(Input_TUNet_Props[F-NextVDO_Input],Input_TUNet_Props[Customer type],Calc_TUV_Net_1[[#This Row],[Customer type]],Input_TUNet_Props[Usage type],"Peak"),0),
IFERROR(O191/100*SUMIFS(Input_TUNet_Props[F-NextVDO_Input],Input_TUNet_Props[Customer type],Calc_TUV_Net_1[[#This Row],[Customer type]],Input_TUNet_Props[Usage type],"Off peak"),0))</f>
        <v>0</v>
      </c>
    </row>
    <row r="193" spans="3:15" hidden="1" outlineLevel="1" x14ac:dyDescent="0.25">
      <c r="C193" s="48" t="s">
        <v>305</v>
      </c>
      <c r="D193" s="71" t="str">
        <f>INDEX(Input_DecisionActual[[Actual]:[Actual]],MATCH(Calc_TU_values!$D$5,Input_DecisionActual[[VDO period]:[VDO period]],0),1)</f>
        <v>VDO 2021 - Final</v>
      </c>
      <c r="E193" s="18" t="s">
        <v>354</v>
      </c>
      <c r="F193" s="71" t="str">
        <f>IF($D193="-","-",INDEX(Inputs!$H$10:$Q$10,1,MATCH($D193,Inputs!$H$8:$Q$8,0)))</f>
        <v>F-CurrentVDO_Input</v>
      </c>
      <c r="G193" s="47"/>
      <c r="H193" s="18" t="s">
        <v>66</v>
      </c>
      <c r="I193" s="18" t="s">
        <v>45</v>
      </c>
      <c r="J193" s="48" t="s">
        <v>31</v>
      </c>
      <c r="K193" s="55" cm="1">
        <f t="array" ref="K193">IFERROR(INDEX(Input_ForRateCalc[],MATCH($C193&amp;" - "&amp;K$103,Input_ForRateCalc[[Cost item]:[Cost item]],0),MATCH(Calc_TUV_Net_1[[#This Row],[Decision ref]:[Decision ref]],Input_ForRateCalc[#Headers],0)),"-")</f>
        <v>10.535</v>
      </c>
      <c r="L193" s="55" t="str" cm="1">
        <f t="array" ref="L193">IFERROR(INDEX(Input_ForRateCalc[],MATCH($C193&amp;" - "&amp;L$103,Input_ForRateCalc[[Cost item]:[Cost item]],0),MATCH(Calc_TUV_Net_1[[#This Row],[Decision ref]:[Decision ref]],Input_ForRateCalc[#Headers],0)),"-")</f>
        <v>-</v>
      </c>
      <c r="M193" s="55" t="str" cm="1">
        <f t="array" ref="M193">IFERROR(INDEX(Input_ForRateCalc[],MATCH($C193&amp;" - "&amp;M$103,Input_ForRateCalc[[Cost item]:[Cost item]],0),MATCH(Calc_TUV_Net_1[[#This Row],[Decision ref]:[Decision ref]],Input_ForRateCalc[#Headers],0)),"-")</f>
        <v>-</v>
      </c>
      <c r="N193" s="55" t="str" cm="1">
        <f t="array" ref="N193">IFERROR(INDEX(Input_ForRateCalc[],MATCH($C193&amp;" - "&amp;N$103,Input_ForRateCalc[[Cost item]:[Cost item]],0),MATCH(Calc_TUV_Net_1[[#This Row],[Decision ref]:[Decision ref]],Input_ForRateCalc[#Headers],0)),"-")</f>
        <v>-</v>
      </c>
      <c r="O193" s="55" t="str" cm="1">
        <f t="array" ref="O193">IFERROR(INDEX(Input_ForRateCalc[],MATCH($C193&amp;" - "&amp;O$103,Input_ForRateCalc[[Cost item]:[Cost item]],0),MATCH(Calc_TUV_Net_1[[#This Row],[Decision ref]:[Decision ref]],Input_ForRateCalc[#Headers],0)),"-")</f>
        <v>-</v>
      </c>
    </row>
    <row r="194" spans="3:15" hidden="1" outlineLevel="1" x14ac:dyDescent="0.25">
      <c r="C194" s="48" t="s">
        <v>306</v>
      </c>
      <c r="D194" s="71" t="str">
        <f>INDEX(Input_DecisionActual[[Actual]:[Actual]],MATCH(Calc_TU_values!$D$5,Input_DecisionActual[[VDO period]:[VDO period]],0),1)</f>
        <v>VDO 2021 - Final</v>
      </c>
      <c r="E194" s="18" t="s">
        <v>354</v>
      </c>
      <c r="F194" s="71" t="str">
        <f>IF($D194="-","-",INDEX(Inputs!$H$10:$Q$10,1,MATCH($D194,Inputs!$H$8:$Q$8,0)))</f>
        <v>F-CurrentVDO_Input</v>
      </c>
      <c r="G194" s="47"/>
      <c r="H194" s="18" t="s">
        <v>66</v>
      </c>
      <c r="I194" s="18" t="s">
        <v>101</v>
      </c>
      <c r="J194" s="48" t="s">
        <v>31</v>
      </c>
      <c r="K194" s="55" cm="1">
        <f t="array" ref="K194">IFERROR(INDEX(Input_ForRateCalc[],MATCH($C194&amp;" - "&amp;K$103,Input_ForRateCalc[[Cost item]:[Cost item]],0),MATCH(Calc_TUV_Net_1[[#This Row],[Decision ref]:[Decision ref]],Input_ForRateCalc[#Headers],0)),"-")</f>
        <v>12.073700000000001</v>
      </c>
      <c r="L194" s="55" t="str" cm="1">
        <f t="array" ref="L194">IFERROR(INDEX(Input_ForRateCalc[],MATCH($C194&amp;" - "&amp;L$103,Input_ForRateCalc[[Cost item]:[Cost item]],0),MATCH(Calc_TUV_Net_1[[#This Row],[Decision ref]:[Decision ref]],Input_ForRateCalc[#Headers],0)),"-")</f>
        <v>-</v>
      </c>
      <c r="M194" s="55" t="str" cm="1">
        <f t="array" ref="M194">IFERROR(INDEX(Input_ForRateCalc[],MATCH($C194&amp;" - "&amp;M$103,Input_ForRateCalc[[Cost item]:[Cost item]],0),MATCH(Calc_TUV_Net_1[[#This Row],[Decision ref]:[Decision ref]],Input_ForRateCalc[#Headers],0)),"-")</f>
        <v>-</v>
      </c>
      <c r="N194" s="55" t="str" cm="1">
        <f t="array" ref="N194">IFERROR(INDEX(Input_ForRateCalc[],MATCH($C194&amp;" - "&amp;N$103,Input_ForRateCalc[[Cost item]:[Cost item]],0),MATCH(Calc_TUV_Net_1[[#This Row],[Decision ref]:[Decision ref]],Input_ForRateCalc[#Headers],0)),"-")</f>
        <v>-</v>
      </c>
      <c r="O194" s="55" t="str" cm="1">
        <f t="array" ref="O194">IFERROR(INDEX(Input_ForRateCalc[],MATCH($C194&amp;" - "&amp;O$103,Input_ForRateCalc[[Cost item]:[Cost item]],0),MATCH(Calc_TUV_Net_1[[#This Row],[Decision ref]:[Decision ref]],Input_ForRateCalc[#Headers],0)),"-")</f>
        <v>-</v>
      </c>
    </row>
    <row r="195" spans="3:15" hidden="1" outlineLevel="1" x14ac:dyDescent="0.25">
      <c r="C195" s="48" t="s">
        <v>307</v>
      </c>
      <c r="D195" s="71" t="str">
        <f>INDEX(Input_DecisionActual[[Actual]:[Actual]],MATCH(Calc_TU_values!$D$5,Input_DecisionActual[[VDO period]:[VDO period]],0),1)</f>
        <v>VDO 2021 - Final</v>
      </c>
      <c r="E195" s="18" t="s">
        <v>354</v>
      </c>
      <c r="F195" s="71" t="str">
        <f>IF($D195="-","-",INDEX(Inputs!$H$10:$Q$10,1,MATCH($D195,Inputs!$H$8:$Q$8,0)))</f>
        <v>F-CurrentVDO_Input</v>
      </c>
      <c r="G195" s="47"/>
      <c r="H195" s="18" t="s">
        <v>66</v>
      </c>
      <c r="I195" s="18" t="s">
        <v>101</v>
      </c>
      <c r="J195" s="48" t="s">
        <v>31</v>
      </c>
      <c r="K195" s="55" t="str" cm="1">
        <f t="array" ref="K195">IFERROR(INDEX(Input_ForRateCalc[],MATCH($C195&amp;" - "&amp;K$103,Input_ForRateCalc[[Cost item]:[Cost item]],0),MATCH(Calc_TUV_Net_1[[#This Row],[Decision ref]:[Decision ref]],Input_ForRateCalc[#Headers],0)),"-")</f>
        <v>-</v>
      </c>
      <c r="L195" s="55" cm="1">
        <f t="array" ref="L195">IFERROR(INDEX(Input_ForRateCalc[],MATCH($C195&amp;" - "&amp;L$103,Input_ForRateCalc[[Cost item]:[Cost item]],0),MATCH(Calc_TUV_Net_1[[#This Row],[Decision ref]:[Decision ref]],Input_ForRateCalc[#Headers],0)),"-")</f>
        <v>6.47</v>
      </c>
      <c r="M195" s="55" cm="1">
        <f t="array" ref="M195">IFERROR(INDEX(Input_ForRateCalc[],MATCH($C195&amp;" - "&amp;M$103,Input_ForRateCalc[[Cost item]:[Cost item]],0),MATCH(Calc_TUV_Net_1[[#This Row],[Decision ref]:[Decision ref]],Input_ForRateCalc[#Headers],0)),"-")</f>
        <v>7.4139999999999997</v>
      </c>
      <c r="N195" s="55" cm="1">
        <f t="array" ref="N195">IFERROR(INDEX(Input_ForRateCalc[],MATCH($C195&amp;" - "&amp;N$103,Input_ForRateCalc[[Cost item]:[Cost item]],0),MATCH(Calc_TUV_Net_1[[#This Row],[Decision ref]:[Decision ref]],Input_ForRateCalc[#Headers],0)),"-")</f>
        <v>6.74</v>
      </c>
      <c r="O195" s="55" cm="1">
        <f t="array" ref="O195">IFERROR(INDEX(Input_ForRateCalc[],MATCH($C195&amp;" - "&amp;O$103,Input_ForRateCalc[[Cost item]:[Cost item]],0),MATCH(Calc_TUV_Net_1[[#This Row],[Decision ref]:[Decision ref]],Input_ForRateCalc[#Headers],0)),"-")</f>
        <v>7.67</v>
      </c>
    </row>
    <row r="196" spans="3:15" hidden="1" outlineLevel="1" x14ac:dyDescent="0.25">
      <c r="C196" s="48" t="s">
        <v>254</v>
      </c>
      <c r="D196" s="71" t="str">
        <f>INDEX(Input_DecisionActual[[Actual]:[Actual]],MATCH(Calc_TU_values!$D$5,Input_DecisionActual[[VDO period]:[VDO period]],0),1)</f>
        <v>VDO 2021 - Final</v>
      </c>
      <c r="E196" s="18" t="s">
        <v>354</v>
      </c>
      <c r="F196" s="71" t="str">
        <f>IF($D196="-","-",INDEX(Inputs!$H$10:$Q$10,1,MATCH($D196,Inputs!$H$8:$Q$8,0)))</f>
        <v>F-CurrentVDO_Input</v>
      </c>
      <c r="G196" s="47"/>
      <c r="H196" s="18" t="s">
        <v>66</v>
      </c>
      <c r="I196" s="18" t="s">
        <v>101</v>
      </c>
      <c r="J196" s="48" t="s">
        <v>31</v>
      </c>
      <c r="K196" s="56">
        <f>SUMIFS(TUNet_Usage_Actual_1[Value],TUNet_Usage_Actual_1[Customer type],Calc_TUV_Net_1[[#This Row],[Customer type]],TUNet_Usage_Actual_1[Description],"Usage per customer")*SUM(
IFERROR(K193/100*SUMIFS(Input_TUNet_Props[F-NextVDO_Input],Input_TUNet_Props[Customer type],Calc_TUV_Net_1[[#This Row],[Customer type]],Input_TUNet_Props[Usage type],"Block 1"),0),
IFERROR(K194/100*SUMIFS(Input_TUNet_Props[F-NextVDO_Input],Input_TUNet_Props[Customer type],Calc_TUV_Net_1[[#This Row],[Customer type]],Input_TUNet_Props[Usage type],"Balance"),0),
IFERROR(K195/100*SUMIFS(Input_TUNet_Props[F-NextVDO_Input],Input_TUNet_Props[Customer type],Calc_TUV_Net_1[[#This Row],[Customer type]],Input_TUNet_Props[Usage type],"Single rate"),0))</f>
        <v>0</v>
      </c>
      <c r="L196" s="56">
        <f>SUMIFS(TUNet_Usage_Actual_1[Value],TUNet_Usage_Actual_1[Customer type],Calc_TUV_Net_1[[#This Row],[Customer type]],TUNet_Usage_Actual_1[Description],"Usage per customer")*SUM(
IFERROR(L193/100*SUMIFS(Input_TUNet_Props[F-NextVDO_Input],Input_TUNet_Props[Customer type],Calc_TUV_Net_1[[#This Row],[Customer type]],Input_TUNet_Props[Usage type],"Block 1"),0),
IFERROR(L194/100*SUMIFS(Input_TUNet_Props[F-NextVDO_Input],Input_TUNet_Props[Customer type],Calc_TUV_Net_1[[#This Row],[Customer type]],Input_TUNet_Props[Usage type],"Balance"),0),
IFERROR(L195/100*SUMIFS(Input_TUNet_Props[F-NextVDO_Input],Input_TUNet_Props[Customer type],Calc_TUV_Net_1[[#This Row],[Customer type]],Input_TUNet_Props[Usage type],"Single rate"),0))</f>
        <v>0</v>
      </c>
      <c r="M196" s="56">
        <f>SUMIFS(TUNet_Usage_Actual_1[Value],TUNet_Usage_Actual_1[Customer type],Calc_TUV_Net_1[[#This Row],[Customer type]],TUNet_Usage_Actual_1[Description],"Usage per customer")*SUM(
IFERROR(M193/100*SUMIFS(Input_TUNet_Props[F-NextVDO_Input],Input_TUNet_Props[Customer type],Calc_TUV_Net_1[[#This Row],[Customer type]],Input_TUNet_Props[Usage type],"Block 1"),0),
IFERROR(M194/100*SUMIFS(Input_TUNet_Props[F-NextVDO_Input],Input_TUNet_Props[Customer type],Calc_TUV_Net_1[[#This Row],[Customer type]],Input_TUNet_Props[Usage type],"Balance"),0),
IFERROR(M195/100*SUMIFS(Input_TUNet_Props[F-NextVDO_Input],Input_TUNet_Props[Customer type],Calc_TUV_Net_1[[#This Row],[Customer type]],Input_TUNet_Props[Usage type],"Single rate"),0))</f>
        <v>0</v>
      </c>
      <c r="N196" s="56">
        <f>SUMIFS(TUNet_Usage_Actual_1[Value],TUNet_Usage_Actual_1[Customer type],Calc_TUV_Net_1[[#This Row],[Customer type]],TUNet_Usage_Actual_1[Description],"Usage per customer")*SUM(
IFERROR(N193/100*SUMIFS(Input_TUNet_Props[F-NextVDO_Input],Input_TUNet_Props[Customer type],Calc_TUV_Net_1[[#This Row],[Customer type]],Input_TUNet_Props[Usage type],"Block 1"),0),
IFERROR(N194/100*SUMIFS(Input_TUNet_Props[F-NextVDO_Input],Input_TUNet_Props[Customer type],Calc_TUV_Net_1[[#This Row],[Customer type]],Input_TUNet_Props[Usage type],"Balance"),0),
IFERROR(N195/100*SUMIFS(Input_TUNet_Props[F-NextVDO_Input],Input_TUNet_Props[Customer type],Calc_TUV_Net_1[[#This Row],[Customer type]],Input_TUNet_Props[Usage type],"Single rate"),0))</f>
        <v>0</v>
      </c>
      <c r="O196" s="56">
        <f>SUMIFS(TUNet_Usage_Actual_1[Value],TUNet_Usage_Actual_1[Customer type],Calc_TUV_Net_1[[#This Row],[Customer type]],TUNet_Usage_Actual_1[Description],"Usage per customer")*SUM(
IFERROR(O193/100*SUMIFS(Input_TUNet_Props[F-NextVDO_Input],Input_TUNet_Props[Customer type],Calc_TUV_Net_1[[#This Row],[Customer type]],Input_TUNet_Props[Usage type],"Block 1"),0),
IFERROR(O194/100*SUMIFS(Input_TUNet_Props[F-NextVDO_Input],Input_TUNet_Props[Customer type],Calc_TUV_Net_1[[#This Row],[Customer type]],Input_TUNet_Props[Usage type],"Balance"),0),
IFERROR(O195/100*SUMIFS(Input_TUNet_Props[F-NextVDO_Input],Input_TUNet_Props[Customer type],Calc_TUV_Net_1[[#This Row],[Customer type]],Input_TUNet_Props[Usage type],"Single rate"),0))</f>
        <v>0</v>
      </c>
    </row>
    <row r="197" spans="3:15" hidden="1" outlineLevel="1" x14ac:dyDescent="0.25">
      <c r="C197" s="48" t="s">
        <v>255</v>
      </c>
      <c r="D197" s="48"/>
      <c r="E197" s="48"/>
      <c r="F197" s="48"/>
      <c r="G197" s="48"/>
      <c r="H197" s="18" t="s">
        <v>66</v>
      </c>
      <c r="I197" s="18" t="s">
        <v>45</v>
      </c>
      <c r="J197" s="48" t="s">
        <v>31</v>
      </c>
      <c r="K197" s="54" t="str">
        <f>IF(K196=0,"-",K192-K196)</f>
        <v>-</v>
      </c>
      <c r="L197" s="54" t="str">
        <f t="shared" ref="L197:O197" si="68">IF(L196=0,"-",L192-L196)</f>
        <v>-</v>
      </c>
      <c r="M197" s="54" t="str">
        <f t="shared" si="68"/>
        <v>-</v>
      </c>
      <c r="N197" s="54" t="str">
        <f t="shared" si="68"/>
        <v>-</v>
      </c>
      <c r="O197" s="54" t="str">
        <f t="shared" si="68"/>
        <v>-</v>
      </c>
    </row>
    <row r="198" spans="3:15" hidden="1" outlineLevel="1" x14ac:dyDescent="0.25">
      <c r="C198" s="48" t="s">
        <v>296</v>
      </c>
      <c r="D198" s="48"/>
      <c r="E198" s="48"/>
      <c r="F198" s="48"/>
      <c r="G198" s="48"/>
      <c r="H198" s="18" t="s">
        <v>66</v>
      </c>
      <c r="I198" s="18" t="s">
        <v>45</v>
      </c>
      <c r="J198" s="48" t="s">
        <v>31</v>
      </c>
      <c r="K198" s="55" t="str">
        <f>IFERROR(IF($D$11="Yes",K197*(1+WACC_adj_1),""),"-")</f>
        <v/>
      </c>
      <c r="L198" s="55" t="str">
        <f>IFERROR(IF($D$11="Yes",L197*(1+WACC_adj_1),""),"-")</f>
        <v/>
      </c>
      <c r="M198" s="55" t="str">
        <f>IFERROR(IF($D$11="Yes",M197*(1+WACC_adj_1),""),"-")</f>
        <v/>
      </c>
      <c r="N198" s="55" t="str">
        <f>IFERROR(IF($D$11="Yes",N197*(1+WACC_adj_1),""),"-")</f>
        <v/>
      </c>
      <c r="O198" s="55" t="str">
        <f>IFERROR(IF($D$11="Yes",O197*(1+WACC_adj_1),""),"-")</f>
        <v/>
      </c>
    </row>
    <row r="199" spans="3:15" hidden="1" outlineLevel="1" x14ac:dyDescent="0.25">
      <c r="C199" s="48" t="s">
        <v>257</v>
      </c>
      <c r="D199" s="71" t="str">
        <f>INDEX(Input_DecisionActual[[Actual]:[Actual]],MATCH(Calc_TU_values!$D$5,Input_DecisionActual[[VDO period]:[VDO period]],0),1)</f>
        <v>VDO 2021 - Final</v>
      </c>
      <c r="E199" s="18" t="s">
        <v>354</v>
      </c>
      <c r="F199" s="71" t="str">
        <f>IF($D199="-","-",INDEX(Inputs!$H$10:$Q$10,1,MATCH($D199,Inputs!$H$8:$Q$8,0)))</f>
        <v>F-CurrentVDO_Input</v>
      </c>
      <c r="G199" s="48"/>
      <c r="H199" s="18" t="s">
        <v>66</v>
      </c>
      <c r="I199" s="18" t="s">
        <v>45</v>
      </c>
      <c r="J199" s="48" t="s">
        <v>31</v>
      </c>
      <c r="K199" s="55" cm="1">
        <f t="array" ref="K199">IFERROR(SUM(K197:K198)*(INDEX(Inputs!$H$11:$Q$125,MATCH("Retail operating margin",Input_ForRateCalc[[Cost item]:[Cost item]],0),MATCH(Calc_TUV_Net_1[[#This Row],[Decision ref]:[Decision ref]],Inputs!$H$10:$Q$10,0))),"-")</f>
        <v>0</v>
      </c>
      <c r="L199" s="55" cm="1">
        <f t="array" ref="L199">IFERROR(SUM(L197:L198)*(INDEX(Inputs!$H$11:$Q$125,MATCH("Retail operating margin",Input_ForRateCalc[[Cost item]:[Cost item]],0),MATCH(Calc_TUV_Net_1[[#This Row],[Decision ref]:[Decision ref]],Inputs!$H$10:$Q$10,0))),"-")</f>
        <v>0</v>
      </c>
      <c r="M199" s="55" cm="1">
        <f t="array" ref="M199">IFERROR(SUM(M197:M198)*(INDEX(Inputs!$H$11:$Q$125,MATCH("Retail operating margin",Input_ForRateCalc[[Cost item]:[Cost item]],0),MATCH(Calc_TUV_Net_1[[#This Row],[Decision ref]:[Decision ref]],Inputs!$H$10:$Q$10,0))),"-")</f>
        <v>0</v>
      </c>
      <c r="N199" s="55" cm="1">
        <f t="array" ref="N199">IFERROR(SUM(N197:N198)*(INDEX(Inputs!$H$11:$Q$125,MATCH("Retail operating margin",Input_ForRateCalc[[Cost item]:[Cost item]],0),MATCH(Calc_TUV_Net_1[[#This Row],[Decision ref]:[Decision ref]],Inputs!$H$10:$Q$10,0))),"-")</f>
        <v>0</v>
      </c>
      <c r="O199" s="55" cm="1">
        <f t="array" ref="O199">IFERROR(SUM(O197:O198)*(INDEX(Inputs!$H$11:$Q$125,MATCH("Retail operating margin",Input_ForRateCalc[[Cost item]:[Cost item]],0),MATCH(Calc_TUV_Net_1[[#This Row],[Decision ref]:[Decision ref]],Inputs!$H$10:$Q$10,0))),"-")</f>
        <v>0</v>
      </c>
    </row>
    <row r="200" spans="3:15" hidden="1" outlineLevel="1" x14ac:dyDescent="0.25">
      <c r="C200" s="48" t="s">
        <v>297</v>
      </c>
      <c r="D200" s="48"/>
      <c r="E200" s="48"/>
      <c r="F200" s="48"/>
      <c r="G200" s="48"/>
      <c r="H200" s="18" t="s">
        <v>66</v>
      </c>
      <c r="I200" s="18" t="s">
        <v>45</v>
      </c>
      <c r="J200" s="48" t="s">
        <v>31</v>
      </c>
      <c r="K200" s="55" t="str">
        <f>IF(K196=0,"-",SUM(K197:K199)*GST)</f>
        <v>-</v>
      </c>
      <c r="L200" s="55" t="str">
        <f>IF(L196=0,"-",SUM(L197:L199)*GST)</f>
        <v>-</v>
      </c>
      <c r="M200" s="55" t="str">
        <f>IF(M196=0,"-",SUM(M197:M199)*GST)</f>
        <v>-</v>
      </c>
      <c r="N200" s="55" t="str">
        <f>IF(N196=0,"-",SUM(N197:N199)*GST)</f>
        <v>-</v>
      </c>
      <c r="O200" s="55" t="str">
        <f>IF(O196=0,"-",SUM(O197:O199)*GST)</f>
        <v>-</v>
      </c>
    </row>
    <row r="201" spans="3:15" hidden="1" outlineLevel="1" x14ac:dyDescent="0.25">
      <c r="C201" s="18" t="s">
        <v>326</v>
      </c>
      <c r="D201" s="48"/>
      <c r="E201" s="48"/>
      <c r="F201" s="48"/>
      <c r="H201" s="18" t="s">
        <v>66</v>
      </c>
      <c r="I201" s="18" t="s">
        <v>45</v>
      </c>
      <c r="J201" s="48" t="s">
        <v>31</v>
      </c>
      <c r="K201" s="55" t="str">
        <f>IF(K196=0,"-",SUM(K197:K200))</f>
        <v>-</v>
      </c>
      <c r="L201" s="55" t="str">
        <f t="shared" ref="L201:O201" si="69">IF(L196=0,"-",SUM(L197:L200))</f>
        <v>-</v>
      </c>
      <c r="M201" s="55" t="str">
        <f t="shared" si="69"/>
        <v>-</v>
      </c>
      <c r="N201" s="55" t="str">
        <f t="shared" si="69"/>
        <v>-</v>
      </c>
      <c r="O201" s="55" t="str">
        <f t="shared" si="69"/>
        <v>-</v>
      </c>
    </row>
    <row r="202" spans="3:15" hidden="1" outlineLevel="1" x14ac:dyDescent="0.25">
      <c r="C202" s="48"/>
      <c r="D202" s="48"/>
      <c r="E202" s="48"/>
      <c r="F202" s="48"/>
      <c r="G202" s="48"/>
      <c r="H202" s="18"/>
      <c r="I202" s="18"/>
      <c r="J202" s="48"/>
      <c r="K202" s="55"/>
      <c r="L202" s="55"/>
      <c r="M202" s="55"/>
      <c r="N202" s="55"/>
      <c r="O202" s="55"/>
    </row>
    <row r="203" spans="3:15" ht="15.75" hidden="1" outlineLevel="1" x14ac:dyDescent="0.25">
      <c r="C203" s="1" t="s">
        <v>316</v>
      </c>
      <c r="D203" s="48"/>
      <c r="E203" s="48"/>
      <c r="F203" s="48"/>
      <c r="G203" s="57" t="s">
        <v>253</v>
      </c>
      <c r="H203" s="48"/>
      <c r="I203" s="18"/>
      <c r="J203" s="18"/>
      <c r="K203" s="54"/>
      <c r="L203" s="18"/>
      <c r="M203" s="18"/>
      <c r="N203" s="18"/>
      <c r="O203" s="18"/>
    </row>
    <row r="204" spans="3:15" hidden="1" outlineLevel="1" x14ac:dyDescent="0.25">
      <c r="C204" s="46" t="s">
        <v>333</v>
      </c>
      <c r="D204" s="46"/>
      <c r="E204" s="46"/>
      <c r="F204" s="46"/>
      <c r="G204" s="57"/>
      <c r="H204" s="57"/>
      <c r="I204" s="18"/>
      <c r="J204" s="18"/>
      <c r="K204" s="54"/>
      <c r="L204" s="18"/>
      <c r="M204" s="18"/>
      <c r="N204" s="18"/>
      <c r="O204" s="18"/>
    </row>
    <row r="205" spans="3:15" hidden="1" outlineLevel="1" x14ac:dyDescent="0.25">
      <c r="C205" s="48" t="s">
        <v>320</v>
      </c>
      <c r="D205" s="71" t="str">
        <f>Calc_TU_values!$D$5</f>
        <v>VDO 2021 - Variation final</v>
      </c>
      <c r="E205" s="18" t="s">
        <v>353</v>
      </c>
      <c r="F205" s="71" t="str">
        <f>INDEX(Inputs!$H$10:$Q$10,1,MATCH($D205,Inputs!$H$8:$Q$8,0))</f>
        <v>VF-CurrentVDO_Input</v>
      </c>
      <c r="G205" s="47"/>
      <c r="H205" s="18" t="s">
        <v>44</v>
      </c>
      <c r="I205" s="18" t="s">
        <v>45</v>
      </c>
      <c r="J205" s="48" t="s">
        <v>32</v>
      </c>
      <c r="K205" s="55" cm="1">
        <f t="array" ref="K205">IFERROR(INDEX(Input_ForRateCalc[],MATCH($C205&amp;" - "&amp;K$103,Input_ForRateCalc[[Cost item]:[Cost item]],0),MATCH(Calc_TUV_Net_1[[#This Row],[Decision ref]:[Decision ref]],Input_ForRateCalc[#Headers],0)),"-")*TUProp_Days_1</f>
        <v>0</v>
      </c>
      <c r="L205" s="55" cm="1">
        <f t="array" ref="L205">IFERROR(INDEX(Input_ForRateCalc[],MATCH($C205&amp;" - "&amp;L$103,Input_ForRateCalc[[Cost item]:[Cost item]],0),MATCH(Calc_TUV_Net_1[[#This Row],[Decision ref]:[Decision ref]],Input_ForRateCalc[#Headers],0)),"-")*TUProp_Days_1</f>
        <v>0</v>
      </c>
      <c r="M205" s="55" cm="1">
        <f t="array" ref="M205">IFERROR(INDEX(Input_ForRateCalc[],MATCH($C205&amp;" - "&amp;M$103,Input_ForRateCalc[[Cost item]:[Cost item]],0),MATCH(Calc_TUV_Net_1[[#This Row],[Decision ref]:[Decision ref]],Input_ForRateCalc[#Headers],0)),"-")*TUProp_Days_1</f>
        <v>0</v>
      </c>
      <c r="N205" s="55" cm="1">
        <f t="array" ref="N205">IFERROR(INDEX(Input_ForRateCalc[],MATCH($C205&amp;" - "&amp;N$103,Input_ForRateCalc[[Cost item]:[Cost item]],0),MATCH(Calc_TUV_Net_1[[#This Row],[Decision ref]:[Decision ref]],Input_ForRateCalc[#Headers],0)),"-")*TUProp_Days_1</f>
        <v>0</v>
      </c>
      <c r="O205" s="55" cm="1">
        <f t="array" ref="O205">IFERROR(INDEX(Input_ForRateCalc[],MATCH($C205&amp;" - "&amp;O$103,Input_ForRateCalc[[Cost item]:[Cost item]],0),MATCH(Calc_TUV_Net_1[[#This Row],[Decision ref]:[Decision ref]],Input_ForRateCalc[#Headers],0)),"-")*TUProp_Days_1</f>
        <v>0</v>
      </c>
    </row>
    <row r="206" spans="3:15" hidden="1" outlineLevel="1" x14ac:dyDescent="0.25">
      <c r="C206" s="48" t="s">
        <v>211</v>
      </c>
      <c r="D206" s="71" t="str">
        <f>Calc_TU_values!$D$5</f>
        <v>VDO 2021 - Variation final</v>
      </c>
      <c r="E206" s="18" t="s">
        <v>353</v>
      </c>
      <c r="F206" s="71" t="str">
        <f>INDEX(Inputs!$H$10:$Q$10,1,MATCH($D206,Inputs!$H$8:$Q$8,0))</f>
        <v>VF-CurrentVDO_Input</v>
      </c>
      <c r="G206" s="47"/>
      <c r="H206" s="18" t="s">
        <v>44</v>
      </c>
      <c r="I206" s="18" t="s">
        <v>45</v>
      </c>
      <c r="J206" s="48" t="s">
        <v>32</v>
      </c>
      <c r="K206" s="55" cm="1">
        <f t="array" ref="K206">IFERROR(INDEX(Input_ForRateCalc[],MATCH($C206&amp;" - "&amp;K$103,Input_ForRateCalc[[Cost item]:[Cost item]],0),MATCH(Calc_TUV_Net_1[[#This Row],[Decision ref]:[Decision ref]],Input_ForRateCalc[#Headers],0)),"-")*TUProp_Days_1</f>
        <v>0</v>
      </c>
      <c r="L206" s="55" cm="1">
        <f t="array" ref="L206">IFERROR(INDEX(Input_ForRateCalc[],MATCH($C206&amp;" - "&amp;L$103,Input_ForRateCalc[[Cost item]:[Cost item]],0),MATCH(Calc_TUV_Net_1[[#This Row],[Decision ref]:[Decision ref]],Input_ForRateCalc[#Headers],0)),"-")*TUProp_Days_1</f>
        <v>0</v>
      </c>
      <c r="M206" s="55" cm="1">
        <f t="array" ref="M206">IFERROR(INDEX(Input_ForRateCalc[],MATCH($C206&amp;" - "&amp;M$103,Input_ForRateCalc[[Cost item]:[Cost item]],0),MATCH(Calc_TUV_Net_1[[#This Row],[Decision ref]:[Decision ref]],Input_ForRateCalc[#Headers],0)),"-")*TUProp_Days_1</f>
        <v>0</v>
      </c>
      <c r="N206" s="55" cm="1">
        <f t="array" ref="N206">IFERROR(INDEX(Input_ForRateCalc[],MATCH($C206&amp;" - "&amp;N$103,Input_ForRateCalc[[Cost item]:[Cost item]],0),MATCH(Calc_TUV_Net_1[[#This Row],[Decision ref]:[Decision ref]],Input_ForRateCalc[#Headers],0)),"-")*TUProp_Days_1</f>
        <v>0</v>
      </c>
      <c r="O206" s="55" cm="1">
        <f t="array" ref="O206">IFERROR(INDEX(Input_ForRateCalc[],MATCH($C206&amp;" - "&amp;O$103,Input_ForRateCalc[[Cost item]:[Cost item]],0),MATCH(Calc_TUV_Net_1[[#This Row],[Decision ref]:[Decision ref]],Input_ForRateCalc[#Headers],0)),"-")*TUProp_Days_1</f>
        <v>0</v>
      </c>
    </row>
    <row r="207" spans="3:15" hidden="1" outlineLevel="1" x14ac:dyDescent="0.25">
      <c r="C207" s="48" t="s">
        <v>254</v>
      </c>
      <c r="D207" s="71" t="str">
        <f>Calc_TU_values!$D$5</f>
        <v>VDO 2021 - Variation final</v>
      </c>
      <c r="E207" s="18" t="s">
        <v>353</v>
      </c>
      <c r="F207" s="71" t="str">
        <f>INDEX(Inputs!$H$10:$Q$10,1,MATCH($D207,Inputs!$H$8:$Q$8,0))</f>
        <v>VF-CurrentVDO_Input</v>
      </c>
      <c r="G207" s="47"/>
      <c r="H207" s="18" t="s">
        <v>44</v>
      </c>
      <c r="I207" s="18" t="s">
        <v>45</v>
      </c>
      <c r="J207" s="48" t="s">
        <v>32</v>
      </c>
      <c r="K207" s="53">
        <f>IFERROR(SUM(K205:K206),"-")</f>
        <v>0</v>
      </c>
      <c r="L207" s="53">
        <f>IFERROR(SUM(L205:L206),"-")</f>
        <v>0</v>
      </c>
      <c r="M207" s="53">
        <f>IFERROR(SUM(M205:M206),"-")</f>
        <v>0</v>
      </c>
      <c r="N207" s="53">
        <f>IFERROR(SUM(N205:N206),"-")</f>
        <v>0</v>
      </c>
      <c r="O207" s="53">
        <f>IFERROR(SUM(O205:O206),"-")</f>
        <v>0</v>
      </c>
    </row>
    <row r="208" spans="3:15" hidden="1" outlineLevel="1" x14ac:dyDescent="0.25">
      <c r="C208" s="48" t="s">
        <v>309</v>
      </c>
      <c r="D208" s="71" t="str">
        <f>INDEX(Input_DecisionActual[[Actual]:[Actual]],MATCH(Calc_TU_values!$D$5,Input_DecisionActual[[VDO period]:[VDO period]],0),1)</f>
        <v>VDO 2021 - Final</v>
      </c>
      <c r="E208" s="18" t="s">
        <v>354</v>
      </c>
      <c r="F208" s="71" t="str">
        <f>IF($D208="-","-",INDEX(Inputs!$H$10:$Q$10,1,MATCH($D208,Inputs!$H$8:$Q$8,0)))</f>
        <v>F-CurrentVDO_Input</v>
      </c>
      <c r="G208" s="47"/>
      <c r="H208" s="18" t="s">
        <v>44</v>
      </c>
      <c r="I208" s="18" t="s">
        <v>45</v>
      </c>
      <c r="J208" s="48" t="s">
        <v>32</v>
      </c>
      <c r="K208" s="55" cm="1">
        <f t="array" ref="K208">IFERROR(INDEX(Input_ForRateCalc[],MATCH($C208&amp;" - "&amp;K$103,Input_ForRateCalc[[Cost item]:[Cost item]],0),MATCH(Calc_TUV_Net_1[[#This Row],[Decision ref]:[Decision ref]],Input_ForRateCalc[#Headers],0)),"-")*TUProp_Days_1</f>
        <v>0</v>
      </c>
      <c r="L208" s="55" cm="1">
        <f t="array" ref="L208">IFERROR(INDEX(Input_ForRateCalc[],MATCH($C208&amp;" - "&amp;L$103,Input_ForRateCalc[[Cost item]:[Cost item]],0),MATCH(Calc_TUV_Net_1[[#This Row],[Decision ref]:[Decision ref]],Input_ForRateCalc[#Headers],0)),"-")*TUProp_Days_1</f>
        <v>0</v>
      </c>
      <c r="M208" s="55" cm="1">
        <f t="array" ref="M208">IFERROR(INDEX(Input_ForRateCalc[],MATCH($C208&amp;" - "&amp;M$103,Input_ForRateCalc[[Cost item]:[Cost item]],0),MATCH(Calc_TUV_Net_1[[#This Row],[Decision ref]:[Decision ref]],Input_ForRateCalc[#Headers],0)),"-")*TUProp_Days_1</f>
        <v>0</v>
      </c>
      <c r="N208" s="55" cm="1">
        <f t="array" ref="N208">IFERROR(INDEX(Input_ForRateCalc[],MATCH($C208&amp;" - "&amp;N$103,Input_ForRateCalc[[Cost item]:[Cost item]],0),MATCH(Calc_TUV_Net_1[[#This Row],[Decision ref]:[Decision ref]],Input_ForRateCalc[#Headers],0)),"-")*TUProp_Days_1</f>
        <v>0</v>
      </c>
      <c r="O208" s="55" cm="1">
        <f t="array" ref="O208">IFERROR(INDEX(Input_ForRateCalc[],MATCH($C208&amp;" - "&amp;O$103,Input_ForRateCalc[[Cost item]:[Cost item]],0),MATCH(Calc_TUV_Net_1[[#This Row],[Decision ref]:[Decision ref]],Input_ForRateCalc[#Headers],0)),"-")*TUProp_Days_1</f>
        <v>0</v>
      </c>
    </row>
    <row r="209" spans="3:15" hidden="1" outlineLevel="1" x14ac:dyDescent="0.25">
      <c r="C209" s="48" t="s">
        <v>211</v>
      </c>
      <c r="D209" s="71" t="str">
        <f>INDEX(Input_DecisionActual[[Actual]:[Actual]],MATCH(Calc_TU_values!$D$5,Input_DecisionActual[[VDO period]:[VDO period]],0),1)</f>
        <v>VDO 2021 - Final</v>
      </c>
      <c r="E209" s="18" t="s">
        <v>354</v>
      </c>
      <c r="F209" s="71" t="str">
        <f>IF($D209="-","-",INDEX(Inputs!$H$10:$Q$10,1,MATCH($D209,Inputs!$H$8:$Q$8,0)))</f>
        <v>F-CurrentVDO_Input</v>
      </c>
      <c r="G209" s="47"/>
      <c r="H209" s="18" t="s">
        <v>44</v>
      </c>
      <c r="I209" s="18" t="s">
        <v>45</v>
      </c>
      <c r="J209" s="48" t="s">
        <v>32</v>
      </c>
      <c r="K209" s="55" cm="1">
        <f t="array" ref="K209">IFERROR(INDEX(Input_ForRateCalc[],MATCH($C209&amp;" - "&amp;K$103,Input_ForRateCalc[[Cost item]:[Cost item]],0),MATCH(Calc_TUV_Net_1[[#This Row],[Decision ref]:[Decision ref]],Input_ForRateCalc[#Headers],0)),"-")*TUProp_Days_1</f>
        <v>0</v>
      </c>
      <c r="L209" s="55" cm="1">
        <f t="array" ref="L209">IFERROR(INDEX(Input_ForRateCalc[],MATCH($C209&amp;" - "&amp;L$103,Input_ForRateCalc[[Cost item]:[Cost item]],0),MATCH(Calc_TUV_Net_1[[#This Row],[Decision ref]:[Decision ref]],Input_ForRateCalc[#Headers],0)),"-")*TUProp_Days_1</f>
        <v>0</v>
      </c>
      <c r="M209" s="55" cm="1">
        <f t="array" ref="M209">IFERROR(INDEX(Input_ForRateCalc[],MATCH($C209&amp;" - "&amp;M$103,Input_ForRateCalc[[Cost item]:[Cost item]],0),MATCH(Calc_TUV_Net_1[[#This Row],[Decision ref]:[Decision ref]],Input_ForRateCalc[#Headers],0)),"-")*TUProp_Days_1</f>
        <v>0</v>
      </c>
      <c r="N209" s="55" cm="1">
        <f t="array" ref="N209">IFERROR(INDEX(Input_ForRateCalc[],MATCH($C209&amp;" - "&amp;N$103,Input_ForRateCalc[[Cost item]:[Cost item]],0),MATCH(Calc_TUV_Net_1[[#This Row],[Decision ref]:[Decision ref]],Input_ForRateCalc[#Headers],0)),"-")*TUProp_Days_1</f>
        <v>0</v>
      </c>
      <c r="O209" s="55" cm="1">
        <f t="array" ref="O209">IFERROR(INDEX(Input_ForRateCalc[],MATCH($C209&amp;" - "&amp;O$103,Input_ForRateCalc[[Cost item]:[Cost item]],0),MATCH(Calc_TUV_Net_1[[#This Row],[Decision ref]:[Decision ref]],Input_ForRateCalc[#Headers],0)),"-")*TUProp_Days_1</f>
        <v>0</v>
      </c>
    </row>
    <row r="210" spans="3:15" hidden="1" outlineLevel="1" x14ac:dyDescent="0.25">
      <c r="C210" s="48" t="s">
        <v>254</v>
      </c>
      <c r="D210" s="71" t="str">
        <f>INDEX(Input_DecisionActual[[Actual]:[Actual]],MATCH(Calc_TU_values!$D$5,Input_DecisionActual[[VDO period]:[VDO period]],0),1)</f>
        <v>VDO 2021 - Final</v>
      </c>
      <c r="E210" s="18" t="s">
        <v>354</v>
      </c>
      <c r="F210" s="71" t="str">
        <f>IF($D210="-","-",INDEX(Inputs!$H$10:$Q$10,1,MATCH($D210,Inputs!$H$8:$Q$8,0)))</f>
        <v>F-CurrentVDO_Input</v>
      </c>
      <c r="G210" s="47"/>
      <c r="H210" s="18" t="s">
        <v>44</v>
      </c>
      <c r="I210" s="18" t="s">
        <v>45</v>
      </c>
      <c r="J210" s="48" t="s">
        <v>32</v>
      </c>
      <c r="K210" s="54">
        <f>SUM(K208:K209)</f>
        <v>0</v>
      </c>
      <c r="L210" s="54">
        <f>SUM(L208:L209)</f>
        <v>0</v>
      </c>
      <c r="M210" s="54">
        <f>SUM(M208:M209)</f>
        <v>0</v>
      </c>
      <c r="N210" s="54">
        <f>SUM(N208:N209)</f>
        <v>0</v>
      </c>
      <c r="O210" s="54">
        <f>SUM(O208:O209)</f>
        <v>0</v>
      </c>
    </row>
    <row r="211" spans="3:15" hidden="1" outlineLevel="1" x14ac:dyDescent="0.25">
      <c r="C211" s="48" t="s">
        <v>255</v>
      </c>
      <c r="D211" s="18"/>
      <c r="E211" s="18"/>
      <c r="F211" s="18"/>
      <c r="G211" s="48"/>
      <c r="H211" s="18" t="s">
        <v>44</v>
      </c>
      <c r="I211" s="18" t="s">
        <v>45</v>
      </c>
      <c r="J211" s="48" t="s">
        <v>32</v>
      </c>
      <c r="K211" s="54" t="str">
        <f>IF(K210=0,"-",K207-K210)</f>
        <v>-</v>
      </c>
      <c r="L211" s="54" t="str">
        <f t="shared" ref="L211:O211" si="70">IF(L210=0,"-",L207-L210)</f>
        <v>-</v>
      </c>
      <c r="M211" s="54" t="str">
        <f t="shared" si="70"/>
        <v>-</v>
      </c>
      <c r="N211" s="54" t="str">
        <f t="shared" si="70"/>
        <v>-</v>
      </c>
      <c r="O211" s="54" t="str">
        <f t="shared" si="70"/>
        <v>-</v>
      </c>
    </row>
    <row r="212" spans="3:15" hidden="1" outlineLevel="1" x14ac:dyDescent="0.25">
      <c r="C212" s="48" t="s">
        <v>296</v>
      </c>
      <c r="D212" s="18"/>
      <c r="E212" s="18"/>
      <c r="F212" s="18"/>
      <c r="G212" s="48"/>
      <c r="H212" s="18" t="s">
        <v>44</v>
      </c>
      <c r="I212" s="18" t="s">
        <v>45</v>
      </c>
      <c r="J212" s="48" t="s">
        <v>32</v>
      </c>
      <c r="K212" s="55" t="str">
        <f>IFERROR(IF($D$11="Yes",K211*(1+WACC_adj_1),""),"-")</f>
        <v/>
      </c>
      <c r="L212" s="55" t="str">
        <f>IFERROR(IF($D$11="Yes",L211*(1+WACC_adj_1),""),"-")</f>
        <v/>
      </c>
      <c r="M212" s="55" t="str">
        <f>IFERROR(IF($D$11="Yes",M211*(1+WACC_adj_1),""),"-")</f>
        <v/>
      </c>
      <c r="N212" s="55" t="str">
        <f>IFERROR(IF($D$11="Yes",N211*(1+WACC_adj_1),""),"-")</f>
        <v/>
      </c>
      <c r="O212" s="55" t="str">
        <f>IFERROR(IF($D$11="Yes",O211*(1+WACC_adj_1),""),"-")</f>
        <v/>
      </c>
    </row>
    <row r="213" spans="3:15" hidden="1" outlineLevel="1" x14ac:dyDescent="0.25">
      <c r="C213" s="48" t="s">
        <v>257</v>
      </c>
      <c r="D213" s="71" t="str">
        <f>INDEX(Input_DecisionActual[[Actual]:[Actual]],MATCH(Calc_TU_values!$D$5,Input_DecisionActual[[VDO period]:[VDO period]],0),1)</f>
        <v>VDO 2021 - Final</v>
      </c>
      <c r="E213" s="18" t="s">
        <v>354</v>
      </c>
      <c r="F213" s="71" t="str">
        <f>IF($D213="-","-",INDEX(Inputs!$H$10:$Q$10,1,MATCH($D213,Inputs!$H$8:$Q$8,0)))</f>
        <v>F-CurrentVDO_Input</v>
      </c>
      <c r="G213" s="48"/>
      <c r="H213" s="18" t="s">
        <v>44</v>
      </c>
      <c r="I213" s="18" t="s">
        <v>45</v>
      </c>
      <c r="J213" s="48" t="s">
        <v>32</v>
      </c>
      <c r="K213" s="55" cm="1">
        <f t="array" ref="K213">IFERROR(SUM(K211:K212)*(INDEX(Inputs!$H$11:$Q$125,MATCH("Retail operating margin",Input_ForRateCalc[[Cost item]:[Cost item]],0),MATCH(Calc_TUV_Net_1[[#This Row],[Decision ref]:[Decision ref]],Inputs!$H$10:$Q$10,0))),"-")</f>
        <v>0</v>
      </c>
      <c r="L213" s="55" cm="1">
        <f t="array" ref="L213">IFERROR(SUM(L211:L212)*(INDEX(Inputs!$H$11:$Q$125,MATCH("Retail operating margin",Input_ForRateCalc[[Cost item]:[Cost item]],0),MATCH(Calc_TUV_Net_1[[#This Row],[Decision ref]:[Decision ref]],Inputs!$H$10:$Q$10,0))),"-")</f>
        <v>0</v>
      </c>
      <c r="M213" s="55" cm="1">
        <f t="array" ref="M213">IFERROR(SUM(M211:M212)*(INDEX(Inputs!$H$11:$Q$125,MATCH("Retail operating margin",Input_ForRateCalc[[Cost item]:[Cost item]],0),MATCH(Calc_TUV_Net_1[[#This Row],[Decision ref]:[Decision ref]],Inputs!$H$10:$Q$10,0))),"-")</f>
        <v>0</v>
      </c>
      <c r="N213" s="55" cm="1">
        <f t="array" ref="N213">IFERROR(SUM(N211:N212)*(INDEX(Inputs!$H$11:$Q$125,MATCH("Retail operating margin",Input_ForRateCalc[[Cost item]:[Cost item]],0),MATCH(Calc_TUV_Net_1[[#This Row],[Decision ref]:[Decision ref]],Inputs!$H$10:$Q$10,0))),"-")</f>
        <v>0</v>
      </c>
      <c r="O213" s="55" cm="1">
        <f t="array" ref="O213">IFERROR(SUM(O211:O212)*(INDEX(Inputs!$H$11:$Q$125,MATCH("Retail operating margin",Input_ForRateCalc[[Cost item]:[Cost item]],0),MATCH(Calc_TUV_Net_1[[#This Row],[Decision ref]:[Decision ref]],Inputs!$H$10:$Q$10,0))),"-")</f>
        <v>0</v>
      </c>
    </row>
    <row r="214" spans="3:15" hidden="1" outlineLevel="1" x14ac:dyDescent="0.25">
      <c r="C214" s="48" t="s">
        <v>297</v>
      </c>
      <c r="D214" s="18"/>
      <c r="E214" s="18"/>
      <c r="F214" s="18"/>
      <c r="G214" s="48"/>
      <c r="H214" s="18" t="s">
        <v>44</v>
      </c>
      <c r="I214" s="18" t="s">
        <v>45</v>
      </c>
      <c r="J214" s="48" t="s">
        <v>32</v>
      </c>
      <c r="K214" s="55" t="str">
        <f>IF(K210=0,"-",SUM(K211:K213)*GST)</f>
        <v>-</v>
      </c>
      <c r="L214" s="55" t="str">
        <f>IF(L210=0,"-",SUM(L211:L213)*GST)</f>
        <v>-</v>
      </c>
      <c r="M214" s="55" t="str">
        <f>IF(M210=0,"-",SUM(M211:M213)*GST)</f>
        <v>-</v>
      </c>
      <c r="N214" s="55" t="str">
        <f>IF(N210=0,"-",SUM(N211:N213)*GST)</f>
        <v>-</v>
      </c>
      <c r="O214" s="55" t="str">
        <f>IF(O210=0,"-",SUM(O211:O213)*GST)</f>
        <v>-</v>
      </c>
    </row>
    <row r="215" spans="3:15" hidden="1" outlineLevel="1" x14ac:dyDescent="0.25">
      <c r="C215" s="18" t="s">
        <v>325</v>
      </c>
      <c r="D215" s="18"/>
      <c r="E215" s="18"/>
      <c r="F215" s="18"/>
      <c r="G215" s="48"/>
      <c r="H215" s="18" t="s">
        <v>44</v>
      </c>
      <c r="I215" s="18" t="s">
        <v>45</v>
      </c>
      <c r="J215" s="48" t="s">
        <v>32</v>
      </c>
      <c r="K215" s="55" t="str">
        <f>IF(K210=0,"-",SUM(K211:K214))</f>
        <v>-</v>
      </c>
      <c r="L215" s="55" t="str">
        <f>IF(L210=0,"-",SUM(L211:L214))</f>
        <v>-</v>
      </c>
      <c r="M215" s="55" t="str">
        <f>IF(M210=0,"-",SUM(M211:M214))</f>
        <v>-</v>
      </c>
      <c r="N215" s="55" t="str">
        <f>IF(N210=0,"-",SUM(N211:N214))</f>
        <v>-</v>
      </c>
      <c r="O215" s="55" t="str">
        <f>IF(O210=0,"-",SUM(O211:O214))</f>
        <v>-</v>
      </c>
    </row>
    <row r="216" spans="3:15" hidden="1" outlineLevel="1" x14ac:dyDescent="0.25">
      <c r="C216" s="48"/>
      <c r="D216" s="48"/>
      <c r="E216" s="48"/>
      <c r="F216" s="48"/>
      <c r="H216" s="48"/>
      <c r="I216" s="18"/>
      <c r="J216" s="18"/>
      <c r="K216" s="106"/>
      <c r="L216" s="106"/>
      <c r="M216" s="106"/>
      <c r="N216" s="106"/>
      <c r="O216" s="106"/>
    </row>
    <row r="217" spans="3:15" hidden="1" outlineLevel="1" x14ac:dyDescent="0.25">
      <c r="C217" s="46" t="s">
        <v>334</v>
      </c>
      <c r="D217" s="48"/>
      <c r="E217" s="48"/>
      <c r="F217" s="48"/>
      <c r="G217" s="57"/>
      <c r="H217" s="48"/>
      <c r="I217" s="18"/>
      <c r="J217" s="18"/>
      <c r="K217" s="106"/>
      <c r="L217" s="106"/>
      <c r="M217" s="106"/>
      <c r="N217" s="106"/>
      <c r="O217" s="106"/>
    </row>
    <row r="218" spans="3:15" hidden="1" outlineLevel="1" x14ac:dyDescent="0.25">
      <c r="C218" s="48" t="s">
        <v>321</v>
      </c>
      <c r="D218" s="71" t="str">
        <f>Calc_TU_values!$D$5</f>
        <v>VDO 2021 - Variation final</v>
      </c>
      <c r="E218" s="18" t="s">
        <v>353</v>
      </c>
      <c r="F218" s="71" t="str">
        <f>INDEX(Inputs!$H$10:$Q$10,1,MATCH($D218,Inputs!$H$8:$Q$8,0))</f>
        <v>VF-CurrentVDO_Input</v>
      </c>
      <c r="G218" s="48"/>
      <c r="H218" s="18" t="s">
        <v>66</v>
      </c>
      <c r="I218" s="18" t="s">
        <v>101</v>
      </c>
      <c r="J218" s="48" t="s">
        <v>32</v>
      </c>
      <c r="K218" s="55" cm="1">
        <f t="array" ref="K218">IFERROR(INDEX(Input_ForRateCalc[],MATCH($C218&amp;" - "&amp;K$103,Input_ForRateCalc[[Cost item]:[Cost item]],0),MATCH(Calc_TUV_Net_1[[#This Row],[Decision ref]:[Decision ref]],Input_ForRateCalc[#Headers],0)),"-")</f>
        <v>17.508700000000001</v>
      </c>
      <c r="L218" s="55" cm="1">
        <f t="array" ref="L218">IFERROR(INDEX(Input_ForRateCalc[],MATCH($C218&amp;" - "&amp;L$103,Input_ForRateCalc[[Cost item]:[Cost item]],0),MATCH(Calc_TUV_Net_1[[#This Row],[Decision ref]:[Decision ref]],Input_ForRateCalc[#Headers],0)),"-")</f>
        <v>13.02</v>
      </c>
      <c r="M218" s="55" cm="1">
        <f t="array" ref="M218">IFERROR(INDEX(Input_ForRateCalc[],MATCH($C218&amp;" - "&amp;M$103,Input_ForRateCalc[[Cost item]:[Cost item]],0),MATCH(Calc_TUV_Net_1[[#This Row],[Decision ref]:[Decision ref]],Input_ForRateCalc[#Headers],0)),"-")</f>
        <v>14.331</v>
      </c>
      <c r="N218" s="55" cm="1">
        <f t="array" ref="N218">IFERROR(INDEX(Input_ForRateCalc[],MATCH($C218&amp;" - "&amp;N$103,Input_ForRateCalc[[Cost item]:[Cost item]],0),MATCH(Calc_TUV_Net_1[[#This Row],[Decision ref]:[Decision ref]],Input_ForRateCalc[#Headers],0)),"-")</f>
        <v>14.75</v>
      </c>
      <c r="O218" s="55" cm="1">
        <f t="array" ref="O218">IFERROR(INDEX(Input_ForRateCalc[],MATCH($C218&amp;" - "&amp;O$103,Input_ForRateCalc[[Cost item]:[Cost item]],0),MATCH(Calc_TUV_Net_1[[#This Row],[Decision ref]:[Decision ref]],Input_ForRateCalc[#Headers],0)),"-")</f>
        <v>13.99</v>
      </c>
    </row>
    <row r="219" spans="3:15" hidden="1" outlineLevel="1" x14ac:dyDescent="0.25">
      <c r="C219" s="48" t="s">
        <v>322</v>
      </c>
      <c r="D219" s="71" t="str">
        <f>Calc_TU_values!$D$5</f>
        <v>VDO 2021 - Variation final</v>
      </c>
      <c r="E219" s="18" t="s">
        <v>353</v>
      </c>
      <c r="F219" s="71" t="str">
        <f>INDEX(Inputs!$H$10:$Q$10,1,MATCH($D219,Inputs!$H$8:$Q$8,0))</f>
        <v>VF-CurrentVDO_Input</v>
      </c>
      <c r="G219" s="57"/>
      <c r="H219" s="18" t="s">
        <v>66</v>
      </c>
      <c r="I219" s="18" t="s">
        <v>101</v>
      </c>
      <c r="J219" s="48" t="s">
        <v>32</v>
      </c>
      <c r="K219" s="55" cm="1">
        <f t="array" ref="K219">IFERROR(INDEX(Input_ForRateCalc[],MATCH($C219&amp;" - "&amp;K$103,Input_ForRateCalc[[Cost item]:[Cost item]],0),MATCH(Calc_TUV_Net_1[[#This Row],[Decision ref]:[Decision ref]],Input_ForRateCalc[#Headers],0)),"-")</f>
        <v>4.2656000000000001</v>
      </c>
      <c r="L219" s="55" cm="1">
        <f t="array" ref="L219">IFERROR(INDEX(Input_ForRateCalc[],MATCH($C219&amp;" - "&amp;L$103,Input_ForRateCalc[[Cost item]:[Cost item]],0),MATCH(Calc_TUV_Net_1[[#This Row],[Decision ref]:[Decision ref]],Input_ForRateCalc[#Headers],0)),"-")</f>
        <v>2.89</v>
      </c>
      <c r="M219" s="55" cm="1">
        <f t="array" ref="M219">IFERROR(INDEX(Input_ForRateCalc[],MATCH($C219&amp;" - "&amp;M$103,Input_ForRateCalc[[Cost item]:[Cost item]],0),MATCH(Calc_TUV_Net_1[[#This Row],[Decision ref]:[Decision ref]],Input_ForRateCalc[#Headers],0)),"-")</f>
        <v>3.052</v>
      </c>
      <c r="N219" s="55" cm="1">
        <f t="array" ref="N219">IFERROR(INDEX(Input_ForRateCalc[],MATCH($C219&amp;" - "&amp;N$103,Input_ForRateCalc[[Cost item]:[Cost item]],0),MATCH(Calc_TUV_Net_1[[#This Row],[Decision ref]:[Decision ref]],Input_ForRateCalc[#Headers],0)),"-")</f>
        <v>3.28</v>
      </c>
      <c r="O219" s="55" cm="1">
        <f t="array" ref="O219">IFERROR(INDEX(Input_ForRateCalc[],MATCH($C219&amp;" - "&amp;O$103,Input_ForRateCalc[[Cost item]:[Cost item]],0),MATCH(Calc_TUV_Net_1[[#This Row],[Decision ref]:[Decision ref]],Input_ForRateCalc[#Headers],0)),"-")</f>
        <v>3.11</v>
      </c>
    </row>
    <row r="220" spans="3:15" hidden="1" outlineLevel="1" x14ac:dyDescent="0.25">
      <c r="C220" s="48" t="s">
        <v>254</v>
      </c>
      <c r="D220" s="71" t="str">
        <f>Calc_TU_values!$D$5</f>
        <v>VDO 2021 - Variation final</v>
      </c>
      <c r="E220" s="18" t="s">
        <v>353</v>
      </c>
      <c r="F220" s="71" t="str">
        <f>INDEX(Inputs!$H$10:$Q$10,1,MATCH($D220,Inputs!$H$8:$Q$8,0))</f>
        <v>VF-CurrentVDO_Input</v>
      </c>
      <c r="G220" s="47"/>
      <c r="H220" s="18" t="s">
        <v>66</v>
      </c>
      <c r="I220" s="18" t="s">
        <v>101</v>
      </c>
      <c r="J220" s="48" t="s">
        <v>32</v>
      </c>
      <c r="K220" s="56">
        <f>SUMIFS(TUNet_Usage_Actual_1[Value],TUNet_Usage_Actual_1[Customer type],Calc_TUV_Net_1[[#This Row],[Customer type]],TUNet_Usage_Actual_1[Description],"Usage per customer")*SUM(
IFERROR(K218/100*SUMIFS(Input_TUNet_Props[F-NextVDO_Input],Input_TUNet_Props[Customer type],Calc_TUV_Net_1[[#This Row],[Customer type]],Input_TUNet_Props[Usage type],"Peak"),0),
IFERROR(K219/100*SUMIFS(Input_TUNet_Props[F-NextVDO_Input],Input_TUNet_Props[Customer type],Calc_TUV_Net_1[[#This Row],[Customer type]],Input_TUNet_Props[Usage type],"Off peak"),0))</f>
        <v>0</v>
      </c>
      <c r="L220" s="56">
        <f>SUMIFS(TUNet_Usage_Actual_1[Value],TUNet_Usage_Actual_1[Customer type],Calc_TUV_Net_1[[#This Row],[Customer type]],TUNet_Usage_Actual_1[Description],"Usage per customer")*SUM(
IFERROR(L218/100*SUMIFS(Input_TUNet_Props[F-NextVDO_Input],Input_TUNet_Props[Customer type],Calc_TUV_Net_1[[#This Row],[Customer type]],Input_TUNet_Props[Usage type],"Peak"),0),
IFERROR(L219/100*SUMIFS(Input_TUNet_Props[F-NextVDO_Input],Input_TUNet_Props[Customer type],Calc_TUV_Net_1[[#This Row],[Customer type]],Input_TUNet_Props[Usage type],"Off peak"),0))</f>
        <v>0</v>
      </c>
      <c r="M220" s="56">
        <f>SUMIFS(TUNet_Usage_Actual_1[Value],TUNet_Usage_Actual_1[Customer type],Calc_TUV_Net_1[[#This Row],[Customer type]],TUNet_Usage_Actual_1[Description],"Usage per customer")*SUM(
IFERROR(M218/100*SUMIFS(Input_TUNet_Props[F-NextVDO_Input],Input_TUNet_Props[Customer type],Calc_TUV_Net_1[[#This Row],[Customer type]],Input_TUNet_Props[Usage type],"Peak"),0),
IFERROR(M219/100*SUMIFS(Input_TUNet_Props[F-NextVDO_Input],Input_TUNet_Props[Customer type],Calc_TUV_Net_1[[#This Row],[Customer type]],Input_TUNet_Props[Usage type],"Off peak"),0))</f>
        <v>0</v>
      </c>
      <c r="N220" s="56">
        <f>SUMIFS(TUNet_Usage_Actual_1[Value],TUNet_Usage_Actual_1[Customer type],Calc_TUV_Net_1[[#This Row],[Customer type]],TUNet_Usage_Actual_1[Description],"Usage per customer")*SUM(
IFERROR(N218/100*SUMIFS(Input_TUNet_Props[F-NextVDO_Input],Input_TUNet_Props[Customer type],Calc_TUV_Net_1[[#This Row],[Customer type]],Input_TUNet_Props[Usage type],"Peak"),0),
IFERROR(N219/100*SUMIFS(Input_TUNet_Props[F-NextVDO_Input],Input_TUNet_Props[Customer type],Calc_TUV_Net_1[[#This Row],[Customer type]],Input_TUNet_Props[Usage type],"Off peak"),0))</f>
        <v>0</v>
      </c>
      <c r="O220" s="56">
        <f>SUMIFS(TUNet_Usage_Actual_1[Value],TUNet_Usage_Actual_1[Customer type],Calc_TUV_Net_1[[#This Row],[Customer type]],TUNet_Usage_Actual_1[Description],"Usage per customer")*SUM(
IFERROR(O218/100*SUMIFS(Input_TUNet_Props[F-NextVDO_Input],Input_TUNet_Props[Customer type],Calc_TUV_Net_1[[#This Row],[Customer type]],Input_TUNet_Props[Usage type],"Peak"),0),
IFERROR(O219/100*SUMIFS(Input_TUNet_Props[F-NextVDO_Input],Input_TUNet_Props[Customer type],Calc_TUV_Net_1[[#This Row],[Customer type]],Input_TUNet_Props[Usage type],"Off peak"),0))</f>
        <v>0</v>
      </c>
    </row>
    <row r="221" spans="3:15" hidden="1" outlineLevel="1" x14ac:dyDescent="0.25">
      <c r="C221" s="48" t="s">
        <v>310</v>
      </c>
      <c r="D221" s="71" t="str">
        <f>INDEX(Input_DecisionActual[[Actual]:[Actual]],MATCH(Calc_TU_values!$D$5,Input_DecisionActual[[VDO period]:[VDO period]],0),1)</f>
        <v>VDO 2021 - Final</v>
      </c>
      <c r="E221" s="18" t="s">
        <v>354</v>
      </c>
      <c r="F221" s="71" t="str">
        <f>IF($D221="-","-",INDEX(Inputs!$H$10:$Q$10,1,MATCH($D221,Inputs!$H$8:$Q$8,0)))</f>
        <v>F-CurrentVDO_Input</v>
      </c>
      <c r="G221" s="47"/>
      <c r="H221" s="18" t="s">
        <v>66</v>
      </c>
      <c r="I221" s="18" t="s">
        <v>45</v>
      </c>
      <c r="J221" s="48" t="s">
        <v>32</v>
      </c>
      <c r="K221" s="55" cm="1">
        <f t="array" ref="K221">IFERROR(INDEX(Input_ForRateCalc[],MATCH($C221&amp;" - "&amp;K$103,Input_ForRateCalc[[Cost item]:[Cost item]],0),MATCH(Calc_TUV_Net_1[[#This Row],[Decision ref]:[Decision ref]],Input_ForRateCalc[#Headers],0)),"-")</f>
        <v>13.9602</v>
      </c>
      <c r="L221" s="55" t="str" cm="1">
        <f t="array" ref="L221">IFERROR(INDEX(Input_ForRateCalc[],MATCH($C221&amp;" - "&amp;L$103,Input_ForRateCalc[[Cost item]:[Cost item]],0),MATCH(Calc_TUV_Net_1[[#This Row],[Decision ref]:[Decision ref]],Input_ForRateCalc[#Headers],0)),"-")</f>
        <v>-</v>
      </c>
      <c r="M221" s="55" t="str" cm="1">
        <f t="array" ref="M221">IFERROR(INDEX(Input_ForRateCalc[],MATCH($C221&amp;" - "&amp;M$103,Input_ForRateCalc[[Cost item]:[Cost item]],0),MATCH(Calc_TUV_Net_1[[#This Row],[Decision ref]:[Decision ref]],Input_ForRateCalc[#Headers],0)),"-")</f>
        <v>-</v>
      </c>
      <c r="N221" s="55" t="str" cm="1">
        <f t="array" ref="N221">IFERROR(INDEX(Input_ForRateCalc[],MATCH($C221&amp;" - "&amp;N$103,Input_ForRateCalc[[Cost item]:[Cost item]],0),MATCH(Calc_TUV_Net_1[[#This Row],[Decision ref]:[Decision ref]],Input_ForRateCalc[#Headers],0)),"-")</f>
        <v>-</v>
      </c>
      <c r="O221" s="55" t="str" cm="1">
        <f t="array" ref="O221">IFERROR(INDEX(Input_ForRateCalc[],MATCH($C221&amp;" - "&amp;O$103,Input_ForRateCalc[[Cost item]:[Cost item]],0),MATCH(Calc_TUV_Net_1[[#This Row],[Decision ref]:[Decision ref]],Input_ForRateCalc[#Headers],0)),"-")</f>
        <v>-</v>
      </c>
    </row>
    <row r="222" spans="3:15" hidden="1" outlineLevel="1" x14ac:dyDescent="0.25">
      <c r="C222" s="48" t="s">
        <v>311</v>
      </c>
      <c r="D222" s="71" t="str">
        <f>INDEX(Input_DecisionActual[[Actual]:[Actual]],MATCH(Calc_TU_values!$D$5,Input_DecisionActual[[VDO period]:[VDO period]],0),1)</f>
        <v>VDO 2021 - Final</v>
      </c>
      <c r="E222" s="18" t="s">
        <v>354</v>
      </c>
      <c r="F222" s="71" t="str">
        <f>IF($D222="-","-",INDEX(Inputs!$H$10:$Q$10,1,MATCH($D222,Inputs!$H$8:$Q$8,0)))</f>
        <v>F-CurrentVDO_Input</v>
      </c>
      <c r="G222" s="47"/>
      <c r="H222" s="18" t="s">
        <v>66</v>
      </c>
      <c r="I222" s="18" t="s">
        <v>101</v>
      </c>
      <c r="J222" s="48" t="s">
        <v>32</v>
      </c>
      <c r="K222" s="55" cm="1">
        <f t="array" ref="K222">IFERROR(INDEX(Input_ForRateCalc[],MATCH($C222&amp;" - "&amp;K$103,Input_ForRateCalc[[Cost item]:[Cost item]],0),MATCH(Calc_TUV_Net_1[[#This Row],[Decision ref]:[Decision ref]],Input_ForRateCalc[#Headers],0)),"-")</f>
        <v>16.934899999999999</v>
      </c>
      <c r="L222" s="55" t="str" cm="1">
        <f t="array" ref="L222">IFERROR(INDEX(Input_ForRateCalc[],MATCH($C222&amp;" - "&amp;L$103,Input_ForRateCalc[[Cost item]:[Cost item]],0),MATCH(Calc_TUV_Net_1[[#This Row],[Decision ref]:[Decision ref]],Input_ForRateCalc[#Headers],0)),"-")</f>
        <v>-</v>
      </c>
      <c r="M222" s="55" t="str" cm="1">
        <f t="array" ref="M222">IFERROR(INDEX(Input_ForRateCalc[],MATCH($C222&amp;" - "&amp;M$103,Input_ForRateCalc[[Cost item]:[Cost item]],0),MATCH(Calc_TUV_Net_1[[#This Row],[Decision ref]:[Decision ref]],Input_ForRateCalc[#Headers],0)),"-")</f>
        <v>-</v>
      </c>
      <c r="N222" s="55" t="str" cm="1">
        <f t="array" ref="N222">IFERROR(INDEX(Input_ForRateCalc[],MATCH($C222&amp;" - "&amp;N$103,Input_ForRateCalc[[Cost item]:[Cost item]],0),MATCH(Calc_TUV_Net_1[[#This Row],[Decision ref]:[Decision ref]],Input_ForRateCalc[#Headers],0)),"-")</f>
        <v>-</v>
      </c>
      <c r="O222" s="55" t="str" cm="1">
        <f t="array" ref="O222">IFERROR(INDEX(Input_ForRateCalc[],MATCH($C222&amp;" - "&amp;O$103,Input_ForRateCalc[[Cost item]:[Cost item]],0),MATCH(Calc_TUV_Net_1[[#This Row],[Decision ref]:[Decision ref]],Input_ForRateCalc[#Headers],0)),"-")</f>
        <v>-</v>
      </c>
    </row>
    <row r="223" spans="3:15" hidden="1" outlineLevel="1" x14ac:dyDescent="0.25">
      <c r="C223" s="48" t="s">
        <v>312</v>
      </c>
      <c r="D223" s="71" t="str">
        <f>INDEX(Input_DecisionActual[[Actual]:[Actual]],MATCH(Calc_TU_values!$D$5,Input_DecisionActual[[VDO period]:[VDO period]],0),1)</f>
        <v>VDO 2021 - Final</v>
      </c>
      <c r="E223" s="18" t="s">
        <v>354</v>
      </c>
      <c r="F223" s="71" t="str">
        <f>IF($D223="-","-",INDEX(Inputs!$H$10:$Q$10,1,MATCH($D223,Inputs!$H$8:$Q$8,0)))</f>
        <v>F-CurrentVDO_Input</v>
      </c>
      <c r="G223" s="47"/>
      <c r="H223" s="18" t="s">
        <v>66</v>
      </c>
      <c r="I223" s="18" t="s">
        <v>101</v>
      </c>
      <c r="J223" s="48" t="s">
        <v>32</v>
      </c>
      <c r="K223" s="55" t="str" cm="1">
        <f t="array" ref="K223">IFERROR(INDEX(Input_ForRateCalc[],MATCH($C223&amp;" - "&amp;K$103,Input_ForRateCalc[[Cost item]:[Cost item]],0),MATCH(Calc_TUV_Net_1[[#This Row],[Decision ref]:[Decision ref]],Input_ForRateCalc[#Headers],0)),"-")</f>
        <v>-</v>
      </c>
      <c r="L223" s="55" cm="1">
        <f t="array" ref="L223">IFERROR(INDEX(Input_ForRateCalc[],MATCH($C223&amp;" - "&amp;L$103,Input_ForRateCalc[[Cost item]:[Cost item]],0),MATCH(Calc_TUV_Net_1[[#This Row],[Decision ref]:[Decision ref]],Input_ForRateCalc[#Headers],0)),"-")</f>
        <v>7.54</v>
      </c>
      <c r="M223" s="55" cm="1">
        <f t="array" ref="M223">IFERROR(INDEX(Input_ForRateCalc[],MATCH($C223&amp;" - "&amp;M$103,Input_ForRateCalc[[Cost item]:[Cost item]],0),MATCH(Calc_TUV_Net_1[[#This Row],[Decision ref]:[Decision ref]],Input_ForRateCalc[#Headers],0)),"-")</f>
        <v>9.3260000000000005</v>
      </c>
      <c r="N223" s="55" cm="1">
        <f t="array" ref="N223">IFERROR(INDEX(Input_ForRateCalc[],MATCH($C223&amp;" - "&amp;N$103,Input_ForRateCalc[[Cost item]:[Cost item]],0),MATCH(Calc_TUV_Net_1[[#This Row],[Decision ref]:[Decision ref]],Input_ForRateCalc[#Headers],0)),"-")</f>
        <v>8.44</v>
      </c>
      <c r="O223" s="55" cm="1">
        <f t="array" ref="O223">IFERROR(INDEX(Input_ForRateCalc[],MATCH($C223&amp;" - "&amp;O$103,Input_ForRateCalc[[Cost item]:[Cost item]],0),MATCH(Calc_TUV_Net_1[[#This Row],[Decision ref]:[Decision ref]],Input_ForRateCalc[#Headers],0)),"-")</f>
        <v>9.27</v>
      </c>
    </row>
    <row r="224" spans="3:15" hidden="1" outlineLevel="1" x14ac:dyDescent="0.25">
      <c r="C224" s="48" t="s">
        <v>254</v>
      </c>
      <c r="D224" s="71" t="str">
        <f>INDEX(Input_DecisionActual[[Actual]:[Actual]],MATCH(Calc_TU_values!$D$5,Input_DecisionActual[[VDO period]:[VDO period]],0),1)</f>
        <v>VDO 2021 - Final</v>
      </c>
      <c r="E224" s="18" t="s">
        <v>354</v>
      </c>
      <c r="F224" s="71" t="str">
        <f>IF($D224="-","-",INDEX(Inputs!$H$10:$Q$10,1,MATCH($D224,Inputs!$H$8:$Q$8,0)))</f>
        <v>F-CurrentVDO_Input</v>
      </c>
      <c r="G224" s="47"/>
      <c r="H224" s="18" t="s">
        <v>66</v>
      </c>
      <c r="I224" s="18" t="s">
        <v>101</v>
      </c>
      <c r="J224" s="48" t="s">
        <v>32</v>
      </c>
      <c r="K224" s="56">
        <f>SUMIFS(TUNet_Usage_Actual_1[Value],TUNet_Usage_Actual_1[Customer type],Calc_TUV_Net_1[[#This Row],[Customer type]],TUNet_Usage_Actual_1[Description],"Usage per customer")*SUM(
IFERROR(K221/100*SUMIFS(Input_TUNet_Props[F-NextVDO_Input],Input_TUNet_Props[Customer type],Calc_TUV_Net_1[[#This Row],[Customer type]],Input_TUNet_Props[Usage type],"Block 1"),0),
IFERROR(K222/100*SUMIFS(Input_TUNet_Props[F-NextVDO_Input],Input_TUNet_Props[Customer type],Calc_TUV_Net_1[[#This Row],[Customer type]],Input_TUNet_Props[Usage type],"Balance"),0),
IFERROR(K223/100*SUMIFS(Input_TUNet_Props[F-NextVDO_Input],Input_TUNet_Props[Customer type],Calc_TUV_Net_1[[#This Row],[Customer type]],Input_TUNet_Props[Usage type],"Single rate"),0))</f>
        <v>0</v>
      </c>
      <c r="L224" s="56">
        <f>SUMIFS(TUNet_Usage_Actual_1[Value],TUNet_Usage_Actual_1[Customer type],Calc_TUV_Net_1[[#This Row],[Customer type]],TUNet_Usage_Actual_1[Description],"Usage per customer")*SUM(
IFERROR(L221/100*SUMIFS(Input_TUNet_Props[F-NextVDO_Input],Input_TUNet_Props[Customer type],Calc_TUV_Net_1[[#This Row],[Customer type]],Input_TUNet_Props[Usage type],"Block 1"),0),
IFERROR(L222/100*SUMIFS(Input_TUNet_Props[F-NextVDO_Input],Input_TUNet_Props[Customer type],Calc_TUV_Net_1[[#This Row],[Customer type]],Input_TUNet_Props[Usage type],"Balance"),0),
IFERROR(L223/100*SUMIFS(Input_TUNet_Props[F-NextVDO_Input],Input_TUNet_Props[Customer type],Calc_TUV_Net_1[[#This Row],[Customer type]],Input_TUNet_Props[Usage type],"Single rate"),0))</f>
        <v>0</v>
      </c>
      <c r="M224" s="56">
        <f>SUMIFS(TUNet_Usage_Actual_1[Value],TUNet_Usage_Actual_1[Customer type],Calc_TUV_Net_1[[#This Row],[Customer type]],TUNet_Usage_Actual_1[Description],"Usage per customer")*SUM(
IFERROR(M221/100*SUMIFS(Input_TUNet_Props[F-NextVDO_Input],Input_TUNet_Props[Customer type],Calc_TUV_Net_1[[#This Row],[Customer type]],Input_TUNet_Props[Usage type],"Block 1"),0),
IFERROR(M222/100*SUMIFS(Input_TUNet_Props[F-NextVDO_Input],Input_TUNet_Props[Customer type],Calc_TUV_Net_1[[#This Row],[Customer type]],Input_TUNet_Props[Usage type],"Balance"),0),
IFERROR(M223/100*SUMIFS(Input_TUNet_Props[F-NextVDO_Input],Input_TUNet_Props[Customer type],Calc_TUV_Net_1[[#This Row],[Customer type]],Input_TUNet_Props[Usage type],"Single rate"),0))</f>
        <v>0</v>
      </c>
      <c r="N224" s="56">
        <f>SUMIFS(TUNet_Usage_Actual_1[Value],TUNet_Usage_Actual_1[Customer type],Calc_TUV_Net_1[[#This Row],[Customer type]],TUNet_Usage_Actual_1[Description],"Usage per customer")*SUM(
IFERROR(N221/100*SUMIFS(Input_TUNet_Props[F-NextVDO_Input],Input_TUNet_Props[Customer type],Calc_TUV_Net_1[[#This Row],[Customer type]],Input_TUNet_Props[Usage type],"Block 1"),0),
IFERROR(N222/100*SUMIFS(Input_TUNet_Props[F-NextVDO_Input],Input_TUNet_Props[Customer type],Calc_TUV_Net_1[[#This Row],[Customer type]],Input_TUNet_Props[Usage type],"Balance"),0),
IFERROR(N223/100*SUMIFS(Input_TUNet_Props[F-NextVDO_Input],Input_TUNet_Props[Customer type],Calc_TUV_Net_1[[#This Row],[Customer type]],Input_TUNet_Props[Usage type],"Single rate"),0))</f>
        <v>0</v>
      </c>
      <c r="O224" s="56">
        <f>SUMIFS(TUNet_Usage_Actual_1[Value],TUNet_Usage_Actual_1[Customer type],Calc_TUV_Net_1[[#This Row],[Customer type]],TUNet_Usage_Actual_1[Description],"Usage per customer")*SUM(
IFERROR(O221/100*SUMIFS(Input_TUNet_Props[F-NextVDO_Input],Input_TUNet_Props[Customer type],Calc_TUV_Net_1[[#This Row],[Customer type]],Input_TUNet_Props[Usage type],"Block 1"),0),
IFERROR(O222/100*SUMIFS(Input_TUNet_Props[F-NextVDO_Input],Input_TUNet_Props[Customer type],Calc_TUV_Net_1[[#This Row],[Customer type]],Input_TUNet_Props[Usage type],"Balance"),0),
IFERROR(O223/100*SUMIFS(Input_TUNet_Props[F-NextVDO_Input],Input_TUNet_Props[Customer type],Calc_TUV_Net_1[[#This Row],[Customer type]],Input_TUNet_Props[Usage type],"Single rate"),0))</f>
        <v>0</v>
      </c>
    </row>
    <row r="225" spans="2:17" hidden="1" outlineLevel="1" x14ac:dyDescent="0.25">
      <c r="C225" s="48" t="s">
        <v>255</v>
      </c>
      <c r="D225" s="48"/>
      <c r="E225" s="48"/>
      <c r="F225" s="48"/>
      <c r="G225" s="48"/>
      <c r="H225" s="18" t="s">
        <v>66</v>
      </c>
      <c r="I225" s="18" t="s">
        <v>45</v>
      </c>
      <c r="J225" s="48" t="s">
        <v>32</v>
      </c>
      <c r="K225" s="54" t="str">
        <f>IF(K224=0,"-",K220-K224)</f>
        <v>-</v>
      </c>
      <c r="L225" s="54" t="str">
        <f t="shared" ref="L225:O225" si="71">IF(L224=0,"-",L220-L224)</f>
        <v>-</v>
      </c>
      <c r="M225" s="54" t="str">
        <f t="shared" si="71"/>
        <v>-</v>
      </c>
      <c r="N225" s="54" t="str">
        <f t="shared" si="71"/>
        <v>-</v>
      </c>
      <c r="O225" s="54" t="str">
        <f t="shared" si="71"/>
        <v>-</v>
      </c>
    </row>
    <row r="226" spans="2:17" hidden="1" outlineLevel="1" x14ac:dyDescent="0.25">
      <c r="C226" s="48" t="s">
        <v>296</v>
      </c>
      <c r="D226" s="48"/>
      <c r="E226" s="48"/>
      <c r="F226" s="48"/>
      <c r="G226" s="48"/>
      <c r="H226" s="18" t="s">
        <v>66</v>
      </c>
      <c r="I226" s="18" t="s">
        <v>45</v>
      </c>
      <c r="J226" s="48" t="s">
        <v>32</v>
      </c>
      <c r="K226" s="55" t="str">
        <f>IFERROR(IF($D$11="Yes",K225*(1+WACC_adj_1),""),"-")</f>
        <v/>
      </c>
      <c r="L226" s="55" t="str">
        <f>IFERROR(IF($D$11="Yes",L225*(1+WACC_adj_1),""),"-")</f>
        <v/>
      </c>
      <c r="M226" s="55" t="str">
        <f>IFERROR(IF($D$11="Yes",M225*(1+WACC_adj_1),""),"-")</f>
        <v/>
      </c>
      <c r="N226" s="55" t="str">
        <f>IFERROR(IF($D$11="Yes",N225*(1+WACC_adj_1),""),"-")</f>
        <v/>
      </c>
      <c r="O226" s="55" t="str">
        <f>IFERROR(IF($D$11="Yes",O225*(1+WACC_adj_1),""),"-")</f>
        <v/>
      </c>
    </row>
    <row r="227" spans="2:17" hidden="1" outlineLevel="1" x14ac:dyDescent="0.25">
      <c r="C227" s="48" t="s">
        <v>257</v>
      </c>
      <c r="D227" s="71" t="str">
        <f>INDEX(Input_DecisionActual[[Actual]:[Actual]],MATCH(Calc_TU_values!$D$5,Input_DecisionActual[[VDO period]:[VDO period]],0),1)</f>
        <v>VDO 2021 - Final</v>
      </c>
      <c r="E227" s="18" t="s">
        <v>354</v>
      </c>
      <c r="F227" s="71" t="str">
        <f>IF($D227="-","-",INDEX(Inputs!$H$10:$Q$10,1,MATCH($D227,Inputs!$H$8:$Q$8,0)))</f>
        <v>F-CurrentVDO_Input</v>
      </c>
      <c r="G227" s="48"/>
      <c r="H227" s="18" t="s">
        <v>66</v>
      </c>
      <c r="I227" s="18" t="s">
        <v>45</v>
      </c>
      <c r="J227" s="48" t="s">
        <v>32</v>
      </c>
      <c r="K227" s="55" cm="1">
        <f t="array" ref="K227">IFERROR(SUM(K225:K226)*(INDEX(Inputs!$H$11:$Q$125,MATCH("Retail operating margin",Input_ForRateCalc[[Cost item]:[Cost item]],0),MATCH(Calc_TUV_Net_1[[#This Row],[Decision ref]:[Decision ref]],Inputs!$H$10:$Q$10,0))),"-")</f>
        <v>0</v>
      </c>
      <c r="L227" s="55" cm="1">
        <f t="array" ref="L227">IFERROR(SUM(L225:L226)*(INDEX(Inputs!$H$11:$Q$125,MATCH("Retail operating margin",Input_ForRateCalc[[Cost item]:[Cost item]],0),MATCH(Calc_TUV_Net_1[[#This Row],[Decision ref]:[Decision ref]],Inputs!$H$10:$Q$10,0))),"-")</f>
        <v>0</v>
      </c>
      <c r="M227" s="55" cm="1">
        <f t="array" ref="M227">IFERROR(SUM(M225:M226)*(INDEX(Inputs!$H$11:$Q$125,MATCH("Retail operating margin",Input_ForRateCalc[[Cost item]:[Cost item]],0),MATCH(Calc_TUV_Net_1[[#This Row],[Decision ref]:[Decision ref]],Inputs!$H$10:$Q$10,0))),"-")</f>
        <v>0</v>
      </c>
      <c r="N227" s="55" cm="1">
        <f t="array" ref="N227">IFERROR(SUM(N225:N226)*(INDEX(Inputs!$H$11:$Q$125,MATCH("Retail operating margin",Input_ForRateCalc[[Cost item]:[Cost item]],0),MATCH(Calc_TUV_Net_1[[#This Row],[Decision ref]:[Decision ref]],Inputs!$H$10:$Q$10,0))),"-")</f>
        <v>0</v>
      </c>
      <c r="O227" s="55" cm="1">
        <f t="array" ref="O227">IFERROR(SUM(O225:O226)*(INDEX(Inputs!$H$11:$Q$125,MATCH("Retail operating margin",Input_ForRateCalc[[Cost item]:[Cost item]],0),MATCH(Calc_TUV_Net_1[[#This Row],[Decision ref]:[Decision ref]],Inputs!$H$10:$Q$10,0))),"-")</f>
        <v>0</v>
      </c>
    </row>
    <row r="228" spans="2:17" hidden="1" outlineLevel="1" x14ac:dyDescent="0.25">
      <c r="C228" s="48" t="s">
        <v>297</v>
      </c>
      <c r="D228" s="48"/>
      <c r="E228" s="48"/>
      <c r="F228" s="48"/>
      <c r="G228" s="48"/>
      <c r="H228" s="18" t="s">
        <v>66</v>
      </c>
      <c r="I228" s="18" t="s">
        <v>45</v>
      </c>
      <c r="J228" s="48" t="s">
        <v>32</v>
      </c>
      <c r="K228" s="55" t="str">
        <f>IF(K224=0,"-",SUM(K225:K227)*GST)</f>
        <v>-</v>
      </c>
      <c r="L228" s="55" t="str">
        <f>IF(L224=0,"-",SUM(L225:L227)*GST)</f>
        <v>-</v>
      </c>
      <c r="M228" s="55" t="str">
        <f>IF(M224=0,"-",SUM(M225:M227)*GST)</f>
        <v>-</v>
      </c>
      <c r="N228" s="55" t="str">
        <f>IF(N224=0,"-",SUM(N225:N227)*GST)</f>
        <v>-</v>
      </c>
      <c r="O228" s="55" t="str">
        <f>IF(O224=0,"-",SUM(O225:O227)*GST)</f>
        <v>-</v>
      </c>
    </row>
    <row r="229" spans="2:17" hidden="1" outlineLevel="1" x14ac:dyDescent="0.25">
      <c r="C229" s="18" t="s">
        <v>326</v>
      </c>
      <c r="D229" s="48"/>
      <c r="E229" s="48"/>
      <c r="F229" s="48"/>
      <c r="H229" s="18" t="s">
        <v>66</v>
      </c>
      <c r="I229" s="18" t="s">
        <v>45</v>
      </c>
      <c r="J229" s="48" t="s">
        <v>32</v>
      </c>
      <c r="K229" s="55" t="str">
        <f>IF(K224=0,"-",SUM(K225:K228))</f>
        <v>-</v>
      </c>
      <c r="L229" s="55" t="str">
        <f t="shared" ref="L229:O229" si="72">IF(L224=0,"-",SUM(L225:L228))</f>
        <v>-</v>
      </c>
      <c r="M229" s="55" t="str">
        <f t="shared" si="72"/>
        <v>-</v>
      </c>
      <c r="N229" s="55" t="str">
        <f t="shared" si="72"/>
        <v>-</v>
      </c>
      <c r="O229" s="55" t="str">
        <f t="shared" si="72"/>
        <v>-</v>
      </c>
    </row>
    <row r="230" spans="2:17" hidden="1" outlineLevel="1" x14ac:dyDescent="0.25">
      <c r="C230" s="46"/>
      <c r="D230" s="46"/>
      <c r="E230" s="46"/>
      <c r="F230" s="46"/>
      <c r="G230" s="57"/>
      <c r="H230" s="57"/>
      <c r="I230" s="18"/>
      <c r="J230" s="18"/>
      <c r="K230" s="54"/>
      <c r="L230" s="18"/>
      <c r="M230" s="18"/>
      <c r="N230" s="18"/>
      <c r="O230" s="18"/>
    </row>
    <row r="231" spans="2:17" hidden="1" outlineLevel="1" x14ac:dyDescent="0.25"/>
    <row r="232" spans="2:17" hidden="1" x14ac:dyDescent="0.25"/>
    <row r="235" spans="2:17" ht="15.75" x14ac:dyDescent="0.25">
      <c r="C235" s="43" t="s">
        <v>36</v>
      </c>
      <c r="D235" s="32" t="str">
        <f>Calc_Rates!$D$249</f>
        <v>VDO 2022 - Draft</v>
      </c>
    </row>
    <row r="237" spans="2:17" ht="16.5" thickBot="1" x14ac:dyDescent="0.3">
      <c r="B237" s="7">
        <f ca="1">MAX(B$3:B236)+0.1</f>
        <v>8.2999999999999989</v>
      </c>
      <c r="C237" s="22" t="s">
        <v>250</v>
      </c>
      <c r="D237" s="22"/>
      <c r="E237" s="22"/>
      <c r="F237" s="22"/>
      <c r="G237" s="22"/>
      <c r="H237" s="22"/>
      <c r="I237" s="22"/>
      <c r="J237" s="22"/>
      <c r="K237" s="22"/>
      <c r="L237" s="22"/>
      <c r="M237" s="22"/>
      <c r="N237" s="22"/>
      <c r="O237" s="22"/>
      <c r="P237" s="22"/>
      <c r="Q237" s="22"/>
    </row>
    <row r="239" spans="2:17" ht="15.75" x14ac:dyDescent="0.25">
      <c r="C239" s="43" t="s">
        <v>304</v>
      </c>
      <c r="D239" s="124">
        <v>12</v>
      </c>
      <c r="H239" s="33" t="s">
        <v>24</v>
      </c>
      <c r="I239" s="174" t="s">
        <v>38</v>
      </c>
      <c r="J239" s="174" t="s">
        <v>30</v>
      </c>
      <c r="K239" s="126" t="s">
        <v>204</v>
      </c>
      <c r="L239" s="126" t="s">
        <v>205</v>
      </c>
      <c r="M239" s="126" t="s">
        <v>206</v>
      </c>
      <c r="N239" s="126" t="s">
        <v>207</v>
      </c>
      <c r="O239" s="126" t="s">
        <v>208</v>
      </c>
      <c r="P239" s="42" t="s">
        <v>371</v>
      </c>
    </row>
    <row r="240" spans="2:17" ht="15.75" outlineLevel="1" x14ac:dyDescent="0.25">
      <c r="C240" s="43" t="s">
        <v>303</v>
      </c>
      <c r="D240" s="125">
        <f>D239/MiY</f>
        <v>1</v>
      </c>
      <c r="H240" s="48" t="s">
        <v>258</v>
      </c>
      <c r="I240" s="18" t="s">
        <v>67</v>
      </c>
      <c r="J240" s="48" t="s">
        <v>46</v>
      </c>
      <c r="K240" s="179">
        <f>INDEX(Calc_TUV_Env_2[[Ausnet]:[United Energy]],MATCH($H240,Calc_TUV_Env_2[[Cost item]:[Cost item]],0),MATCH(K$239,Calc_TUV_Env_2[[#Headers],[Ausnet]:[United Energy]],0))*1000</f>
        <v>-0.1290381301027009</v>
      </c>
      <c r="L240" s="179">
        <f>INDEX(Calc_TUV_Env_2[[Ausnet]:[United Energy]],MATCH($H240,Calc_TUV_Env_2[[Cost item]:[Cost item]],0),MATCH(L$239,Calc_TUV_Env_2[[#Headers],[Ausnet]:[United Energy]],0))*1000</f>
        <v>-0.126807719527189</v>
      </c>
      <c r="M240" s="179">
        <f>INDEX(Calc_TUV_Env_2[[Ausnet]:[United Energy]],MATCH($H240,Calc_TUV_Env_2[[Cost item]:[Cost item]],0),MATCH(M$239,Calc_TUV_Env_2[[#Headers],[Ausnet]:[United Energy]],0))*1000</f>
        <v>-0.12548304982466096</v>
      </c>
      <c r="N240" s="179">
        <f>INDEX(Calc_TUV_Env_2[[Ausnet]:[United Energy]],MATCH($H240,Calc_TUV_Env_2[[Cost item]:[Cost item]],0),MATCH(N$239,Calc_TUV_Env_2[[#Headers],[Ausnet]:[United Energy]],0))*1000</f>
        <v>-0.12952664283442072</v>
      </c>
      <c r="O240" s="179">
        <f>INDEX(Calc_TUV_Env_2[[Ausnet]:[United Energy]],MATCH($H240,Calc_TUV_Env_2[[Cost item]:[Cost item]],0),MATCH(O$239,Calc_TUV_Env_2[[#Headers],[Ausnet]:[United Energy]],0))*1000</f>
        <v>-0.12727026118886395</v>
      </c>
      <c r="P240" s="179">
        <f>AVERAGE(K240:O240)</f>
        <v>-0.12762516069556712</v>
      </c>
    </row>
    <row r="241" spans="3:20" ht="15.75" outlineLevel="1" x14ac:dyDescent="0.25">
      <c r="C241" s="43" t="s">
        <v>296</v>
      </c>
      <c r="D241" s="124" t="s">
        <v>253</v>
      </c>
      <c r="H241" s="48" t="s">
        <v>260</v>
      </c>
      <c r="I241" s="18" t="s">
        <v>67</v>
      </c>
      <c r="J241" s="48" t="s">
        <v>46</v>
      </c>
      <c r="K241" s="179">
        <f>INDEX(Calc_TUV_Env_2[[Ausnet]:[United Energy]],MATCH($H241,Calc_TUV_Env_2[[Cost item]:[Cost item]],0),MATCH(K$239,Calc_TUV_Env_2[[#Headers],[Ausnet]:[United Energy]],0))*1000</f>
        <v>3.4352084792230904</v>
      </c>
      <c r="L241" s="179">
        <f>INDEX(Calc_TUV_Env_2[[Ausnet]:[United Energy]],MATCH($H241,Calc_TUV_Env_2[[Cost item]:[Cost item]],0),MATCH(L$239,Calc_TUV_Env_2[[#Headers],[Ausnet]:[United Energy]],0))*1000</f>
        <v>3.3758312601402558</v>
      </c>
      <c r="M241" s="179">
        <f>INDEX(Calc_TUV_Env_2[[Ausnet]:[United Energy]],MATCH($H241,Calc_TUV_Env_2[[Cost item]:[Cost item]],0),MATCH(M$239,Calc_TUV_Env_2[[#Headers],[Ausnet]:[United Energy]],0))*1000</f>
        <v>3.3405663613799246</v>
      </c>
      <c r="N241" s="179">
        <f>INDEX(Calc_TUV_Env_2[[Ausnet]:[United Energy]],MATCH($H241,Calc_TUV_Env_2[[Cost item]:[Cost item]],0),MATCH(N$239,Calc_TUV_Env_2[[#Headers],[Ausnet]:[United Energy]],0))*1000</f>
        <v>3.4482134962430728</v>
      </c>
      <c r="O241" s="179">
        <f>INDEX(Calc_TUV_Env_2[[Ausnet]:[United Energy]],MATCH($H241,Calc_TUV_Env_2[[Cost item]:[Cost item]],0),MATCH(O$239,Calc_TUV_Env_2[[#Headers],[Ausnet]:[United Energy]],0))*1000</f>
        <v>3.3881448843140962</v>
      </c>
      <c r="P241" s="179">
        <f t="shared" ref="P241:P242" si="73">AVERAGE(K241:O241)</f>
        <v>3.3975928962600874</v>
      </c>
    </row>
    <row r="242" spans="3:20" ht="15.75" outlineLevel="1" x14ac:dyDescent="0.25">
      <c r="C242" s="43" t="s">
        <v>347</v>
      </c>
      <c r="D242" s="125">
        <f>(1+WACC)^(1/1)-1</f>
        <v>6.5500000000000114E-2</v>
      </c>
      <c r="H242" s="116" t="s">
        <v>262</v>
      </c>
      <c r="I242" s="18" t="s">
        <v>67</v>
      </c>
      <c r="J242" s="48" t="s">
        <v>46</v>
      </c>
      <c r="K242" s="179">
        <f>INDEX(Calc_TUV_Env_2[[Ausnet]:[United Energy]],MATCH($H242,Calc_TUV_Env_2[[Cost item]:[Cost item]],0),MATCH(K$239,Calc_TUV_Env_2[[#Headers],[Ausnet]:[United Energy]],0))*1000</f>
        <v>0</v>
      </c>
      <c r="L242" s="179">
        <f>INDEX(Calc_TUV_Env_2[[Ausnet]:[United Energy]],MATCH($H242,Calc_TUV_Env_2[[Cost item]:[Cost item]],0),MATCH(L$239,Calc_TUV_Env_2[[#Headers],[Ausnet]:[United Energy]],0))*1000</f>
        <v>0</v>
      </c>
      <c r="M242" s="179">
        <f>INDEX(Calc_TUV_Env_2[[Ausnet]:[United Energy]],MATCH($H242,Calc_TUV_Env_2[[Cost item]:[Cost item]],0),MATCH(M$239,Calc_TUV_Env_2[[#Headers],[Ausnet]:[United Energy]],0))*1000</f>
        <v>0</v>
      </c>
      <c r="N242" s="179">
        <f>INDEX(Calc_TUV_Env_2[[Ausnet]:[United Energy]],MATCH($H242,Calc_TUV_Env_2[[Cost item]:[Cost item]],0),MATCH(N$239,Calc_TUV_Env_2[[#Headers],[Ausnet]:[United Energy]],0))*1000</f>
        <v>0</v>
      </c>
      <c r="O242" s="179">
        <f>INDEX(Calc_TUV_Env_2[[Ausnet]:[United Energy]],MATCH($H242,Calc_TUV_Env_2[[Cost item]:[Cost item]],0),MATCH(O$239,Calc_TUV_Env_2[[#Headers],[Ausnet]:[United Energy]],0))*1000</f>
        <v>0</v>
      </c>
      <c r="P242" s="179">
        <f t="shared" si="73"/>
        <v>0</v>
      </c>
    </row>
    <row r="243" spans="3:20" outlineLevel="1" x14ac:dyDescent="0.25"/>
    <row r="244" spans="3:20" ht="15.75" outlineLevel="1" x14ac:dyDescent="0.25">
      <c r="C244" s="23" t="s">
        <v>406</v>
      </c>
    </row>
    <row r="245" spans="3:20" ht="15.75" outlineLevel="1" x14ac:dyDescent="0.25">
      <c r="C245" s="34" t="s">
        <v>24</v>
      </c>
      <c r="D245" s="34" t="s">
        <v>36</v>
      </c>
      <c r="E245" s="34" t="s">
        <v>352</v>
      </c>
      <c r="F245" s="34" t="s">
        <v>355</v>
      </c>
      <c r="G245" s="34" t="s">
        <v>251</v>
      </c>
      <c r="H245" s="34" t="s">
        <v>37</v>
      </c>
      <c r="I245" s="34" t="s">
        <v>38</v>
      </c>
      <c r="J245" s="33" t="s">
        <v>30</v>
      </c>
      <c r="K245" s="49" t="s">
        <v>204</v>
      </c>
      <c r="L245" s="49" t="s">
        <v>205</v>
      </c>
      <c r="M245" s="49" t="s">
        <v>206</v>
      </c>
      <c r="N245" s="49" t="s">
        <v>207</v>
      </c>
      <c r="O245" s="49" t="s">
        <v>208</v>
      </c>
    </row>
    <row r="246" spans="3:20" outlineLevel="1" x14ac:dyDescent="0.25">
      <c r="C246" s="18"/>
      <c r="D246" s="18"/>
      <c r="E246" s="18"/>
      <c r="F246" s="18"/>
      <c r="G246" s="18"/>
      <c r="H246" s="18"/>
      <c r="I246" s="18"/>
      <c r="J246" s="18"/>
      <c r="K246" s="18"/>
      <c r="L246" s="18"/>
      <c r="M246" s="18"/>
      <c r="N246" s="18"/>
      <c r="O246" s="18"/>
    </row>
    <row r="247" spans="3:20" outlineLevel="1" x14ac:dyDescent="0.25">
      <c r="C247" s="46" t="s">
        <v>252</v>
      </c>
      <c r="D247" s="46"/>
      <c r="E247" s="46"/>
      <c r="F247" s="46"/>
      <c r="G247" s="57" t="s">
        <v>395</v>
      </c>
      <c r="H247" s="57"/>
      <c r="I247" s="18"/>
      <c r="J247" s="18"/>
      <c r="K247" s="18"/>
      <c r="L247" s="18"/>
      <c r="M247" s="18"/>
      <c r="N247" s="18"/>
      <c r="O247" s="18"/>
    </row>
    <row r="248" spans="3:20" outlineLevel="1" x14ac:dyDescent="0.25">
      <c r="C248" s="18" t="s">
        <v>90</v>
      </c>
      <c r="D248" s="71" t="str">
        <f>Calc_TU_values!$D$235</f>
        <v>VDO 2022 - Draft</v>
      </c>
      <c r="E248" s="18" t="s">
        <v>353</v>
      </c>
      <c r="F248" s="71" t="str">
        <f>INDEX(Inputs!$H$10:$Q$10,1,MATCH($D248,Inputs!$H$8:$Q$8,0))</f>
        <v>D-NextVDO_Input</v>
      </c>
      <c r="G248" s="47"/>
      <c r="H248" s="18" t="s">
        <v>66</v>
      </c>
      <c r="I248" s="18" t="s">
        <v>89</v>
      </c>
      <c r="J248" s="48" t="s">
        <v>46</v>
      </c>
      <c r="K248" s="54">
        <f>IFERROR(INDEX(Input_TUEnv_Actual[],MATCH($C248,Input_TUEnv_Actual[Cost item],0),MATCH($F248,Input_TUEnv_Actual[#Headers],0)),"-")</f>
        <v>35.75</v>
      </c>
      <c r="L248" s="54">
        <f>IFERROR(INDEX(Input_TUEnv_Actual[],MATCH($C248,Input_TUEnv_Actual[Cost item],0),MATCH($F248,Input_TUEnv_Actual[#Headers],0)),"-")</f>
        <v>35.75</v>
      </c>
      <c r="M248" s="54">
        <f>IFERROR(INDEX(Input_TUEnv_Actual[],MATCH($C248,Input_TUEnv_Actual[Cost item],0),MATCH($F248,Input_TUEnv_Actual[#Headers],0)),"-")</f>
        <v>35.75</v>
      </c>
      <c r="N248" s="54">
        <f>IFERROR(INDEX(Input_TUEnv_Actual[],MATCH($C248,Input_TUEnv_Actual[Cost item],0),MATCH($F248,Input_TUEnv_Actual[#Headers],0)),"-")</f>
        <v>35.75</v>
      </c>
      <c r="O248" s="54">
        <f>IFERROR(INDEX(Input_TUEnv_Actual[],MATCH($C248,Input_TUEnv_Actual[Cost item],0),MATCH($F248,Input_TUEnv_Actual[#Headers],0)),"-")</f>
        <v>35.75</v>
      </c>
    </row>
    <row r="249" spans="3:20" outlineLevel="1" x14ac:dyDescent="0.25">
      <c r="C249" s="18" t="s">
        <v>94</v>
      </c>
      <c r="D249" s="71" t="str">
        <f>Calc_TU_values!$D$235</f>
        <v>VDO 2022 - Draft</v>
      </c>
      <c r="E249" s="18" t="s">
        <v>353</v>
      </c>
      <c r="F249" s="71" t="str">
        <f>INDEX(Inputs!$H$10:$Q$10,1,MATCH($D249,Inputs!$H$8:$Q$8,0))</f>
        <v>D-NextVDO_Input</v>
      </c>
      <c r="G249" s="47"/>
      <c r="H249" s="18" t="s">
        <v>66</v>
      </c>
      <c r="I249" s="18" t="s">
        <v>93</v>
      </c>
      <c r="J249" s="48" t="s">
        <v>46</v>
      </c>
      <c r="K249" s="56">
        <f>IFERROR(INDEX(Input_TUEnv_Actual[],MATCH($C249,Input_TUEnv_Actual[Cost item],0),MATCH($F249,Input_TUEnv_Actual[#Headers],0)),"-")</f>
        <v>0.18540000000000001</v>
      </c>
      <c r="L249" s="56">
        <f>IFERROR(INDEX(Input_TUEnv_Actual[],MATCH($C249,Input_TUEnv_Actual[Cost item],0),MATCH($F249,Input_TUEnv_Actual[#Headers],0)),"-")</f>
        <v>0.18540000000000001</v>
      </c>
      <c r="M249" s="56">
        <f>IFERROR(INDEX(Input_TUEnv_Actual[],MATCH($C249,Input_TUEnv_Actual[Cost item],0),MATCH($F249,Input_TUEnv_Actual[#Headers],0)),"-")</f>
        <v>0.18540000000000001</v>
      </c>
      <c r="N249" s="56">
        <f>IFERROR(INDEX(Input_TUEnv_Actual[],MATCH($C249,Input_TUEnv_Actual[Cost item],0),MATCH($F249,Input_TUEnv_Actual[#Headers],0)),"-")</f>
        <v>0.18540000000000001</v>
      </c>
      <c r="O249" s="56">
        <f>IFERROR(INDEX(Input_TUEnv_Actual[],MATCH($C249,Input_TUEnv_Actual[Cost item],0),MATCH($F249,Input_TUEnv_Actual[#Headers],0)),"-")</f>
        <v>0.18540000000000001</v>
      </c>
    </row>
    <row r="250" spans="3:20" outlineLevel="1" x14ac:dyDescent="0.25">
      <c r="C250" s="18" t="s">
        <v>254</v>
      </c>
      <c r="D250" s="71" t="str">
        <f>Calc_TU_values!$D$235</f>
        <v>VDO 2022 - Draft</v>
      </c>
      <c r="E250" s="18" t="s">
        <v>353</v>
      </c>
      <c r="F250" s="71" t="str">
        <f>INDEX(Inputs!$H$10:$Q$10,1,MATCH($D250,Inputs!$H$8:$Q$8,0))</f>
        <v>D-NextVDO_Input</v>
      </c>
      <c r="G250" s="47"/>
      <c r="H250" s="18" t="s">
        <v>66</v>
      </c>
      <c r="I250" s="18" t="s">
        <v>218</v>
      </c>
      <c r="J250" s="48" t="s">
        <v>46</v>
      </c>
      <c r="K250" s="53">
        <f>K248*K249/1000</f>
        <v>6.6280499999999999E-3</v>
      </c>
      <c r="L250" s="53">
        <f t="shared" ref="L250" si="74">L248*L249/1000</f>
        <v>6.6280499999999999E-3</v>
      </c>
      <c r="M250" s="53">
        <f t="shared" ref="M250" si="75">M248*M249/1000</f>
        <v>6.6280499999999999E-3</v>
      </c>
      <c r="N250" s="53">
        <f t="shared" ref="N250" si="76">N248*N249/1000</f>
        <v>6.6280499999999999E-3</v>
      </c>
      <c r="O250" s="53">
        <f t="shared" ref="O250" si="77">O248*O249/1000</f>
        <v>6.6280499999999999E-3</v>
      </c>
    </row>
    <row r="251" spans="3:20" outlineLevel="1" x14ac:dyDescent="0.25">
      <c r="C251" s="18" t="s">
        <v>90</v>
      </c>
      <c r="D251" s="71" t="str">
        <f>INDEX(Input_DecisionActual[[Actual]:[Actual]],MATCH(Calc_TU_values!$D$235,Input_DecisionActual[[VDO period]:[VDO period]],0),1)</f>
        <v>VDO 2021 - Final</v>
      </c>
      <c r="E251" s="18" t="s">
        <v>354</v>
      </c>
      <c r="F251" s="71" t="str">
        <f>IF($D251="-","-",INDEX(Inputs!$H$10:$Q$10,1,MATCH($D251,Inputs!$H$8:$Q$8,0)))</f>
        <v>F-CurrentVDO_Input</v>
      </c>
      <c r="G251" s="47"/>
      <c r="H251" s="18" t="s">
        <v>66</v>
      </c>
      <c r="I251" s="18" t="s">
        <v>89</v>
      </c>
      <c r="J251" s="48" t="s">
        <v>46</v>
      </c>
      <c r="K251" s="55">
        <f>IFERROR(INDEX(Inputs!$H$11:$Q$125,MATCH($C251,Input_ForRateCalc[Cost item],0),MATCH($F251,Inputs!$H$10:$Q$10,0)),"-")</f>
        <v>35.75</v>
      </c>
      <c r="L251" s="55">
        <f>IFERROR(INDEX(Inputs!$H$11:$Q$125,MATCH($C251,Input_ForRateCalc[Cost item],0),MATCH($F251,Inputs!$H$10:$Q$10,0)),"-")</f>
        <v>35.75</v>
      </c>
      <c r="M251" s="55">
        <f>IFERROR(INDEX(Inputs!$H$11:$Q$125,MATCH($C251,Input_ForRateCalc[Cost item],0),MATCH($F251,Inputs!$H$10:$Q$10,0)),"-")</f>
        <v>35.75</v>
      </c>
      <c r="N251" s="55">
        <f>IFERROR(INDEX(Inputs!$H$11:$Q$125,MATCH($C251,Input_ForRateCalc[Cost item],0),MATCH($F251,Inputs!$H$10:$Q$10,0)),"-")</f>
        <v>35.75</v>
      </c>
      <c r="O251" s="55">
        <f>IFERROR(INDEX(Inputs!$H$11:$Q$125,MATCH($C251,Input_ForRateCalc[Cost item],0),MATCH($F251,Inputs!$H$10:$Q$10,0)),"-")</f>
        <v>35.75</v>
      </c>
    </row>
    <row r="252" spans="3:20" outlineLevel="1" x14ac:dyDescent="0.25">
      <c r="C252" s="18" t="s">
        <v>94</v>
      </c>
      <c r="D252" s="71" t="str">
        <f>INDEX(Input_DecisionActual[[Actual]:[Actual]],MATCH(Calc_TU_values!$D$235,Input_DecisionActual[[VDO period]:[VDO period]],0),1)</f>
        <v>VDO 2021 - Final</v>
      </c>
      <c r="E252" s="18" t="s">
        <v>354</v>
      </c>
      <c r="F252" s="71" t="str">
        <f>IF($D252="-","-",INDEX(Inputs!$H$10:$Q$10,1,MATCH($D252,Inputs!$H$8:$Q$8,0)))</f>
        <v>F-CurrentVDO_Input</v>
      </c>
      <c r="G252" s="47"/>
      <c r="H252" s="18" t="s">
        <v>66</v>
      </c>
      <c r="I252" s="18" t="s">
        <v>93</v>
      </c>
      <c r="J252" s="48" t="s">
        <v>46</v>
      </c>
      <c r="K252" s="56">
        <f>IFERROR(INDEX(Inputs!$H$11:$Q$125,MATCH($C252,Input_ForRateCalc[Cost item],0),MATCH($F252,Inputs!$H$10:$Q$10,0)),"-")</f>
        <v>0.1883</v>
      </c>
      <c r="L252" s="56">
        <f>IFERROR(INDEX(Inputs!$H$11:$Q$125,MATCH($C252,Input_ForRateCalc[Cost item],0),MATCH($F252,Inputs!$H$10:$Q$10,0)),"-")</f>
        <v>0.1883</v>
      </c>
      <c r="M252" s="56">
        <f>IFERROR(INDEX(Inputs!$H$11:$Q$125,MATCH($C252,Input_ForRateCalc[Cost item],0),MATCH($F252,Inputs!$H$10:$Q$10,0)),"-")</f>
        <v>0.1883</v>
      </c>
      <c r="N252" s="56">
        <f>IFERROR(INDEX(Inputs!$H$11:$Q$125,MATCH($C252,Input_ForRateCalc[Cost item],0),MATCH($F252,Inputs!$H$10:$Q$10,0)),"-")</f>
        <v>0.1883</v>
      </c>
      <c r="O252" s="56">
        <f>IFERROR(INDEX(Inputs!$H$11:$Q$125,MATCH($C252,Input_ForRateCalc[Cost item],0),MATCH($F252,Inputs!$H$10:$Q$10,0)),"-")</f>
        <v>0.1883</v>
      </c>
      <c r="T252" s="99"/>
    </row>
    <row r="253" spans="3:20" outlineLevel="1" x14ac:dyDescent="0.25">
      <c r="C253" s="18" t="s">
        <v>254</v>
      </c>
      <c r="D253" s="71" t="str">
        <f>INDEX(Input_DecisionActual[[Actual]:[Actual]],MATCH(Calc_TU_values!$D$235,Input_DecisionActual[[VDO period]:[VDO period]],0),1)</f>
        <v>VDO 2021 - Final</v>
      </c>
      <c r="E253" s="18" t="s">
        <v>354</v>
      </c>
      <c r="F253" s="71" t="str">
        <f>IF($D253="-","-",INDEX(Inputs!$H$10:$Q$10,1,MATCH($D253,Inputs!$H$8:$Q$8,0)))</f>
        <v>F-CurrentVDO_Input</v>
      </c>
      <c r="G253" s="47"/>
      <c r="H253" s="18" t="s">
        <v>66</v>
      </c>
      <c r="I253" s="18" t="s">
        <v>218</v>
      </c>
      <c r="J253" s="48" t="s">
        <v>46</v>
      </c>
      <c r="K253" s="53">
        <f>IFERROR(K251*K252/1000,"-")</f>
        <v>6.731725E-3</v>
      </c>
      <c r="L253" s="53">
        <f t="shared" ref="L253" si="78">IFERROR(L251*L252/1000,"-")</f>
        <v>6.731725E-3</v>
      </c>
      <c r="M253" s="53">
        <f t="shared" ref="M253" si="79">IFERROR(M251*M252/1000,"-")</f>
        <v>6.731725E-3</v>
      </c>
      <c r="N253" s="53">
        <f t="shared" ref="N253" si="80">IFERROR(N251*N252/1000,"-")</f>
        <v>6.731725E-3</v>
      </c>
      <c r="O253" s="53">
        <f t="shared" ref="O253" si="81">IFERROR(O251*O252/1000,"-")</f>
        <v>6.731725E-3</v>
      </c>
    </row>
    <row r="254" spans="3:20" outlineLevel="1" x14ac:dyDescent="0.25">
      <c r="C254" s="18" t="s">
        <v>255</v>
      </c>
      <c r="D254" s="18"/>
      <c r="E254" s="18"/>
      <c r="F254" s="18"/>
      <c r="G254" s="18"/>
      <c r="H254" s="18" t="s">
        <v>66</v>
      </c>
      <c r="I254" s="18" t="s">
        <v>218</v>
      </c>
      <c r="J254" s="18" t="s">
        <v>46</v>
      </c>
      <c r="K254" s="105">
        <f>IFERROR(K250-K253,"-")</f>
        <v>-1.0367500000000012E-4</v>
      </c>
      <c r="L254" s="105">
        <f t="shared" ref="L254" si="82">IFERROR(L250-L253,"-")</f>
        <v>-1.0367500000000012E-4</v>
      </c>
      <c r="M254" s="105">
        <f t="shared" ref="M254" si="83">IFERROR(M250-M253,"-")</f>
        <v>-1.0367500000000012E-4</v>
      </c>
      <c r="N254" s="105">
        <f t="shared" ref="N254" si="84">IFERROR(N250-N253,"-")</f>
        <v>-1.0367500000000012E-4</v>
      </c>
      <c r="O254" s="105">
        <f t="shared" ref="O254" si="85">IFERROR(O250-O253,"-")</f>
        <v>-1.0367500000000012E-4</v>
      </c>
      <c r="Q254" s="114"/>
    </row>
    <row r="255" spans="3:20" outlineLevel="1" x14ac:dyDescent="0.25">
      <c r="C255" s="18" t="s">
        <v>256</v>
      </c>
      <c r="D255" s="71" t="str">
        <f>INDEX(Input_DecisionActual[[Actual]:[Actual]],MATCH(Calc_TU_values!$D$235,Input_DecisionActual[[VDO period]:[VDO period]],0),1)</f>
        <v>VDO 2021 - Final</v>
      </c>
      <c r="E255" s="18" t="s">
        <v>354</v>
      </c>
      <c r="F255" s="71" t="str">
        <f>IF($D255="-","-",INDEX(Inputs!$H$10:$Q$10,1,MATCH($D255,Inputs!$H$8:$Q$8,0)))</f>
        <v>F-CurrentVDO_Input</v>
      </c>
      <c r="G255" s="18"/>
      <c r="H255" s="18" t="s">
        <v>66</v>
      </c>
      <c r="I255" s="18" t="s">
        <v>218</v>
      </c>
      <c r="J255" s="18" t="s">
        <v>46</v>
      </c>
      <c r="K255" s="106">
        <f>IFERROR(K254*(INDEX(Inputs!$H$11:$Q$125,MATCH("Marginal loss factor - "&amp;K$15,Input_ForRateCalc[Cost item],0),MATCH($F255,Inputs!$H$10:$Q$10,0))*INDEX(Inputs!$H$11:$Q$125,MATCH("Distribution loss factor - "&amp;K$15,Input_ForRateCalc[Cost item],0),MATCH($F255,Inputs!$H$10:$Q$10,0))-1),"-")</f>
        <v>-6.9506044911874978E-6</v>
      </c>
      <c r="L255" s="106">
        <f>IFERROR(L254*(INDEX(Inputs!$H$11:$Q$125,MATCH("Marginal loss factor - "&amp;L$15,Input_ForRateCalc[Cost item],0),MATCH($F255,Inputs!$H$10:$Q$10,0))*INDEX(Inputs!$H$11:$Q$125,MATCH("Distribution loss factor - "&amp;L$15,Input_ForRateCalc[Cost item],0),MATCH($F255,Inputs!$H$10:$Q$10,0))-1),"-")</f>
        <v>-5.0384524940750005E-6</v>
      </c>
      <c r="M255" s="106">
        <f>IFERROR(M254*(INDEX(Inputs!$H$11:$Q$125,MATCH("Marginal loss factor - "&amp;M$15,Input_ForRateCalc[Cost item],0),MATCH($F255,Inputs!$H$10:$Q$10,0))*INDEX(Inputs!$H$11:$Q$125,MATCH("Distribution loss factor - "&amp;M$15,Input_ForRateCalc[Cost item],0),MATCH($F255,Inputs!$H$10:$Q$10,0))-1),"-")</f>
        <v>-3.9028006795555839E-6</v>
      </c>
      <c r="N255" s="106">
        <f>IFERROR(N254*(INDEX(Inputs!$H$11:$Q$125,MATCH("Marginal loss factor - "&amp;N$15,Input_ForRateCalc[Cost item],0),MATCH($F255,Inputs!$H$10:$Q$10,0))*INDEX(Inputs!$H$11:$Q$125,MATCH("Distribution loss factor - "&amp;N$15,Input_ForRateCalc[Cost item],0),MATCH($F255,Inputs!$H$10:$Q$10,0))-1),"-")</f>
        <v>-7.3694110579374731E-6</v>
      </c>
      <c r="O255" s="106">
        <f>IFERROR(O254*(INDEX(Inputs!$H$11:$Q$125,MATCH("Marginal loss factor - "&amp;O$15,Input_ForRateCalc[Cost item],0),MATCH($F255,Inputs!$H$10:$Q$10,0))*INDEX(Inputs!$H$11:$Q$125,MATCH("Distribution loss factor - "&amp;O$15,Input_ForRateCalc[Cost item],0),MATCH($F255,Inputs!$H$10:$Q$10,0))-1),"-")</f>
        <v>-5.4349938178250232E-6</v>
      </c>
      <c r="T255" s="88"/>
    </row>
    <row r="256" spans="3:20" outlineLevel="1" x14ac:dyDescent="0.25">
      <c r="C256" s="18" t="s">
        <v>296</v>
      </c>
      <c r="D256" s="18"/>
      <c r="E256" s="18"/>
      <c r="F256" s="18"/>
      <c r="G256" s="18"/>
      <c r="H256" s="18" t="s">
        <v>66</v>
      </c>
      <c r="I256" s="18" t="s">
        <v>218</v>
      </c>
      <c r="J256" s="18" t="s">
        <v>46</v>
      </c>
      <c r="K256" s="106" t="str">
        <f>IF($D$241="Yes",SUM(K254:K255)*$D$242,"")</f>
        <v/>
      </c>
      <c r="L256" s="106" t="str">
        <f t="shared" ref="L256:O256" si="86">IF($D$241="Yes",SUM(L254:L255)*$D$242,"")</f>
        <v/>
      </c>
      <c r="M256" s="106" t="str">
        <f t="shared" si="86"/>
        <v/>
      </c>
      <c r="N256" s="106" t="str">
        <f t="shared" si="86"/>
        <v/>
      </c>
      <c r="O256" s="106" t="str">
        <f t="shared" si="86"/>
        <v/>
      </c>
    </row>
    <row r="257" spans="3:15" outlineLevel="1" x14ac:dyDescent="0.25">
      <c r="C257" s="18" t="s">
        <v>257</v>
      </c>
      <c r="D257" s="71" t="str">
        <f>INDEX(Input_DecisionActual[[Actual]:[Actual]],MATCH(Calc_TU_values!$D$235,Input_DecisionActual[[VDO period]:[VDO period]],0),1)</f>
        <v>VDO 2021 - Final</v>
      </c>
      <c r="E257" s="18" t="s">
        <v>354</v>
      </c>
      <c r="F257" s="71" t="str">
        <f>IF($D257="-","-",INDEX(Inputs!$H$10:$Q$10,1,MATCH($D257,Inputs!$H$8:$Q$8,0)))</f>
        <v>F-CurrentVDO_Input</v>
      </c>
      <c r="G257" s="18"/>
      <c r="H257" s="18" t="s">
        <v>66</v>
      </c>
      <c r="I257" s="18" t="s">
        <v>218</v>
      </c>
      <c r="J257" s="18" t="s">
        <v>46</v>
      </c>
      <c r="K257" s="106">
        <f>IFERROR(SUM(K254:K256)*(INDEX(Inputs!$H$11:$Q$125,MATCH("Retail operating margin",Input_ForRateCalc[Cost item],0),MATCH($F257,Inputs!$H$10:$Q$10,0))),"-")</f>
        <v>-6.6817865112677327E-6</v>
      </c>
      <c r="L257" s="106">
        <f>IFERROR(SUM(L254:L256)*(INDEX(Inputs!$H$11:$Q$125,MATCH("Retail operating margin",Input_ForRateCalc[Cost item],0),MATCH($F257,Inputs!$H$10:$Q$10,0))),"-")</f>
        <v>-6.5662925306421373E-6</v>
      </c>
      <c r="M257" s="106">
        <f>IFERROR(SUM(M254:M256)*(INDEX(Inputs!$H$11:$Q$125,MATCH("Retail operating margin",Input_ForRateCalc[Cost item],0),MATCH($F257,Inputs!$H$10:$Q$10,0))),"-")</f>
        <v>-6.4976991610451649E-6</v>
      </c>
      <c r="N257" s="106">
        <f>IFERROR(SUM(N254:N256)*(INDEX(Inputs!$H$11:$Q$125,MATCH("Retail operating margin",Input_ForRateCalc[Cost item],0),MATCH($F257,Inputs!$H$10:$Q$10,0))),"-")</f>
        <v>-6.7070824278994308E-6</v>
      </c>
      <c r="O257" s="106">
        <f>IFERROR(SUM(O254:O256)*(INDEX(Inputs!$H$11:$Q$125,MATCH("Retail operating margin",Input_ForRateCalc[Cost item],0),MATCH($F257,Inputs!$H$10:$Q$10,0))),"-")</f>
        <v>-6.5902436265966387E-6</v>
      </c>
    </row>
    <row r="258" spans="3:15" outlineLevel="1" x14ac:dyDescent="0.25">
      <c r="C258" s="18" t="s">
        <v>297</v>
      </c>
      <c r="D258" s="18"/>
      <c r="E258" s="18"/>
      <c r="F258" s="18"/>
      <c r="G258" s="18"/>
      <c r="H258" s="18" t="s">
        <v>66</v>
      </c>
      <c r="I258" s="18" t="s">
        <v>218</v>
      </c>
      <c r="J258" s="18" t="s">
        <v>46</v>
      </c>
      <c r="K258" s="106">
        <f>SUM(K254:K257)*GST</f>
        <v>-1.1730739100245536E-5</v>
      </c>
      <c r="L258" s="106">
        <f>SUM(L254:L257)*GST</f>
        <v>-1.1527974502471726E-5</v>
      </c>
      <c r="M258" s="106">
        <f>SUM(M254:M257)*GST</f>
        <v>-1.1407549984060087E-5</v>
      </c>
      <c r="N258" s="106">
        <f>SUM(N254:N257)*GST</f>
        <v>-1.1775149348583703E-5</v>
      </c>
      <c r="O258" s="106">
        <f>SUM(O254:O257)*GST</f>
        <v>-1.1570023744442179E-5</v>
      </c>
    </row>
    <row r="259" spans="3:15" outlineLevel="1" x14ac:dyDescent="0.25">
      <c r="C259" s="48" t="s">
        <v>258</v>
      </c>
      <c r="D259" s="48"/>
      <c r="E259" s="48"/>
      <c r="F259" s="48"/>
      <c r="H259" s="48" t="s">
        <v>66</v>
      </c>
      <c r="I259" s="48" t="s">
        <v>218</v>
      </c>
      <c r="J259" s="48" t="s">
        <v>46</v>
      </c>
      <c r="K259" s="106">
        <f>SUM(K254:K258)</f>
        <v>-1.290381301027009E-4</v>
      </c>
      <c r="L259" s="106">
        <f t="shared" ref="L259" si="87">SUM(L254:L258)</f>
        <v>-1.2680771952718899E-4</v>
      </c>
      <c r="M259" s="106">
        <f t="shared" ref="M259" si="88">SUM(M254:M258)</f>
        <v>-1.2548304982466096E-4</v>
      </c>
      <c r="N259" s="106">
        <f t="shared" ref="N259" si="89">SUM(N254:N258)</f>
        <v>-1.2952664283442074E-4</v>
      </c>
      <c r="O259" s="106">
        <f t="shared" ref="O259" si="90">SUM(O254:O258)</f>
        <v>-1.2727026118886396E-4</v>
      </c>
    </row>
    <row r="260" spans="3:15" outlineLevel="1" x14ac:dyDescent="0.25">
      <c r="C260" s="18"/>
      <c r="D260" s="18"/>
      <c r="E260" s="18"/>
      <c r="F260" s="18"/>
      <c r="G260" s="18"/>
      <c r="H260" s="18"/>
      <c r="I260" s="18"/>
      <c r="J260" s="18"/>
      <c r="K260" s="106"/>
      <c r="L260" s="106"/>
      <c r="M260" s="106"/>
      <c r="N260" s="106"/>
      <c r="O260" s="106"/>
    </row>
    <row r="261" spans="3:15" outlineLevel="1" x14ac:dyDescent="0.25">
      <c r="C261" s="46" t="s">
        <v>259</v>
      </c>
      <c r="D261" s="46"/>
      <c r="E261" s="46"/>
      <c r="F261" s="46"/>
      <c r="G261" s="57" t="s">
        <v>395</v>
      </c>
      <c r="H261" s="57"/>
      <c r="I261" s="18"/>
      <c r="J261" s="18"/>
      <c r="K261" s="18"/>
      <c r="L261" s="18"/>
      <c r="M261" s="18"/>
      <c r="N261" s="18"/>
      <c r="O261" s="18"/>
    </row>
    <row r="262" spans="3:15" outlineLevel="1" x14ac:dyDescent="0.25">
      <c r="C262" s="18" t="s">
        <v>91</v>
      </c>
      <c r="D262" s="71" t="str">
        <f>Calc_TU_values!$D$235</f>
        <v>VDO 2022 - Draft</v>
      </c>
      <c r="E262" s="18" t="s">
        <v>353</v>
      </c>
      <c r="F262" s="71" t="str">
        <f>INDEX(Inputs!$H$10:$Q$10,1,MATCH($D262,Inputs!$H$8:$Q$8,0))</f>
        <v>D-NextVDO_Input</v>
      </c>
      <c r="G262" s="47"/>
      <c r="H262" s="18" t="s">
        <v>66</v>
      </c>
      <c r="I262" s="18" t="s">
        <v>89</v>
      </c>
      <c r="J262" s="48" t="s">
        <v>46</v>
      </c>
      <c r="K262" s="54">
        <f>IFERROR(INDEX(Input_TUEnv_Actual[],MATCH($C262,Input_TUEnv_Actual[Cost item],0),MATCH($F262,Input_TUEnv_Actual[#Headers],0)),"-")</f>
        <v>40</v>
      </c>
      <c r="L262" s="54">
        <f>IFERROR(INDEX(Input_TUEnv_Actual[],MATCH($C262,Input_TUEnv_Actual[Cost item],0),MATCH($F262,Input_TUEnv_Actual[#Headers],0)),"-")</f>
        <v>40</v>
      </c>
      <c r="M262" s="54">
        <f>IFERROR(INDEX(Input_TUEnv_Actual[],MATCH($C262,Input_TUEnv_Actual[Cost item],0),MATCH($F262,Input_TUEnv_Actual[#Headers],0)),"-")</f>
        <v>40</v>
      </c>
      <c r="N262" s="54">
        <f>IFERROR(INDEX(Input_TUEnv_Actual[],MATCH($C262,Input_TUEnv_Actual[Cost item],0),MATCH($F262,Input_TUEnv_Actual[#Headers],0)),"-")</f>
        <v>40</v>
      </c>
      <c r="O262" s="54">
        <f>IFERROR(INDEX(Input_TUEnv_Actual[],MATCH($C262,Input_TUEnv_Actual[Cost item],0),MATCH($F262,Input_TUEnv_Actual[#Headers],0)),"-")</f>
        <v>40</v>
      </c>
    </row>
    <row r="263" spans="3:15" outlineLevel="1" x14ac:dyDescent="0.25">
      <c r="C263" s="48" t="s">
        <v>95</v>
      </c>
      <c r="D263" s="71" t="str">
        <f>Calc_TU_values!$D$235</f>
        <v>VDO 2022 - Draft</v>
      </c>
      <c r="E263" s="18" t="s">
        <v>353</v>
      </c>
      <c r="F263" s="71" t="str">
        <f>INDEX(Inputs!$H$10:$Q$10,1,MATCH($D263,Inputs!$H$8:$Q$8,0))</f>
        <v>D-NextVDO_Input</v>
      </c>
      <c r="G263" s="47"/>
      <c r="H263" s="18" t="s">
        <v>66</v>
      </c>
      <c r="I263" s="18" t="s">
        <v>93</v>
      </c>
      <c r="J263" s="48" t="s">
        <v>46</v>
      </c>
      <c r="K263" s="56">
        <f>IFERROR(INDEX(Input_TUEnv_Actual[],MATCH($C263,Input_TUEnv_Actual[Cost item],0),MATCH($F263,Input_TUEnv_Actual[#Headers],0)),"-")</f>
        <v>0.28799999999999998</v>
      </c>
      <c r="L263" s="56">
        <f>IFERROR(INDEX(Input_TUEnv_Actual[],MATCH($C263,Input_TUEnv_Actual[Cost item],0),MATCH($F263,Input_TUEnv_Actual[#Headers],0)),"-")</f>
        <v>0.28799999999999998</v>
      </c>
      <c r="M263" s="56">
        <f>IFERROR(INDEX(Input_TUEnv_Actual[],MATCH($C263,Input_TUEnv_Actual[Cost item],0),MATCH($F263,Input_TUEnv_Actual[#Headers],0)),"-")</f>
        <v>0.28799999999999998</v>
      </c>
      <c r="N263" s="56">
        <f>IFERROR(INDEX(Input_TUEnv_Actual[],MATCH($C263,Input_TUEnv_Actual[Cost item],0),MATCH($F263,Input_TUEnv_Actual[#Headers],0)),"-")</f>
        <v>0.28799999999999998</v>
      </c>
      <c r="O263" s="56">
        <f>IFERROR(INDEX(Input_TUEnv_Actual[],MATCH($C263,Input_TUEnv_Actual[Cost item],0),MATCH($F263,Input_TUEnv_Actual[#Headers],0)),"-")</f>
        <v>0.28799999999999998</v>
      </c>
    </row>
    <row r="264" spans="3:15" outlineLevel="1" x14ac:dyDescent="0.25">
      <c r="C264" s="18" t="s">
        <v>254</v>
      </c>
      <c r="D264" s="71" t="str">
        <f>Calc_TU_values!$D$235</f>
        <v>VDO 2022 - Draft</v>
      </c>
      <c r="E264" s="18" t="s">
        <v>353</v>
      </c>
      <c r="F264" s="71" t="str">
        <f>INDEX(Inputs!$H$10:$Q$10,1,MATCH($D264,Inputs!$H$8:$Q$8,0))</f>
        <v>D-NextVDO_Input</v>
      </c>
      <c r="G264" s="47"/>
      <c r="H264" s="18" t="s">
        <v>66</v>
      </c>
      <c r="I264" s="18" t="s">
        <v>218</v>
      </c>
      <c r="J264" s="48" t="s">
        <v>46</v>
      </c>
      <c r="K264" s="53">
        <f>K262*K263/1000</f>
        <v>1.1519999999999999E-2</v>
      </c>
      <c r="L264" s="53">
        <f t="shared" ref="L264" si="91">L262*L263/1000</f>
        <v>1.1519999999999999E-2</v>
      </c>
      <c r="M264" s="53">
        <f t="shared" ref="M264" si="92">M262*M263/1000</f>
        <v>1.1519999999999999E-2</v>
      </c>
      <c r="N264" s="53">
        <f t="shared" ref="N264" si="93">N262*N263/1000</f>
        <v>1.1519999999999999E-2</v>
      </c>
      <c r="O264" s="53">
        <f t="shared" ref="O264" si="94">O262*O263/1000</f>
        <v>1.1519999999999999E-2</v>
      </c>
    </row>
    <row r="265" spans="3:15" outlineLevel="1" x14ac:dyDescent="0.25">
      <c r="C265" s="18" t="s">
        <v>91</v>
      </c>
      <c r="D265" s="71" t="str">
        <f>INDEX(Input_DecisionActual[[Actual]:[Actual]],MATCH(Calc_TU_values!$D$235,Input_DecisionActual[[VDO period]:[VDO period]],0),1)</f>
        <v>VDO 2021 - Final</v>
      </c>
      <c r="E265" s="18" t="s">
        <v>354</v>
      </c>
      <c r="F265" s="71" t="str">
        <f>IF($D265="-","-",INDEX(Inputs!$H$10:$Q$10,1,MATCH($D265,Inputs!$H$8:$Q$8,0)))</f>
        <v>F-CurrentVDO_Input</v>
      </c>
      <c r="G265" s="47"/>
      <c r="H265" s="18" t="s">
        <v>66</v>
      </c>
      <c r="I265" s="18" t="s">
        <v>89</v>
      </c>
      <c r="J265" s="48" t="s">
        <v>46</v>
      </c>
      <c r="K265" s="55">
        <f>IFERROR(INDEX(Inputs!$H$11:$Q$125,MATCH($C265,Input_ForRateCalc[Cost item],0),MATCH($F265,Inputs!$H$10:$Q$10,0)),"-")</f>
        <v>40</v>
      </c>
      <c r="L265" s="55">
        <f>IFERROR(INDEX(Inputs!$H$11:$Q$125,MATCH($C265,Input_ForRateCalc[Cost item],0),MATCH($F265,Inputs!$H$10:$Q$10,0)),"-")</f>
        <v>40</v>
      </c>
      <c r="M265" s="55">
        <f>IFERROR(INDEX(Inputs!$H$11:$Q$125,MATCH($C265,Input_ForRateCalc[Cost item],0),MATCH($F265,Inputs!$H$10:$Q$10,0)),"-")</f>
        <v>40</v>
      </c>
      <c r="N265" s="55">
        <f>IFERROR(INDEX(Inputs!$H$11:$Q$125,MATCH($C265,Input_ForRateCalc[Cost item],0),MATCH($F265,Inputs!$H$10:$Q$10,0)),"-")</f>
        <v>40</v>
      </c>
      <c r="O265" s="55">
        <f>IFERROR(INDEX(Inputs!$H$11:$Q$125,MATCH($C265,Input_ForRateCalc[Cost item],0),MATCH($F265,Inputs!$H$10:$Q$10,0)),"-")</f>
        <v>40</v>
      </c>
    </row>
    <row r="266" spans="3:15" outlineLevel="1" x14ac:dyDescent="0.25">
      <c r="C266" s="48" t="s">
        <v>95</v>
      </c>
      <c r="D266" s="71" t="str">
        <f>INDEX(Input_DecisionActual[[Actual]:[Actual]],MATCH(Calc_TU_values!$D$235,Input_DecisionActual[[VDO period]:[VDO period]],0),1)</f>
        <v>VDO 2021 - Final</v>
      </c>
      <c r="E266" s="18" t="s">
        <v>354</v>
      </c>
      <c r="F266" s="71" t="str">
        <f>IF($D266="-","-",INDEX(Inputs!$H$10:$Q$10,1,MATCH($D266,Inputs!$H$8:$Q$8,0)))</f>
        <v>F-CurrentVDO_Input</v>
      </c>
      <c r="G266" s="47"/>
      <c r="H266" s="18" t="s">
        <v>66</v>
      </c>
      <c r="I266" s="18" t="s">
        <v>93</v>
      </c>
      <c r="J266" s="48" t="s">
        <v>46</v>
      </c>
      <c r="K266" s="56">
        <f>IFERROR(INDEX(Inputs!$H$11:$Q$125,MATCH($C266,Input_ForRateCalc[Cost item],0),MATCH($F266,Inputs!$H$10:$Q$10,0)),"-")</f>
        <v>0.219</v>
      </c>
      <c r="L266" s="56">
        <f>IFERROR(INDEX(Inputs!$H$11:$Q$125,MATCH($C266,Input_ForRateCalc[Cost item],0),MATCH($F266,Inputs!$H$10:$Q$10,0)),"-")</f>
        <v>0.219</v>
      </c>
      <c r="M266" s="56">
        <f>IFERROR(INDEX(Inputs!$H$11:$Q$125,MATCH($C266,Input_ForRateCalc[Cost item],0),MATCH($F266,Inputs!$H$10:$Q$10,0)),"-")</f>
        <v>0.219</v>
      </c>
      <c r="N266" s="56">
        <f>IFERROR(INDEX(Inputs!$H$11:$Q$125,MATCH($C266,Input_ForRateCalc[Cost item],0),MATCH($F266,Inputs!$H$10:$Q$10,0)),"-")</f>
        <v>0.219</v>
      </c>
      <c r="O266" s="56">
        <f>IFERROR(INDEX(Inputs!$H$11:$Q$125,MATCH($C266,Input_ForRateCalc[Cost item],0),MATCH($F266,Inputs!$H$10:$Q$10,0)),"-")</f>
        <v>0.219</v>
      </c>
    </row>
    <row r="267" spans="3:15" outlineLevel="1" x14ac:dyDescent="0.25">
      <c r="C267" s="18" t="s">
        <v>254</v>
      </c>
      <c r="D267" s="71" t="str">
        <f>INDEX(Input_DecisionActual[[Actual]:[Actual]],MATCH(Calc_TU_values!$D$235,Input_DecisionActual[[VDO period]:[VDO period]],0),1)</f>
        <v>VDO 2021 - Final</v>
      </c>
      <c r="E267" s="18" t="s">
        <v>354</v>
      </c>
      <c r="F267" s="71" t="str">
        <f>IF($D267="-","-",INDEX(Inputs!$H$10:$Q$10,1,MATCH($D267,Inputs!$H$8:$Q$8,0)))</f>
        <v>F-CurrentVDO_Input</v>
      </c>
      <c r="G267" s="47"/>
      <c r="H267" s="18" t="s">
        <v>66</v>
      </c>
      <c r="I267" s="18" t="s">
        <v>218</v>
      </c>
      <c r="J267" s="48" t="s">
        <v>46</v>
      </c>
      <c r="K267" s="53">
        <f>IFERROR(K265*K266/1000,"-")</f>
        <v>8.7600000000000004E-3</v>
      </c>
      <c r="L267" s="53">
        <f t="shared" ref="L267" si="95">IFERROR(L265*L266/1000,"-")</f>
        <v>8.7600000000000004E-3</v>
      </c>
      <c r="M267" s="53">
        <f t="shared" ref="M267" si="96">IFERROR(M265*M266/1000,"-")</f>
        <v>8.7600000000000004E-3</v>
      </c>
      <c r="N267" s="53">
        <f t="shared" ref="N267" si="97">IFERROR(N265*N266/1000,"-")</f>
        <v>8.7600000000000004E-3</v>
      </c>
      <c r="O267" s="53">
        <f t="shared" ref="O267" si="98">IFERROR(O265*O266/1000,"-")</f>
        <v>8.7600000000000004E-3</v>
      </c>
    </row>
    <row r="268" spans="3:15" outlineLevel="1" x14ac:dyDescent="0.25">
      <c r="C268" s="18" t="s">
        <v>255</v>
      </c>
      <c r="D268" s="18"/>
      <c r="E268" s="18"/>
      <c r="F268" s="18"/>
      <c r="G268" s="18"/>
      <c r="H268" s="18" t="s">
        <v>66</v>
      </c>
      <c r="I268" s="18" t="s">
        <v>218</v>
      </c>
      <c r="J268" s="18" t="s">
        <v>46</v>
      </c>
      <c r="K268" s="105">
        <f>IFERROR(K264-K267,"-")</f>
        <v>2.7599999999999986E-3</v>
      </c>
      <c r="L268" s="105">
        <f t="shared" ref="L268" si="99">IFERROR(L264-L267,"-")</f>
        <v>2.7599999999999986E-3</v>
      </c>
      <c r="M268" s="105">
        <f t="shared" ref="M268" si="100">IFERROR(M264-M267,"-")</f>
        <v>2.7599999999999986E-3</v>
      </c>
      <c r="N268" s="105">
        <f t="shared" ref="N268" si="101">IFERROR(N264-N267,"-")</f>
        <v>2.7599999999999986E-3</v>
      </c>
      <c r="O268" s="105">
        <f t="shared" ref="O268" si="102">IFERROR(O264-O267,"-")</f>
        <v>2.7599999999999986E-3</v>
      </c>
    </row>
    <row r="269" spans="3:15" outlineLevel="1" x14ac:dyDescent="0.25">
      <c r="C269" s="18" t="s">
        <v>256</v>
      </c>
      <c r="D269" s="71" t="str">
        <f>INDEX(Input_DecisionActual[[Actual]:[Actual]],MATCH(Calc_TU_values!$D$235,Input_DecisionActual[[VDO period]:[VDO period]],0),1)</f>
        <v>VDO 2021 - Final</v>
      </c>
      <c r="E269" s="18" t="s">
        <v>354</v>
      </c>
      <c r="F269" s="71" t="str">
        <f>IF($D269="-","-",INDEX(Inputs!$H$10:$Q$10,1,MATCH($D269,Inputs!$H$8:$Q$8,0)))</f>
        <v>F-CurrentVDO_Input</v>
      </c>
      <c r="G269" s="18"/>
      <c r="H269" s="18" t="s">
        <v>66</v>
      </c>
      <c r="I269" s="18" t="s">
        <v>218</v>
      </c>
      <c r="J269" s="18" t="s">
        <v>46</v>
      </c>
      <c r="K269" s="106">
        <f>IFERROR(K268*(INDEX(Inputs!$H$11:$Q$125,MATCH("Marginal loss factor - "&amp;K$15,Input_ForRateCalc[Cost item],0),MATCH($F269,Inputs!$H$10:$Q$10,0))*INDEX(Inputs!$H$11:$Q$125,MATCH("Distribution loss factor - "&amp;K$15,Input_ForRateCalc[Cost item],0),MATCH($F269,Inputs!$H$10:$Q$10,0))-1),"-")</f>
        <v>1.8503658929999964E-4</v>
      </c>
      <c r="L269" s="106">
        <f>IFERROR(L268*(INDEX(Inputs!$H$11:$Q$125,MATCH("Marginal loss factor - "&amp;L$15,Input_ForRateCalc[Cost item],0),MATCH($F269,Inputs!$H$10:$Q$10,0))*INDEX(Inputs!$H$11:$Q$125,MATCH("Distribution loss factor - "&amp;L$15,Input_ForRateCalc[Cost item],0),MATCH($F269,Inputs!$H$10:$Q$10,0))-1),"-")</f>
        <v>1.3413194003999979E-4</v>
      </c>
      <c r="M269" s="106">
        <f>IFERROR(M268*(INDEX(Inputs!$H$11:$Q$125,MATCH("Marginal loss factor - "&amp;M$15,Input_ForRateCalc[Cost item],0),MATCH($F269,Inputs!$H$10:$Q$10,0))*INDEX(Inputs!$H$11:$Q$125,MATCH("Distribution loss factor - "&amp;M$15,Input_ForRateCalc[Cost item],0),MATCH($F269,Inputs!$H$10:$Q$10,0))-1),"-")</f>
        <v>1.0389901013333391E-4</v>
      </c>
      <c r="N269" s="106">
        <f>IFERROR(N268*(INDEX(Inputs!$H$11:$Q$125,MATCH("Marginal loss factor - "&amp;N$15,Input_ForRateCalc[Cost item],0),MATCH($F269,Inputs!$H$10:$Q$10,0))*INDEX(Inputs!$H$11:$Q$125,MATCH("Distribution loss factor - "&amp;N$15,Input_ForRateCalc[Cost item],0),MATCH($F269,Inputs!$H$10:$Q$10,0))-1),"-")</f>
        <v>1.9618591289999896E-4</v>
      </c>
      <c r="O269" s="106">
        <f>IFERROR(O268*(INDEX(Inputs!$H$11:$Q$125,MATCH("Marginal loss factor - "&amp;O$15,Input_ForRateCalc[Cost item],0),MATCH($F269,Inputs!$H$10:$Q$10,0))*INDEX(Inputs!$H$11:$Q$125,MATCH("Distribution loss factor - "&amp;O$15,Input_ForRateCalc[Cost item],0),MATCH($F269,Inputs!$H$10:$Q$10,0))-1),"-")</f>
        <v>1.4468852604000037E-4</v>
      </c>
    </row>
    <row r="270" spans="3:15" outlineLevel="1" x14ac:dyDescent="0.25">
      <c r="C270" s="18" t="s">
        <v>296</v>
      </c>
      <c r="D270" s="18"/>
      <c r="E270" s="18"/>
      <c r="F270" s="18"/>
      <c r="G270" s="18"/>
      <c r="H270" s="18" t="s">
        <v>66</v>
      </c>
      <c r="I270" s="18" t="s">
        <v>218</v>
      </c>
      <c r="J270" s="18" t="s">
        <v>46</v>
      </c>
      <c r="K270" s="106" t="str">
        <f>IF($D$241="Yes",SUM(K268:K269)*$D$242,"")</f>
        <v/>
      </c>
      <c r="L270" s="106" t="str">
        <f t="shared" ref="L270" si="103">IF($D$241="Yes",SUM(L268:L269)*$D$242,"")</f>
        <v/>
      </c>
      <c r="M270" s="106" t="str">
        <f t="shared" ref="M270" si="104">IF($D$241="Yes",SUM(M268:M269)*$D$242,"")</f>
        <v/>
      </c>
      <c r="N270" s="106" t="str">
        <f t="shared" ref="N270" si="105">IF($D$241="Yes",SUM(N268:N269)*$D$242,"")</f>
        <v/>
      </c>
      <c r="O270" s="106" t="str">
        <f t="shared" ref="O270" si="106">IF($D$241="Yes",SUM(O268:O269)*$D$242,"")</f>
        <v/>
      </c>
    </row>
    <row r="271" spans="3:15" outlineLevel="1" x14ac:dyDescent="0.25">
      <c r="C271" s="18" t="s">
        <v>257</v>
      </c>
      <c r="D271" s="71" t="str">
        <f>INDEX(Input_DecisionActual[[Actual]:[Actual]],MATCH(Calc_TU_values!$D$235,Input_DecisionActual[[VDO period]:[VDO period]],0),1)</f>
        <v>VDO 2021 - Final</v>
      </c>
      <c r="E271" s="18" t="s">
        <v>354</v>
      </c>
      <c r="F271" s="71" t="str">
        <f>IF($D271="-","-",INDEX(Inputs!$H$10:$Q$10,1,MATCH($D271,Inputs!$H$8:$Q$8,0)))</f>
        <v>F-CurrentVDO_Input</v>
      </c>
      <c r="G271" s="18"/>
      <c r="H271" s="18" t="s">
        <v>66</v>
      </c>
      <c r="I271" s="18" t="s">
        <v>218</v>
      </c>
      <c r="J271" s="18" t="s">
        <v>46</v>
      </c>
      <c r="K271" s="106">
        <f>IFERROR(SUM(K268:K270)*(INDEX(Inputs!$H$11:$Q$125,MATCH("Retail operating margin",Input_ForRateCalc[Cost item],0),MATCH($F271,Inputs!$H$10:$Q$10,0))),"-")</f>
        <v>1.7788020999371992E-4</v>
      </c>
      <c r="L271" s="106">
        <f>IFERROR(SUM(L268:L270)*(INDEX(Inputs!$H$11:$Q$125,MATCH("Retail operating margin",Input_ForRateCalc[Cost item],0),MATCH($F271,Inputs!$H$10:$Q$10,0))),"-")</f>
        <v>1.7480556917841592E-4</v>
      </c>
      <c r="M271" s="106">
        <f>IFERROR(SUM(M268:M270)*(INDEX(Inputs!$H$11:$Q$125,MATCH("Retail operating margin",Input_ForRateCalc[Cost item],0),MATCH($F271,Inputs!$H$10:$Q$10,0))),"-")</f>
        <v>1.7297950021205328E-4</v>
      </c>
      <c r="N271" s="106">
        <f>IFERROR(SUM(N268:N270)*(INDEX(Inputs!$H$11:$Q$125,MATCH("Retail operating margin",Input_ForRateCalc[Cost item],0),MATCH($F271,Inputs!$H$10:$Q$10,0))),"-")</f>
        <v>1.7855362913915985E-4</v>
      </c>
      <c r="O271" s="106">
        <f>IFERROR(SUM(O268:O270)*(INDEX(Inputs!$H$11:$Q$125,MATCH("Retail operating margin",Input_ForRateCalc[Cost item],0),MATCH($F271,Inputs!$H$10:$Q$10,0))),"-")</f>
        <v>1.7544318697281593E-4</v>
      </c>
    </row>
    <row r="272" spans="3:15" outlineLevel="1" x14ac:dyDescent="0.25">
      <c r="C272" s="18" t="s">
        <v>297</v>
      </c>
      <c r="D272" s="18"/>
      <c r="E272" s="18"/>
      <c r="F272" s="18"/>
      <c r="G272" s="18"/>
      <c r="H272" s="18" t="s">
        <v>66</v>
      </c>
      <c r="I272" s="18" t="s">
        <v>218</v>
      </c>
      <c r="J272" s="18" t="s">
        <v>46</v>
      </c>
      <c r="K272" s="106">
        <f>SUM(K268:K271)*GST</f>
        <v>3.1229167992937183E-4</v>
      </c>
      <c r="L272" s="106">
        <f>SUM(L268:L271)*GST</f>
        <v>3.0689375092184145E-4</v>
      </c>
      <c r="M272" s="106">
        <f>SUM(M268:M271)*GST</f>
        <v>3.036878510345386E-4</v>
      </c>
      <c r="N272" s="106">
        <f>SUM(N268:N271)*GST</f>
        <v>3.1347395420391574E-4</v>
      </c>
      <c r="O272" s="106">
        <f>SUM(O268:O271)*GST</f>
        <v>3.0801317130128153E-4</v>
      </c>
    </row>
    <row r="273" spans="2:15" outlineLevel="1" x14ac:dyDescent="0.25">
      <c r="C273" s="48" t="s">
        <v>260</v>
      </c>
      <c r="D273" s="48"/>
      <c r="E273" s="48"/>
      <c r="F273" s="48"/>
      <c r="H273" s="48" t="s">
        <v>66</v>
      </c>
      <c r="I273" s="48" t="s">
        <v>218</v>
      </c>
      <c r="J273" s="48" t="s">
        <v>46</v>
      </c>
      <c r="K273" s="106">
        <f>SUM(K268:K272)</f>
        <v>3.4352084792230904E-3</v>
      </c>
      <c r="L273" s="106">
        <f t="shared" ref="L273" si="107">SUM(L268:L272)</f>
        <v>3.3758312601402558E-3</v>
      </c>
      <c r="M273" s="106">
        <f t="shared" ref="M273" si="108">SUM(M268:M272)</f>
        <v>3.3405663613799248E-3</v>
      </c>
      <c r="N273" s="106">
        <f t="shared" ref="N273" si="109">SUM(N268:N272)</f>
        <v>3.448213496243073E-3</v>
      </c>
      <c r="O273" s="106">
        <f t="shared" ref="O273" si="110">SUM(O268:O272)</f>
        <v>3.3881448843140964E-3</v>
      </c>
    </row>
    <row r="274" spans="2:15" outlineLevel="1" x14ac:dyDescent="0.25">
      <c r="C274" s="103"/>
      <c r="D274" s="103"/>
      <c r="E274" s="103"/>
      <c r="F274" s="103"/>
      <c r="G274" s="103"/>
      <c r="H274" s="103"/>
      <c r="I274" s="103"/>
      <c r="J274" s="103"/>
      <c r="K274" s="109"/>
      <c r="L274" s="109"/>
      <c r="M274" s="109"/>
      <c r="N274" s="109"/>
      <c r="O274" s="109"/>
    </row>
    <row r="275" spans="2:15" outlineLevel="1" x14ac:dyDescent="0.25">
      <c r="C275" s="46" t="s">
        <v>261</v>
      </c>
      <c r="D275" s="46"/>
      <c r="E275" s="46"/>
      <c r="F275" s="46"/>
      <c r="G275" s="57" t="s">
        <v>253</v>
      </c>
      <c r="H275" s="57"/>
      <c r="I275" s="18"/>
      <c r="J275" s="18"/>
      <c r="K275" s="18"/>
      <c r="L275" s="18"/>
      <c r="M275" s="18"/>
      <c r="N275" s="18"/>
      <c r="O275" s="18"/>
    </row>
    <row r="276" spans="2:15" outlineLevel="1" x14ac:dyDescent="0.25">
      <c r="C276" s="18" t="s">
        <v>88</v>
      </c>
      <c r="D276" s="71" t="str">
        <f>Calc_TU_values!$D$235</f>
        <v>VDO 2022 - Draft</v>
      </c>
      <c r="E276" s="18" t="s">
        <v>353</v>
      </c>
      <c r="F276" s="71" t="str">
        <f>INDEX(Inputs!$H$10:$Q$10,1,MATCH($D276,Inputs!$H$8:$Q$8,0))</f>
        <v>D-NextVDO_Input</v>
      </c>
      <c r="G276" s="47"/>
      <c r="H276" s="18" t="s">
        <v>66</v>
      </c>
      <c r="I276" s="18" t="s">
        <v>89</v>
      </c>
      <c r="J276" s="48" t="s">
        <v>46</v>
      </c>
      <c r="K276" s="54">
        <f>IFERROR(INDEX(Input_TUEnv_Actual[],MATCH($C276,Input_TUEnv_Actual[Cost item],0),MATCH($F276,Input_TUEnv_Actual[#Headers],0)),"-")</f>
        <v>32.379354863483861</v>
      </c>
      <c r="L276" s="54">
        <f>IFERROR(INDEX(Input_TUEnv_Actual[],MATCH($C276,Input_TUEnv_Actual[Cost item],0),MATCH($F276,Input_TUEnv_Actual[#Headers],0)),"-")</f>
        <v>32.379354863483861</v>
      </c>
      <c r="M276" s="54">
        <f>IFERROR(INDEX(Input_TUEnv_Actual[],MATCH($C276,Input_TUEnv_Actual[Cost item],0),MATCH($F276,Input_TUEnv_Actual[#Headers],0)),"-")</f>
        <v>32.379354863483861</v>
      </c>
      <c r="N276" s="54">
        <f>IFERROR(INDEX(Input_TUEnv_Actual[],MATCH($C276,Input_TUEnv_Actual[Cost item],0),MATCH($F276,Input_TUEnv_Actual[#Headers],0)),"-")</f>
        <v>32.379354863483861</v>
      </c>
      <c r="O276" s="54">
        <f>IFERROR(INDEX(Input_TUEnv_Actual[],MATCH($C276,Input_TUEnv_Actual[Cost item],0),MATCH($F276,Input_TUEnv_Actual[#Headers],0)),"-")</f>
        <v>32.379354863483861</v>
      </c>
    </row>
    <row r="277" spans="2:15" outlineLevel="1" x14ac:dyDescent="0.25">
      <c r="C277" s="18" t="s">
        <v>92</v>
      </c>
      <c r="D277" s="71" t="str">
        <f>Calc_TU_values!$D$235</f>
        <v>VDO 2022 - Draft</v>
      </c>
      <c r="E277" s="18" t="s">
        <v>353</v>
      </c>
      <c r="F277" s="71" t="str">
        <f>INDEX(Inputs!$H$10:$Q$10,1,MATCH($D277,Inputs!$H$8:$Q$8,0))</f>
        <v>D-NextVDO_Input</v>
      </c>
      <c r="G277" s="47"/>
      <c r="H277" s="18" t="s">
        <v>66</v>
      </c>
      <c r="I277" s="18" t="s">
        <v>93</v>
      </c>
      <c r="J277" s="48" t="s">
        <v>46</v>
      </c>
      <c r="K277" s="56">
        <f>IFERROR(INDEX(Input_TUEnv_Actual[],MATCH($C277,Input_TUEnv_Actual[Cost item],0),MATCH($F277,Input_TUEnv_Actual[#Headers],0)),"-")</f>
        <v>0.17255000000000001</v>
      </c>
      <c r="L277" s="56">
        <f>IFERROR(INDEX(Input_TUEnv_Actual[],MATCH($C277,Input_TUEnv_Actual[Cost item],0),MATCH($F277,Input_TUEnv_Actual[#Headers],0)),"-")</f>
        <v>0.17255000000000001</v>
      </c>
      <c r="M277" s="56">
        <f>IFERROR(INDEX(Input_TUEnv_Actual[],MATCH($C277,Input_TUEnv_Actual[Cost item],0),MATCH($F277,Input_TUEnv_Actual[#Headers],0)),"-")</f>
        <v>0.17255000000000001</v>
      </c>
      <c r="N277" s="56">
        <f>IFERROR(INDEX(Input_TUEnv_Actual[],MATCH($C277,Input_TUEnv_Actual[Cost item],0),MATCH($F277,Input_TUEnv_Actual[#Headers],0)),"-")</f>
        <v>0.17255000000000001</v>
      </c>
      <c r="O277" s="56">
        <f>IFERROR(INDEX(Input_TUEnv_Actual[],MATCH($C277,Input_TUEnv_Actual[Cost item],0),MATCH($F277,Input_TUEnv_Actual[#Headers],0)),"-")</f>
        <v>0.17255000000000001</v>
      </c>
    </row>
    <row r="278" spans="2:15" outlineLevel="1" x14ac:dyDescent="0.25">
      <c r="C278" s="18" t="s">
        <v>254</v>
      </c>
      <c r="D278" s="71" t="str">
        <f>Calc_TU_values!$D$235</f>
        <v>VDO 2022 - Draft</v>
      </c>
      <c r="E278" s="18" t="s">
        <v>353</v>
      </c>
      <c r="F278" s="71" t="str">
        <f>INDEX(Inputs!$H$10:$Q$10,1,MATCH($D278,Inputs!$H$8:$Q$8,0))</f>
        <v>D-NextVDO_Input</v>
      </c>
      <c r="G278" s="47"/>
      <c r="H278" s="18" t="s">
        <v>66</v>
      </c>
      <c r="I278" s="18" t="s">
        <v>218</v>
      </c>
      <c r="J278" s="48" t="s">
        <v>46</v>
      </c>
      <c r="K278" s="53">
        <f>K276*K277/1000</f>
        <v>5.5870576816941407E-3</v>
      </c>
      <c r="L278" s="53">
        <f t="shared" ref="L278" si="111">L276*L277/1000</f>
        <v>5.5870576816941407E-3</v>
      </c>
      <c r="M278" s="53">
        <f t="shared" ref="M278" si="112">M276*M277/1000</f>
        <v>5.5870576816941407E-3</v>
      </c>
      <c r="N278" s="53">
        <f t="shared" ref="N278" si="113">N276*N277/1000</f>
        <v>5.5870576816941407E-3</v>
      </c>
      <c r="O278" s="53">
        <f t="shared" ref="O278" si="114">O276*O277/1000</f>
        <v>5.5870576816941407E-3</v>
      </c>
    </row>
    <row r="279" spans="2:15" outlineLevel="1" x14ac:dyDescent="0.25">
      <c r="C279" s="18" t="s">
        <v>88</v>
      </c>
      <c r="D279" s="71" t="str">
        <f>INDEX(Input_DecisionActual[[Actual]:[Actual]],MATCH(Calc_TU_values!$D$235,Input_DecisionActual[[VDO period]:[VDO period]],0),1)</f>
        <v>VDO 2021 - Final</v>
      </c>
      <c r="E279" s="18" t="s">
        <v>354</v>
      </c>
      <c r="F279" s="71" t="str">
        <f>IF($D279="-","-",INDEX(Inputs!$H$10:$Q$10,1,MATCH($D279,Inputs!$H$8:$Q$8,0)))</f>
        <v>F-CurrentVDO_Input</v>
      </c>
      <c r="G279" s="47"/>
      <c r="H279" s="18" t="s">
        <v>66</v>
      </c>
      <c r="I279" s="18" t="s">
        <v>89</v>
      </c>
      <c r="J279" s="48" t="s">
        <v>46</v>
      </c>
      <c r="K279" s="55">
        <f>IFERROR(INDEX(Inputs!$H$11:$Q$125,MATCH($C279,Input_ForRateCalc[Cost item],0),MATCH($F279,Inputs!$H$10:$Q$10,0)),"-")</f>
        <v>32.379354863483861</v>
      </c>
      <c r="L279" s="55">
        <f>IFERROR(INDEX(Inputs!$H$11:$Q$125,MATCH($C279,Input_ForRateCalc[Cost item],0),MATCH($F279,Inputs!$H$10:$Q$10,0)),"-")</f>
        <v>32.379354863483861</v>
      </c>
      <c r="M279" s="55">
        <f>IFERROR(INDEX(Inputs!$H$11:$Q$125,MATCH($C279,Input_ForRateCalc[Cost item],0),MATCH($F279,Inputs!$H$10:$Q$10,0)),"-")</f>
        <v>32.379354863483861</v>
      </c>
      <c r="N279" s="55">
        <f>IFERROR(INDEX(Inputs!$H$11:$Q$125,MATCH($C279,Input_ForRateCalc[Cost item],0),MATCH($F279,Inputs!$H$10:$Q$10,0)),"-")</f>
        <v>32.379354863483861</v>
      </c>
      <c r="O279" s="55">
        <f>IFERROR(INDEX(Inputs!$H$11:$Q$125,MATCH($C279,Input_ForRateCalc[Cost item],0),MATCH($F279,Inputs!$H$10:$Q$10,0)),"-")</f>
        <v>32.379354863483861</v>
      </c>
    </row>
    <row r="280" spans="2:15" outlineLevel="1" x14ac:dyDescent="0.25">
      <c r="B280"/>
      <c r="C280" s="18" t="s">
        <v>92</v>
      </c>
      <c r="D280" s="71" t="str">
        <f>INDEX(Input_DecisionActual[[Actual]:[Actual]],MATCH(Calc_TU_values!$D$235,Input_DecisionActual[[VDO period]:[VDO period]],0),1)</f>
        <v>VDO 2021 - Final</v>
      </c>
      <c r="E280" s="18" t="s">
        <v>354</v>
      </c>
      <c r="F280" s="71" t="str">
        <f>IF($D280="-","-",INDEX(Inputs!$H$10:$Q$10,1,MATCH($D280,Inputs!$H$8:$Q$8,0)))</f>
        <v>F-CurrentVDO_Input</v>
      </c>
      <c r="G280" s="47"/>
      <c r="H280" s="18" t="s">
        <v>66</v>
      </c>
      <c r="I280" s="18" t="s">
        <v>93</v>
      </c>
      <c r="J280" s="48" t="s">
        <v>46</v>
      </c>
      <c r="K280" s="56">
        <f>IFERROR(INDEX(Inputs!$H$11:$Q$125,MATCH($C280,Input_ForRateCalc[Cost item],0),MATCH($F280,Inputs!$H$10:$Q$10,0)),"-")</f>
        <v>0.17255000000000001</v>
      </c>
      <c r="L280" s="56">
        <f>IFERROR(INDEX(Inputs!$H$11:$Q$125,MATCH($C280,Input_ForRateCalc[Cost item],0),MATCH($F280,Inputs!$H$10:$Q$10,0)),"-")</f>
        <v>0.17255000000000001</v>
      </c>
      <c r="M280" s="56">
        <f>IFERROR(INDEX(Inputs!$H$11:$Q$125,MATCH($C280,Input_ForRateCalc[Cost item],0),MATCH($F280,Inputs!$H$10:$Q$10,0)),"-")</f>
        <v>0.17255000000000001</v>
      </c>
      <c r="N280" s="56">
        <f>IFERROR(INDEX(Inputs!$H$11:$Q$125,MATCH($C280,Input_ForRateCalc[Cost item],0),MATCH($F280,Inputs!$H$10:$Q$10,0)),"-")</f>
        <v>0.17255000000000001</v>
      </c>
      <c r="O280" s="56">
        <f>IFERROR(INDEX(Inputs!$H$11:$Q$125,MATCH($C280,Input_ForRateCalc[Cost item],0),MATCH($F280,Inputs!$H$10:$Q$10,0)),"-")</f>
        <v>0.17255000000000001</v>
      </c>
    </row>
    <row r="281" spans="2:15" outlineLevel="1" x14ac:dyDescent="0.25">
      <c r="B281"/>
      <c r="C281" s="18" t="s">
        <v>254</v>
      </c>
      <c r="D281" s="71" t="str">
        <f>INDEX(Input_DecisionActual[[Actual]:[Actual]],MATCH(Calc_TU_values!$D$235,Input_DecisionActual[[VDO period]:[VDO period]],0),1)</f>
        <v>VDO 2021 - Final</v>
      </c>
      <c r="E281" s="18" t="s">
        <v>354</v>
      </c>
      <c r="F281" s="71" t="str">
        <f>IF($D281="-","-",INDEX(Inputs!$H$10:$Q$10,1,MATCH($D281,Inputs!$H$8:$Q$8,0)))</f>
        <v>F-CurrentVDO_Input</v>
      </c>
      <c r="G281" s="47"/>
      <c r="H281" s="18" t="s">
        <v>66</v>
      </c>
      <c r="I281" s="18" t="s">
        <v>218</v>
      </c>
      <c r="J281" s="48" t="s">
        <v>46</v>
      </c>
      <c r="K281" s="53">
        <f>IFERROR(K279*K280/1000,"-")</f>
        <v>5.5870576816941407E-3</v>
      </c>
      <c r="L281" s="53">
        <f t="shared" ref="L281" si="115">IFERROR(L279*L280/1000,"-")</f>
        <v>5.5870576816941407E-3</v>
      </c>
      <c r="M281" s="53">
        <f t="shared" ref="M281" si="116">IFERROR(M279*M280/1000,"-")</f>
        <v>5.5870576816941407E-3</v>
      </c>
      <c r="N281" s="53">
        <f t="shared" ref="N281" si="117">IFERROR(N279*N280/1000,"-")</f>
        <v>5.5870576816941407E-3</v>
      </c>
      <c r="O281" s="53">
        <f t="shared" ref="O281" si="118">IFERROR(O279*O280/1000,"-")</f>
        <v>5.5870576816941407E-3</v>
      </c>
    </row>
    <row r="282" spans="2:15" outlineLevel="1" x14ac:dyDescent="0.25">
      <c r="C282" s="18" t="s">
        <v>255</v>
      </c>
      <c r="D282" s="18"/>
      <c r="E282" s="18"/>
      <c r="F282" s="18"/>
      <c r="G282" s="18"/>
      <c r="H282" s="18" t="s">
        <v>66</v>
      </c>
      <c r="I282" s="18" t="s">
        <v>218</v>
      </c>
      <c r="J282" s="18" t="s">
        <v>46</v>
      </c>
      <c r="K282" s="105">
        <f>IFERROR(K278-K281,"-")</f>
        <v>0</v>
      </c>
      <c r="L282" s="105">
        <f t="shared" ref="L282" si="119">IFERROR(L278-L281,"-")</f>
        <v>0</v>
      </c>
      <c r="M282" s="105">
        <f t="shared" ref="M282" si="120">IFERROR(M278-M281,"-")</f>
        <v>0</v>
      </c>
      <c r="N282" s="105">
        <f t="shared" ref="N282" si="121">IFERROR(N278-N281,"-")</f>
        <v>0</v>
      </c>
      <c r="O282" s="105">
        <f t="shared" ref="O282" si="122">IFERROR(O278-O281,"-")</f>
        <v>0</v>
      </c>
    </row>
    <row r="283" spans="2:15" outlineLevel="1" x14ac:dyDescent="0.25">
      <c r="C283" s="18" t="s">
        <v>256</v>
      </c>
      <c r="D283" s="71" t="str">
        <f>INDEX(Input_DecisionActual[[Actual]:[Actual]],MATCH(Calc_TU_values!$D$235,Input_DecisionActual[[VDO period]:[VDO period]],0),1)</f>
        <v>VDO 2021 - Final</v>
      </c>
      <c r="E283" s="18" t="s">
        <v>354</v>
      </c>
      <c r="F283" s="71" t="str">
        <f>IF($D283="-","-",INDEX(Inputs!$H$10:$Q$10,1,MATCH($D283,Inputs!$H$8:$Q$8,0)))</f>
        <v>F-CurrentVDO_Input</v>
      </c>
      <c r="G283" s="18"/>
      <c r="H283" s="18" t="s">
        <v>66</v>
      </c>
      <c r="I283" s="18" t="s">
        <v>218</v>
      </c>
      <c r="J283" s="18" t="s">
        <v>46</v>
      </c>
      <c r="K283" s="106">
        <f>IFERROR(K282*(INDEX(Inputs!$H$11:$Q$125,MATCH("Marginal loss factor - "&amp;K$15,Input_ForRateCalc[Cost item],0),MATCH($F283,Inputs!$H$10:$Q$10,0))*INDEX(Inputs!$H$11:$Q$125,MATCH("Distribution loss factor - "&amp;K$15,Input_ForRateCalc[Cost item],0),MATCH($F283,Inputs!$H$10:$Q$10,0))-1),"-")</f>
        <v>0</v>
      </c>
      <c r="L283" s="106">
        <f>IFERROR(L282*(INDEX(Inputs!$H$11:$Q$125,MATCH("Marginal loss factor - "&amp;L$15,Input_ForRateCalc[Cost item],0),MATCH($F283,Inputs!$H$10:$Q$10,0))*INDEX(Inputs!$H$11:$Q$125,MATCH("Distribution loss factor - "&amp;L$15,Input_ForRateCalc[Cost item],0),MATCH($F283,Inputs!$H$10:$Q$10,0))-1),"-")</f>
        <v>0</v>
      </c>
      <c r="M283" s="106">
        <f>IFERROR(M282*(INDEX(Inputs!$H$11:$Q$125,MATCH("Marginal loss factor - "&amp;M$15,Input_ForRateCalc[Cost item],0),MATCH($F283,Inputs!$H$10:$Q$10,0))*INDEX(Inputs!$H$11:$Q$125,MATCH("Distribution loss factor - "&amp;M$15,Input_ForRateCalc[Cost item],0),MATCH($F283,Inputs!$H$10:$Q$10,0))-1),"-")</f>
        <v>0</v>
      </c>
      <c r="N283" s="106">
        <f>IFERROR(N282*(INDEX(Inputs!$H$11:$Q$125,MATCH("Marginal loss factor - "&amp;N$15,Input_ForRateCalc[Cost item],0),MATCH($F283,Inputs!$H$10:$Q$10,0))*INDEX(Inputs!$H$11:$Q$125,MATCH("Distribution loss factor - "&amp;N$15,Input_ForRateCalc[Cost item],0),MATCH($F283,Inputs!$H$10:$Q$10,0))-1),"-")</f>
        <v>0</v>
      </c>
      <c r="O283" s="106">
        <f>IFERROR(O282*(INDEX(Inputs!$H$11:$Q$125,MATCH("Marginal loss factor - "&amp;O$15,Input_ForRateCalc[Cost item],0),MATCH($F283,Inputs!$H$10:$Q$10,0))*INDEX(Inputs!$H$11:$Q$125,MATCH("Distribution loss factor - "&amp;O$15,Input_ForRateCalc[Cost item],0),MATCH($F283,Inputs!$H$10:$Q$10,0))-1),"-")</f>
        <v>0</v>
      </c>
    </row>
    <row r="284" spans="2:15" outlineLevel="1" x14ac:dyDescent="0.25">
      <c r="B284"/>
      <c r="C284" s="18" t="s">
        <v>296</v>
      </c>
      <c r="D284" s="18"/>
      <c r="E284" s="18"/>
      <c r="F284" s="18"/>
      <c r="G284" s="18"/>
      <c r="H284" s="18" t="s">
        <v>66</v>
      </c>
      <c r="I284" s="18" t="s">
        <v>218</v>
      </c>
      <c r="J284" s="18" t="s">
        <v>46</v>
      </c>
      <c r="K284" s="106" t="str">
        <f>IF($D$241="Yes",SUM(K282:K283)*$D$242,"")</f>
        <v/>
      </c>
      <c r="L284" s="106" t="str">
        <f t="shared" ref="L284" si="123">IF($D$241="Yes",SUM(L282:L283)*$D$242,"")</f>
        <v/>
      </c>
      <c r="M284" s="106" t="str">
        <f t="shared" ref="M284" si="124">IF($D$241="Yes",SUM(M282:M283)*$D$242,"")</f>
        <v/>
      </c>
      <c r="N284" s="106" t="str">
        <f t="shared" ref="N284" si="125">IF($D$241="Yes",SUM(N282:N283)*$D$242,"")</f>
        <v/>
      </c>
      <c r="O284" s="106" t="str">
        <f t="shared" ref="O284" si="126">IF($D$241="Yes",SUM(O282:O283)*$D$242,"")</f>
        <v/>
      </c>
    </row>
    <row r="285" spans="2:15" outlineLevel="1" x14ac:dyDescent="0.25">
      <c r="B285"/>
      <c r="C285" s="18" t="s">
        <v>257</v>
      </c>
      <c r="D285" s="71" t="str">
        <f>INDEX(Input_DecisionActual[[Actual]:[Actual]],MATCH(Calc_TU_values!$D$235,Input_DecisionActual[[VDO period]:[VDO period]],0),1)</f>
        <v>VDO 2021 - Final</v>
      </c>
      <c r="E285" s="18" t="s">
        <v>354</v>
      </c>
      <c r="F285" s="71" t="str">
        <f>IF($D285="-","-",INDEX(Inputs!$H$10:$Q$10,1,MATCH($D285,Inputs!$H$8:$Q$8,0)))</f>
        <v>F-CurrentVDO_Input</v>
      </c>
      <c r="G285" s="18"/>
      <c r="H285" s="18" t="s">
        <v>66</v>
      </c>
      <c r="I285" s="18" t="s">
        <v>218</v>
      </c>
      <c r="J285" s="18" t="s">
        <v>46</v>
      </c>
      <c r="K285" s="106">
        <f>IFERROR(SUM(K282:K284)*(INDEX(Inputs!$H$11:$Q$125,MATCH("Retail operating margin",Input_ForRateCalc[Cost item],0),MATCH($F285,Inputs!$H$10:$Q$10,0))),"-")</f>
        <v>0</v>
      </c>
      <c r="L285" s="106">
        <f>IFERROR(SUM(L282:L284)*(INDEX(Inputs!$H$11:$Q$125,MATCH("Retail operating margin",Input_ForRateCalc[Cost item],0),MATCH($F285,Inputs!$H$10:$Q$10,0))),"-")</f>
        <v>0</v>
      </c>
      <c r="M285" s="106">
        <f>IFERROR(SUM(M282:M284)*(INDEX(Inputs!$H$11:$Q$125,MATCH("Retail operating margin",Input_ForRateCalc[Cost item],0),MATCH($F285,Inputs!$H$10:$Q$10,0))),"-")</f>
        <v>0</v>
      </c>
      <c r="N285" s="106">
        <f>IFERROR(SUM(N282:N284)*(INDEX(Inputs!$H$11:$Q$125,MATCH("Retail operating margin",Input_ForRateCalc[Cost item],0),MATCH($F285,Inputs!$H$10:$Q$10,0))),"-")</f>
        <v>0</v>
      </c>
      <c r="O285" s="106">
        <f>IFERROR(SUM(O282:O284)*(INDEX(Inputs!$H$11:$Q$125,MATCH("Retail operating margin",Input_ForRateCalc[Cost item],0),MATCH($F285,Inputs!$H$10:$Q$10,0))),"-")</f>
        <v>0</v>
      </c>
    </row>
    <row r="286" spans="2:15" outlineLevel="1" x14ac:dyDescent="0.25">
      <c r="B286"/>
      <c r="C286" s="18" t="s">
        <v>297</v>
      </c>
      <c r="D286" s="18"/>
      <c r="E286" s="18"/>
      <c r="F286" s="18"/>
      <c r="G286" s="18"/>
      <c r="H286" s="18" t="s">
        <v>66</v>
      </c>
      <c r="I286" s="18" t="s">
        <v>218</v>
      </c>
      <c r="J286" s="18" t="s">
        <v>46</v>
      </c>
      <c r="K286" s="106">
        <f>SUM(K282:K285)*GST</f>
        <v>0</v>
      </c>
      <c r="L286" s="106">
        <f>SUM(L282:L285)*GST</f>
        <v>0</v>
      </c>
      <c r="M286" s="106">
        <f>SUM(M282:M285)*GST</f>
        <v>0</v>
      </c>
      <c r="N286" s="106">
        <f>SUM(N282:N285)*GST</f>
        <v>0</v>
      </c>
      <c r="O286" s="106">
        <f>SUM(O282:O285)*GST</f>
        <v>0</v>
      </c>
    </row>
    <row r="287" spans="2:15" ht="15.75" outlineLevel="1" x14ac:dyDescent="0.25">
      <c r="B287" s="7"/>
      <c r="C287" s="95" t="s">
        <v>262</v>
      </c>
      <c r="D287" s="95"/>
      <c r="E287" s="95"/>
      <c r="F287" s="95"/>
      <c r="G287" s="59"/>
      <c r="H287" s="18" t="s">
        <v>66</v>
      </c>
      <c r="I287" s="18" t="s">
        <v>218</v>
      </c>
      <c r="J287" s="48" t="s">
        <v>46</v>
      </c>
      <c r="K287" s="106">
        <f>SUM(K282:K286)</f>
        <v>0</v>
      </c>
      <c r="L287" s="106">
        <f t="shared" ref="L287" si="127">SUM(L282:L286)</f>
        <v>0</v>
      </c>
      <c r="M287" s="106">
        <f t="shared" ref="M287" si="128">SUM(M282:M286)</f>
        <v>0</v>
      </c>
      <c r="N287" s="106">
        <f t="shared" ref="N287" si="129">SUM(N282:N286)</f>
        <v>0</v>
      </c>
      <c r="O287" s="106">
        <f t="shared" ref="O287" si="130">SUM(O282:O286)</f>
        <v>0</v>
      </c>
    </row>
    <row r="288" spans="2:15" outlineLevel="1" x14ac:dyDescent="0.25">
      <c r="H288" s="88"/>
      <c r="I288" s="88"/>
      <c r="J288" s="88"/>
      <c r="K288" s="88"/>
      <c r="L288" s="88"/>
    </row>
    <row r="289" spans="2:17" outlineLevel="1" x14ac:dyDescent="0.25"/>
    <row r="290" spans="2:17" ht="16.5" thickBot="1" x14ac:dyDescent="0.3">
      <c r="B290" s="7">
        <f ca="1">MAX(B$3:B289)+0.1</f>
        <v>8.3999999999999986</v>
      </c>
      <c r="C290" s="22" t="s">
        <v>299</v>
      </c>
      <c r="D290" s="22"/>
      <c r="E290" s="22"/>
      <c r="F290" s="22"/>
      <c r="G290" s="22"/>
      <c r="H290" s="22"/>
      <c r="I290" s="22"/>
      <c r="J290" s="22"/>
      <c r="K290" s="22"/>
      <c r="L290" s="22"/>
      <c r="M290" s="22"/>
      <c r="N290" s="22"/>
      <c r="O290" s="22"/>
      <c r="P290" s="22"/>
      <c r="Q290" s="22"/>
    </row>
    <row r="292" spans="2:17" ht="15.75" outlineLevel="1" x14ac:dyDescent="0.25">
      <c r="C292" s="33" t="s">
        <v>24</v>
      </c>
      <c r="D292" s="33" t="s">
        <v>300</v>
      </c>
      <c r="G292" s="33" t="s">
        <v>251</v>
      </c>
      <c r="H292" s="33" t="s">
        <v>37</v>
      </c>
      <c r="I292" s="33" t="s">
        <v>38</v>
      </c>
      <c r="J292" s="33" t="s">
        <v>30</v>
      </c>
      <c r="K292" s="42" t="s">
        <v>204</v>
      </c>
      <c r="L292" s="42" t="s">
        <v>205</v>
      </c>
      <c r="M292" s="42" t="s">
        <v>206</v>
      </c>
      <c r="N292" s="42" t="s">
        <v>207</v>
      </c>
      <c r="O292" s="42" t="s">
        <v>208</v>
      </c>
      <c r="P292" s="42" t="s">
        <v>371</v>
      </c>
      <c r="Q292" s="33" t="s">
        <v>372</v>
      </c>
    </row>
    <row r="293" spans="2:17" outlineLevel="1" x14ac:dyDescent="0.25">
      <c r="C293" s="46" t="s">
        <v>313</v>
      </c>
      <c r="D293" s="46"/>
      <c r="G293" s="46"/>
      <c r="H293" s="46"/>
      <c r="I293" s="46"/>
      <c r="J293" s="48" t="s">
        <v>31</v>
      </c>
      <c r="K293" s="119">
        <f>SUM(K294:K295)</f>
        <v>12.381083136020612</v>
      </c>
      <c r="L293" s="119">
        <f>SUM(L294:L295)</f>
        <v>16.956039964961967</v>
      </c>
      <c r="M293" s="119">
        <f>SUM(M294:M295)</f>
        <v>14.698785029114696</v>
      </c>
      <c r="N293" s="119">
        <f>SUM(N294:N295)</f>
        <v>14.771220739761532</v>
      </c>
      <c r="O293" s="119">
        <f>SUM(O294:O295)</f>
        <v>6.5136243004965326</v>
      </c>
      <c r="P293" s="134">
        <f t="shared" ref="P293:P304" si="131">IFERROR(AVERAGE(K293:O293),"-")</f>
        <v>13.064150634071069</v>
      </c>
      <c r="Q293" s="134">
        <f t="shared" ref="Q293:Q304" si="132">IFERROR(P293/TU_NET_CostMths,"-")</f>
        <v>6.5320753170355346</v>
      </c>
    </row>
    <row r="294" spans="2:17" outlineLevel="1" x14ac:dyDescent="0.25">
      <c r="C294" s="118" t="s">
        <v>44</v>
      </c>
      <c r="D294" s="48"/>
      <c r="G294" s="48"/>
      <c r="H294" s="48"/>
      <c r="I294" s="48"/>
      <c r="J294" s="48"/>
      <c r="K294" s="55">
        <f>K347</f>
        <v>1.8248234761643884</v>
      </c>
      <c r="L294" s="55">
        <f>L347</f>
        <v>-1.2662808725479466</v>
      </c>
      <c r="M294" s="55">
        <f>M347</f>
        <v>0.21319327473972866</v>
      </c>
      <c r="N294" s="55">
        <f>N347</f>
        <v>-1.4904706405479504</v>
      </c>
      <c r="O294" s="55">
        <f>O347</f>
        <v>2.823027675178083</v>
      </c>
      <c r="P294" s="137">
        <f t="shared" si="131"/>
        <v>0.42085858259726061</v>
      </c>
      <c r="Q294" s="137">
        <f t="shared" si="132"/>
        <v>0.21042929129863031</v>
      </c>
    </row>
    <row r="295" spans="2:17" outlineLevel="1" x14ac:dyDescent="0.25">
      <c r="C295" s="118" t="s">
        <v>66</v>
      </c>
      <c r="D295" s="48"/>
      <c r="G295" s="48"/>
      <c r="H295" s="48"/>
      <c r="I295" s="48"/>
      <c r="J295" s="48"/>
      <c r="K295" s="55">
        <f>K362</f>
        <v>10.556259659856224</v>
      </c>
      <c r="L295" s="55">
        <f>L362</f>
        <v>18.222320837509912</v>
      </c>
      <c r="M295" s="55">
        <f>M362</f>
        <v>14.485591754374967</v>
      </c>
      <c r="N295" s="55">
        <f>N362</f>
        <v>16.261691380309482</v>
      </c>
      <c r="O295" s="55">
        <f>O362</f>
        <v>3.6905966253184492</v>
      </c>
      <c r="P295" s="137">
        <f t="shared" si="131"/>
        <v>12.643292051473807</v>
      </c>
      <c r="Q295" s="137">
        <f t="shared" si="132"/>
        <v>6.3216460257369036</v>
      </c>
    </row>
    <row r="296" spans="2:17" outlineLevel="1" x14ac:dyDescent="0.25">
      <c r="C296" s="46" t="s">
        <v>314</v>
      </c>
      <c r="D296" s="46"/>
      <c r="G296" s="46"/>
      <c r="H296" s="46"/>
      <c r="I296" s="46"/>
      <c r="J296" s="48" t="s">
        <v>32</v>
      </c>
      <c r="K296" s="119">
        <f>SUM(K297:K298)</f>
        <v>23.449091474566625</v>
      </c>
      <c r="L296" s="119">
        <f>SUM(L297:L298)</f>
        <v>8.1377939777841402</v>
      </c>
      <c r="M296" s="119">
        <f>SUM(M297:M298)</f>
        <v>23.83399238662134</v>
      </c>
      <c r="N296" s="119">
        <f>SUM(N297:N298)</f>
        <v>10.439105062866183</v>
      </c>
      <c r="O296" s="119">
        <f>SUM(O297:O298)</f>
        <v>4.9870197516363568E-2</v>
      </c>
      <c r="P296" s="134">
        <f t="shared" si="131"/>
        <v>13.181970619870933</v>
      </c>
      <c r="Q296" s="134">
        <f>IFERROR(P296/TU_NET_CostMths,"-")</f>
        <v>6.5909853099354665</v>
      </c>
    </row>
    <row r="297" spans="2:17" outlineLevel="1" x14ac:dyDescent="0.25">
      <c r="C297" s="118" t="s">
        <v>44</v>
      </c>
      <c r="D297" s="48"/>
      <c r="G297" s="48"/>
      <c r="H297" s="48"/>
      <c r="I297" s="48"/>
      <c r="J297" s="48"/>
      <c r="K297" s="55">
        <f>K387</f>
        <v>1.8248234761643884</v>
      </c>
      <c r="L297" s="55">
        <f>L387</f>
        <v>-1.2648939274520594</v>
      </c>
      <c r="M297" s="55">
        <f>M387</f>
        <v>0.7202207747945274</v>
      </c>
      <c r="N297" s="55">
        <f>N387</f>
        <v>-1.489678100493145</v>
      </c>
      <c r="O297" s="55">
        <f>O387</f>
        <v>6.7861242191780837</v>
      </c>
      <c r="P297" s="137">
        <f t="shared" si="131"/>
        <v>1.3153192884383589</v>
      </c>
      <c r="Q297" s="137">
        <f t="shared" si="132"/>
        <v>0.65765964421917944</v>
      </c>
    </row>
    <row r="298" spans="2:17" outlineLevel="1" x14ac:dyDescent="0.25">
      <c r="C298" s="118" t="s">
        <v>66</v>
      </c>
      <c r="D298" s="48"/>
      <c r="G298" s="48"/>
      <c r="H298" s="48"/>
      <c r="I298" s="48"/>
      <c r="J298" s="48"/>
      <c r="K298" s="55">
        <f>K402</f>
        <v>21.624267998402235</v>
      </c>
      <c r="L298" s="55">
        <f>L402</f>
        <v>9.4026879052361991</v>
      </c>
      <c r="M298" s="55">
        <f>M402</f>
        <v>23.113771611826813</v>
      </c>
      <c r="N298" s="55">
        <f>N402</f>
        <v>11.928783163359327</v>
      </c>
      <c r="O298" s="55">
        <f>O402</f>
        <v>-6.7362540216617202</v>
      </c>
      <c r="P298" s="137">
        <f t="shared" si="131"/>
        <v>11.866651331432569</v>
      </c>
      <c r="Q298" s="137">
        <f t="shared" si="132"/>
        <v>5.9333256657162847</v>
      </c>
    </row>
    <row r="299" spans="2:17" outlineLevel="1" x14ac:dyDescent="0.25">
      <c r="C299" s="46" t="s">
        <v>315</v>
      </c>
      <c r="D299" s="46"/>
      <c r="G299" s="46"/>
      <c r="H299" s="46"/>
      <c r="I299" s="46"/>
      <c r="J299" s="48" t="s">
        <v>31</v>
      </c>
      <c r="K299" s="119">
        <f>SUM(K300:K301)</f>
        <v>-6.7600924631634989</v>
      </c>
      <c r="L299" s="119">
        <f>SUM(L300:L301)</f>
        <v>15.53516026421436</v>
      </c>
      <c r="M299" s="119">
        <f>SUM(M300:M301)</f>
        <v>-3.8849836153873452</v>
      </c>
      <c r="N299" s="119">
        <f>SUM(N300:N301)</f>
        <v>11.776070916026509</v>
      </c>
      <c r="O299" s="119">
        <f>SUM(O300:O301)</f>
        <v>4.9820267009893691</v>
      </c>
      <c r="P299" s="134">
        <f>IFERROR(AVERAGE(K299:O299),"-")</f>
        <v>4.3296363605358783</v>
      </c>
      <c r="Q299" s="134">
        <f>IFERROR(P299/TU_NET_CostMths,"-")</f>
        <v>2.1648181802679392</v>
      </c>
    </row>
    <row r="300" spans="2:17" outlineLevel="1" x14ac:dyDescent="0.25">
      <c r="C300" s="118" t="s">
        <v>44</v>
      </c>
      <c r="D300" s="48"/>
      <c r="G300" s="48"/>
      <c r="H300" s="48"/>
      <c r="I300" s="48"/>
      <c r="J300" s="48"/>
      <c r="K300" s="55">
        <f>K417</f>
        <v>1.8248234761643884</v>
      </c>
      <c r="L300" s="55">
        <f>L417</f>
        <v>-1.2662808725479466</v>
      </c>
      <c r="M300" s="55">
        <f>M417</f>
        <v>0.21319327473972866</v>
      </c>
      <c r="N300" s="55">
        <f>N417</f>
        <v>-1.4904706405479504</v>
      </c>
      <c r="O300" s="55">
        <f>O417</f>
        <v>2.823027675178083</v>
      </c>
      <c r="P300" s="137">
        <f t="shared" si="131"/>
        <v>0.42085858259726061</v>
      </c>
      <c r="Q300" s="137">
        <f t="shared" si="132"/>
        <v>0.21042929129863031</v>
      </c>
    </row>
    <row r="301" spans="2:17" outlineLevel="1" x14ac:dyDescent="0.25">
      <c r="C301" s="118" t="s">
        <v>66</v>
      </c>
      <c r="D301" s="48"/>
      <c r="G301" s="48"/>
      <c r="H301" s="48"/>
      <c r="I301" s="48"/>
      <c r="J301" s="48"/>
      <c r="K301" s="55">
        <f>K431</f>
        <v>-8.5849159393278871</v>
      </c>
      <c r="L301" s="55">
        <f>L431</f>
        <v>16.801441136762307</v>
      </c>
      <c r="M301" s="55">
        <f>M431</f>
        <v>-4.0981768901270739</v>
      </c>
      <c r="N301" s="55">
        <f>N431</f>
        <v>13.26654155657446</v>
      </c>
      <c r="O301" s="55">
        <f>O431</f>
        <v>2.1589990258112866</v>
      </c>
      <c r="P301" s="137">
        <f t="shared" si="131"/>
        <v>3.9087777779386186</v>
      </c>
      <c r="Q301" s="137">
        <f t="shared" si="132"/>
        <v>1.9543888889693093</v>
      </c>
    </row>
    <row r="302" spans="2:17" outlineLevel="1" x14ac:dyDescent="0.25">
      <c r="C302" s="46" t="s">
        <v>316</v>
      </c>
      <c r="D302" s="46"/>
      <c r="G302" s="46"/>
      <c r="H302" s="46"/>
      <c r="I302" s="46"/>
      <c r="J302" s="48" t="s">
        <v>32</v>
      </c>
      <c r="K302" s="119">
        <f>SUM(K303:K304)</f>
        <v>-49.514934688251095</v>
      </c>
      <c r="L302" s="119">
        <f>SUM(L303:L304)</f>
        <v>3.137528752954799</v>
      </c>
      <c r="M302" s="119">
        <f>SUM(M303:M304)</f>
        <v>11.563674938212468</v>
      </c>
      <c r="N302" s="119">
        <f>SUM(N303:N304)</f>
        <v>4.9701088290295674</v>
      </c>
      <c r="O302" s="119">
        <f>SUM(O303:O304)</f>
        <v>-4.8451410582244927</v>
      </c>
      <c r="P302" s="134">
        <f>IFERROR(AVERAGE(K302:O302),"-")</f>
        <v>-6.9377526452557507</v>
      </c>
      <c r="Q302" s="134">
        <f t="shared" si="132"/>
        <v>-3.4688763226278754</v>
      </c>
    </row>
    <row r="303" spans="2:17" outlineLevel="1" x14ac:dyDescent="0.25">
      <c r="C303" s="118" t="s">
        <v>44</v>
      </c>
      <c r="D303" s="48"/>
      <c r="G303" s="48"/>
      <c r="H303" s="48"/>
      <c r="I303" s="48"/>
      <c r="J303" s="48"/>
      <c r="K303" s="55">
        <f>K445</f>
        <v>1.8248234761643884</v>
      </c>
      <c r="L303" s="55">
        <f>L445</f>
        <v>-1.2648939274520594</v>
      </c>
      <c r="M303" s="55">
        <f>M445</f>
        <v>22.051040079561648</v>
      </c>
      <c r="N303" s="55">
        <f>N445</f>
        <v>-1.489678100493145</v>
      </c>
      <c r="O303" s="55">
        <f>O445</f>
        <v>6.7861242191780837</v>
      </c>
      <c r="P303" s="137">
        <f t="shared" si="131"/>
        <v>5.5814831493917838</v>
      </c>
      <c r="Q303" s="137">
        <f t="shared" si="132"/>
        <v>2.7907415746958919</v>
      </c>
    </row>
    <row r="304" spans="2:17" outlineLevel="1" x14ac:dyDescent="0.25">
      <c r="C304" s="118" t="s">
        <v>66</v>
      </c>
      <c r="D304" s="48"/>
      <c r="G304" s="48"/>
      <c r="H304" s="48"/>
      <c r="I304" s="48"/>
      <c r="J304" s="48"/>
      <c r="K304" s="55">
        <f>K459</f>
        <v>-51.339758164415485</v>
      </c>
      <c r="L304" s="55">
        <f>L459</f>
        <v>4.4024226804068585</v>
      </c>
      <c r="M304" s="55">
        <f>M459</f>
        <v>-10.48736514134918</v>
      </c>
      <c r="N304" s="55">
        <f>N459</f>
        <v>6.4597869295227124</v>
      </c>
      <c r="O304" s="55">
        <f>O459</f>
        <v>-11.631265277402576</v>
      </c>
      <c r="P304" s="137">
        <f t="shared" si="131"/>
        <v>-12.519235794647534</v>
      </c>
      <c r="Q304" s="137">
        <f t="shared" si="132"/>
        <v>-6.2596178973237668</v>
      </c>
    </row>
    <row r="305" spans="2:18" outlineLevel="1" x14ac:dyDescent="0.25"/>
    <row r="306" spans="2:18" outlineLevel="1" x14ac:dyDescent="0.25"/>
    <row r="307" spans="2:18" ht="15.75" outlineLevel="1" x14ac:dyDescent="0.25">
      <c r="C307" s="43" t="s">
        <v>341</v>
      </c>
      <c r="D307" s="71" t="str">
        <f>INDEX(Inputs!$H$10:$Q$10,1,MATCH($D$235,Inputs!$H$8:$Q$8,0))</f>
        <v>D-NextVDO_Input</v>
      </c>
      <c r="E307" s="156">
        <f>INDEX(Input_TUNet_Dates[[F-CurrentVDO_Input]:[F-NextVDO_Input]],MATCH($C307,Input_TUNet_Dates[Item],0),MATCH($D307,Input_TUNet_Dates[[#Headers],[F-CurrentVDO_Input]:[F-NextVDO_Input]],0))</f>
        <v>44378</v>
      </c>
    </row>
    <row r="308" spans="2:18" ht="15.75" outlineLevel="1" x14ac:dyDescent="0.25">
      <c r="C308" s="43" t="s">
        <v>342</v>
      </c>
      <c r="D308" s="71" t="str">
        <f>INDEX(Inputs!$H$10:$Q$10,1,MATCH($D$235,Inputs!$H$8:$Q$8,0))</f>
        <v>D-NextVDO_Input</v>
      </c>
      <c r="E308" s="156">
        <f>INDEX(Input_TUNet_Dates[[F-CurrentVDO_Input]:[F-NextVDO_Input]],MATCH($C308,Input_TUNet_Dates[Item],0),MATCH($D308,Input_TUNet_Dates[[#Headers],[F-CurrentVDO_Input]:[F-NextVDO_Input]],0))</f>
        <v>44439</v>
      </c>
      <c r="K308" s="98"/>
      <c r="L308" s="98"/>
      <c r="M308" s="98"/>
      <c r="N308" s="98"/>
      <c r="O308" s="98"/>
      <c r="P308" s="114"/>
      <c r="Q308" s="114"/>
      <c r="R308" s="74"/>
    </row>
    <row r="309" spans="2:18" ht="15.75" outlineLevel="1" x14ac:dyDescent="0.25">
      <c r="C309" s="43" t="s">
        <v>399</v>
      </c>
      <c r="D309" s="175">
        <f>IFERROR(_xlfn.DAYS(E308,E307)+1,"-")</f>
        <v>62</v>
      </c>
      <c r="K309" s="98"/>
      <c r="L309" s="98"/>
      <c r="M309" s="98"/>
      <c r="N309" s="98"/>
      <c r="O309" s="98"/>
      <c r="P309" s="114"/>
      <c r="Q309" s="114"/>
      <c r="R309" s="74"/>
    </row>
    <row r="310" spans="2:18" ht="15.75" outlineLevel="1" x14ac:dyDescent="0.25">
      <c r="B310"/>
      <c r="C310" s="43" t="s">
        <v>303</v>
      </c>
      <c r="D310" s="125">
        <f>IFERROR(D309/DiY,"-")</f>
        <v>0.16986301369863013</v>
      </c>
      <c r="G310" s="114"/>
    </row>
    <row r="311" spans="2:18" ht="15.75" outlineLevel="1" x14ac:dyDescent="0.25">
      <c r="B311"/>
      <c r="C311" s="43" t="s">
        <v>296</v>
      </c>
      <c r="D311" s="124" t="s">
        <v>253</v>
      </c>
    </row>
    <row r="312" spans="2:18" ht="15.75" outlineLevel="1" x14ac:dyDescent="0.25">
      <c r="B312"/>
      <c r="C312" s="43" t="s">
        <v>347</v>
      </c>
      <c r="D312" s="125">
        <f>(1+WACC)^(1/2)-1</f>
        <v>3.2230594392551382E-2</v>
      </c>
    </row>
    <row r="313" spans="2:18" outlineLevel="1" x14ac:dyDescent="0.25">
      <c r="B313"/>
    </row>
    <row r="314" spans="2:18" ht="15.75" outlineLevel="1" x14ac:dyDescent="0.25">
      <c r="B314"/>
      <c r="C314" s="23" t="s">
        <v>408</v>
      </c>
    </row>
    <row r="315" spans="2:18" ht="15.75" outlineLevel="1" x14ac:dyDescent="0.25">
      <c r="B315"/>
      <c r="C315" s="145" t="s">
        <v>6</v>
      </c>
      <c r="D315" s="145" t="s">
        <v>36</v>
      </c>
      <c r="E315" s="145" t="s">
        <v>30</v>
      </c>
      <c r="F315" s="145" t="s">
        <v>394</v>
      </c>
    </row>
    <row r="316" spans="2:18" outlineLevel="1" x14ac:dyDescent="0.25">
      <c r="B316"/>
      <c r="C316" s="48" t="s">
        <v>386</v>
      </c>
      <c r="D316" s="71" t="str">
        <f>INDEX(Inputs!$H$10:$Q$10,1,MATCH($D$235,Inputs!$H$8:$Q$8,0))</f>
        <v>D-NextVDO_Input</v>
      </c>
      <c r="E316" s="48" t="s">
        <v>31</v>
      </c>
      <c r="F316" s="150">
        <f>SUMIFS(
INDEX(Input_TUNet_Actual[[F-CurrentVDO_Input]:[F-NextVDO_Input]],0,MATCH(TUNet_Usage_Actual_2[[#This Row],[VDO decision]],Input_TUNet_Actual[[#Headers],[F-CurrentVDO_Input]:[F-NextVDO_Input]],0)),
Input_TUNet_Actual[Customer type],Calc_TU_values!E316,Input_TUNet_Actual[Item],Calc_TU_values!C316)</f>
        <v>2682922340.2849989</v>
      </c>
    </row>
    <row r="317" spans="2:18" outlineLevel="1" x14ac:dyDescent="0.25">
      <c r="B317"/>
      <c r="C317" s="18" t="s">
        <v>382</v>
      </c>
      <c r="D317" s="71" t="str">
        <f>INDEX(Inputs!$H$10:$Q$10,1,MATCH($D$235,Inputs!$H$8:$Q$8,0))</f>
        <v>D-NextVDO_Input</v>
      </c>
      <c r="E317" s="48" t="s">
        <v>31</v>
      </c>
      <c r="F317" s="150">
        <f>SUMIFS(
INDEX(Input_TUNet_Actual[[F-CurrentVDO_Input]:[F-NextVDO_Input]],0,MATCH(TUNet_Usage_Actual_2[[#This Row],[VDO decision]],Input_TUNet_Actual[[#Headers],[F-CurrentVDO_Input]:[F-NextVDO_Input]],0)),
Input_TUNet_Actual[Customer type],Calc_TU_values!E317,Input_TUNet_Actual[Item],Calc_TU_values!C317)</f>
        <v>2713463</v>
      </c>
    </row>
    <row r="318" spans="2:18" outlineLevel="1" x14ac:dyDescent="0.25">
      <c r="B318"/>
      <c r="C318" s="48" t="s">
        <v>393</v>
      </c>
      <c r="D318" s="71" t="str">
        <f>INDEX(Inputs!$H$10:$Q$10,1,MATCH($D$235,Inputs!$H$8:$Q$8,0))</f>
        <v>D-NextVDO_Input</v>
      </c>
      <c r="E318" s="48" t="s">
        <v>31</v>
      </c>
      <c r="F318" s="151">
        <f>IFERROR(F316/F317,"-")</f>
        <v>988.74476647921824</v>
      </c>
    </row>
    <row r="319" spans="2:18" outlineLevel="1" x14ac:dyDescent="0.25">
      <c r="B319"/>
      <c r="C319" s="48" t="s">
        <v>386</v>
      </c>
      <c r="D319" s="71" t="str">
        <f>INDEX(Inputs!$H$10:$Q$10,1,MATCH($D$235,Inputs!$H$8:$Q$8,0))</f>
        <v>D-NextVDO_Input</v>
      </c>
      <c r="E319" s="48" t="s">
        <v>32</v>
      </c>
      <c r="F319" s="150">
        <f>SUMIFS(
INDEX(Input_TUNet_Actual[[F-CurrentVDO_Input]:[F-NextVDO_Input]],0,MATCH(TUNet_Usage_Actual_2[[#This Row],[VDO decision]],Input_TUNet_Actual[[#Headers],[F-CurrentVDO_Input]:[F-NextVDO_Input]],0)),
Input_TUNet_Actual[Customer type],Calc_TU_values!E319,Input_TUNet_Actual[Item],Calc_TU_values!C319)</f>
        <v>353138538.1960001</v>
      </c>
    </row>
    <row r="320" spans="2:18" outlineLevel="1" x14ac:dyDescent="0.25">
      <c r="B320"/>
      <c r="C320" s="18" t="s">
        <v>382</v>
      </c>
      <c r="D320" s="71" t="str">
        <f>INDEX(Inputs!$H$10:$Q$10,1,MATCH($D$235,Inputs!$H$8:$Q$8,0))</f>
        <v>D-NextVDO_Input</v>
      </c>
      <c r="E320" s="48" t="s">
        <v>32</v>
      </c>
      <c r="F320" s="150">
        <f>SUMIFS(
INDEX(Input_TUNet_Actual[[F-CurrentVDO_Input]:[F-NextVDO_Input]],0,MATCH(TUNet_Usage_Actual_2[[#This Row],[VDO decision]],Input_TUNet_Actual[[#Headers],[F-CurrentVDO_Input]:[F-NextVDO_Input]],0)),
Input_TUNet_Actual[Customer type],Calc_TU_values!E320,Input_TUNet_Actual[Item],Calc_TU_values!C320)</f>
        <v>293515</v>
      </c>
    </row>
    <row r="321" spans="2:15" outlineLevel="1" x14ac:dyDescent="0.25">
      <c r="B321"/>
      <c r="C321" s="48" t="s">
        <v>393</v>
      </c>
      <c r="D321" s="71" t="str">
        <f>INDEX(Inputs!$H$10:$Q$10,1,MATCH($D$235,Inputs!$H$8:$Q$8,0))</f>
        <v>D-NextVDO_Input</v>
      </c>
      <c r="E321" s="152" t="s">
        <v>32</v>
      </c>
      <c r="F321" s="151">
        <f>IFERROR(F319/F320,"-")</f>
        <v>1203.1362560550572</v>
      </c>
    </row>
    <row r="322" spans="2:15" outlineLevel="1" x14ac:dyDescent="0.25">
      <c r="B322"/>
    </row>
    <row r="323" spans="2:15" ht="15.75" outlineLevel="1" x14ac:dyDescent="0.25">
      <c r="B323"/>
      <c r="C323" s="23" t="s">
        <v>424</v>
      </c>
    </row>
    <row r="324" spans="2:15" ht="15.75" outlineLevel="1" x14ac:dyDescent="0.25">
      <c r="B324"/>
      <c r="C324" s="145" t="s">
        <v>6</v>
      </c>
      <c r="D324" s="145" t="s">
        <v>36</v>
      </c>
      <c r="E324" s="145" t="s">
        <v>30</v>
      </c>
      <c r="F324" s="145" t="s">
        <v>204</v>
      </c>
      <c r="G324" s="49" t="s">
        <v>205</v>
      </c>
      <c r="H324" s="49" t="s">
        <v>206</v>
      </c>
      <c r="I324" s="49" t="s">
        <v>207</v>
      </c>
      <c r="J324" s="49" t="s">
        <v>208</v>
      </c>
    </row>
    <row r="325" spans="2:15" outlineLevel="1" x14ac:dyDescent="0.25">
      <c r="B325"/>
      <c r="C325" s="48" t="s">
        <v>417</v>
      </c>
      <c r="D325" s="71" t="str">
        <f>INDEX(Inputs!$H$10:$Q$10,1,MATCH($D$235,Inputs!$H$8:$Q$8,0))</f>
        <v>D-NextVDO_Input</v>
      </c>
      <c r="E325" s="48" t="s">
        <v>31</v>
      </c>
      <c r="F325" s="155">
        <f>IF(SUMIFS(
INDEX(Input_TUNet_Actual[[F-CurrentVDO_Input]:[F-NextVDO_Input]],0,MATCH(TUNet_Usage_PerRate_2[[#This Row],[VDO decision]],Input_TUNet_Actual[[#Headers],[F-CurrentVDO_Input]:[F-NextVDO_Input]],0)),
Input_TUNet_Actual[Customer type],$E325,Input_TUNet_Actual[Item],$C325&amp;" - "&amp;F$324)=0,"-",MIN(SUMIFS(TUNet_Usage_Actual_2[Value],TUNet_Usage_Actual_2[Customer type],$E325,TUNet_Usage_Actual_2[Description],"Usage per customer"),SUMIFS(
INDEX(Input_TUNet_Actual[[F-CurrentVDO_Input]:[F-NextVDO_Input]],0,MATCH(TUNet_Usage_PerRate_2[[#This Row],[VDO decision]],Input_TUNet_Actual[[#Headers],[F-CurrentVDO_Input]:[F-NextVDO_Input]],0)),
Input_TUNet_Actual[Customer type],$E325,Input_TUNet_Actual[Item],$C325&amp;" - "&amp;F$324)))</f>
        <v>988.74476647921824</v>
      </c>
      <c r="G325" s="155" t="str">
        <f>IF(SUMIFS(
INDEX(Input_TUNet_Actual[[F-CurrentVDO_Input]:[F-NextVDO_Input]],0,MATCH(TUNet_Usage_PerRate_2[[#This Row],[VDO decision]],Input_TUNet_Actual[[#Headers],[F-CurrentVDO_Input]:[F-NextVDO_Input]],0)),
Input_TUNet_Actual[Customer type],$E325,Input_TUNet_Actual[Item],$C325&amp;" - "&amp;G$324)=0,"-",MIN(SUMIFS(TUNet_Usage_Actual_2[Value],TUNet_Usage_Actual_2[Customer type],$E325,TUNet_Usage_Actual_2[Description],"Usage per customer"),SUMIFS(
INDEX(Input_TUNet_Actual[[F-CurrentVDO_Input]:[F-NextVDO_Input]],0,MATCH(TUNet_Usage_PerRate_2[[#This Row],[VDO decision]],Input_TUNet_Actual[[#Headers],[F-CurrentVDO_Input]:[F-NextVDO_Input]],0)),
Input_TUNet_Actual[Customer type],$E325,Input_TUNet_Actual[Item],$C325&amp;" - "&amp;G$324)))</f>
        <v>-</v>
      </c>
      <c r="H325" s="155" t="str">
        <f>IF(SUMIFS(
INDEX(Input_TUNet_Actual[[F-CurrentVDO_Input]:[F-NextVDO_Input]],0,MATCH(TUNet_Usage_PerRate_2[[#This Row],[VDO decision]],Input_TUNet_Actual[[#Headers],[F-CurrentVDO_Input]:[F-NextVDO_Input]],0)),
Input_TUNet_Actual[Customer type],$E325,Input_TUNet_Actual[Item],$C325&amp;" - "&amp;H$324)=0,"-",MIN(SUMIFS(TUNet_Usage_Actual_2[Value],TUNet_Usage_Actual_2[Customer type],$E325,TUNet_Usage_Actual_2[Description],"Usage per customer"),SUMIFS(
INDEX(Input_TUNet_Actual[[F-CurrentVDO_Input]:[F-NextVDO_Input]],0,MATCH(TUNet_Usage_PerRate_2[[#This Row],[VDO decision]],Input_TUNet_Actual[[#Headers],[F-CurrentVDO_Input]:[F-NextVDO_Input]],0)),
Input_TUNet_Actual[Customer type],$E325,Input_TUNet_Actual[Item],$C325&amp;" - "&amp;H$324)))</f>
        <v>-</v>
      </c>
      <c r="I325" s="155" t="str">
        <f>IF(SUMIFS(
INDEX(Input_TUNet_Actual[[F-CurrentVDO_Input]:[F-NextVDO_Input]],0,MATCH(TUNet_Usage_PerRate_2[[#This Row],[VDO decision]],Input_TUNet_Actual[[#Headers],[F-CurrentVDO_Input]:[F-NextVDO_Input]],0)),
Input_TUNet_Actual[Customer type],$E325,Input_TUNet_Actual[Item],$C325&amp;" - "&amp;I$324)=0,"-",MIN(SUMIFS(TUNet_Usage_Actual_2[Value],TUNet_Usage_Actual_2[Customer type],$E325,TUNet_Usage_Actual_2[Description],"Usage per customer"),SUMIFS(
INDEX(Input_TUNet_Actual[[F-CurrentVDO_Input]:[F-NextVDO_Input]],0,MATCH(TUNet_Usage_PerRate_2[[#This Row],[VDO decision]],Input_TUNet_Actual[[#Headers],[F-CurrentVDO_Input]:[F-NextVDO_Input]],0)),
Input_TUNet_Actual[Customer type],$E325,Input_TUNet_Actual[Item],$C325&amp;" - "&amp;I$324)))</f>
        <v>-</v>
      </c>
      <c r="J325" s="155" t="str">
        <f>IF(SUMIFS(
INDEX(Input_TUNet_Actual[[F-CurrentVDO_Input]:[F-NextVDO_Input]],0,MATCH(TUNet_Usage_PerRate_2[[#This Row],[VDO decision]],Input_TUNet_Actual[[#Headers],[F-CurrentVDO_Input]:[F-NextVDO_Input]],0)),
Input_TUNet_Actual[Customer type],$E325,Input_TUNet_Actual[Item],$C325&amp;" - "&amp;J$324)=0,"-",MIN(SUMIFS(TUNet_Usage_Actual_2[Value],TUNet_Usage_Actual_2[Customer type],$E325,TUNet_Usage_Actual_2[Description],"Usage per customer"),SUMIFS(
INDEX(Input_TUNet_Actual[[F-CurrentVDO_Input]:[F-NextVDO_Input]],0,MATCH(TUNet_Usage_PerRate_2[[#This Row],[VDO decision]],Input_TUNet_Actual[[#Headers],[F-CurrentVDO_Input]:[F-NextVDO_Input]],0)),
Input_TUNet_Actual[Customer type],$E325,Input_TUNet_Actual[Item],$C325&amp;" - "&amp;J$324)))</f>
        <v>-</v>
      </c>
    </row>
    <row r="326" spans="2:15" outlineLevel="1" x14ac:dyDescent="0.25">
      <c r="B326"/>
      <c r="C326" s="48" t="s">
        <v>417</v>
      </c>
      <c r="D326" s="71" t="str">
        <f>INDEX(Inputs!$H$10:$Q$10,1,MATCH($D$235,Inputs!$H$8:$Q$8,0))</f>
        <v>D-NextVDO_Input</v>
      </c>
      <c r="E326" s="48" t="s">
        <v>32</v>
      </c>
      <c r="F326" s="155">
        <f>IF(SUMIFS(
INDEX(Input_TUNet_Actual[[F-CurrentVDO_Input]:[F-NextVDO_Input]],0,MATCH(TUNet_Usage_PerRate_2[[#This Row],[VDO decision]],Input_TUNet_Actual[[#Headers],[F-CurrentVDO_Input]:[F-NextVDO_Input]],0)),
Input_TUNet_Actual[Customer type],$E326,Input_TUNet_Actual[Item],$C326&amp;" - "&amp;F$324)=0,"-",MIN(SUMIFS(TUNet_Usage_Actual_2[Value],TUNet_Usage_Actual_2[Customer type],$E326,TUNet_Usage_Actual_2[Description],"Usage per customer"),SUMIFS(
INDEX(Input_TUNet_Actual[[F-CurrentVDO_Input]:[F-NextVDO_Input]],0,MATCH(TUNet_Usage_PerRate_2[[#This Row],[VDO decision]],Input_TUNet_Actual[[#Headers],[F-CurrentVDO_Input]:[F-NextVDO_Input]],0)),
Input_TUNet_Actual[Customer type],$E326,Input_TUNet_Actual[Item],$C326&amp;" - "&amp;F$324)))</f>
        <v>1020</v>
      </c>
      <c r="G326" s="155" t="str">
        <f>IF(SUMIFS(
INDEX(Input_TUNet_Actual[[F-CurrentVDO_Input]:[F-NextVDO_Input]],0,MATCH(TUNet_Usage_PerRate_2[[#This Row],[VDO decision]],Input_TUNet_Actual[[#Headers],[F-CurrentVDO_Input]:[F-NextVDO_Input]],0)),
Input_TUNet_Actual[Customer type],$E326,Input_TUNet_Actual[Item],$C326&amp;" - "&amp;G$324)=0,"-",MIN(SUMIFS(TUNet_Usage_Actual_2[Value],TUNet_Usage_Actual_2[Customer type],$E326,TUNet_Usage_Actual_2[Description],"Usage per customer"),SUMIFS(
INDEX(Input_TUNet_Actual[[F-CurrentVDO_Input]:[F-NextVDO_Input]],0,MATCH(TUNet_Usage_PerRate_2[[#This Row],[VDO decision]],Input_TUNet_Actual[[#Headers],[F-CurrentVDO_Input]:[F-NextVDO_Input]],0)),
Input_TUNet_Actual[Customer type],$E326,Input_TUNet_Actual[Item],$C326&amp;" - "&amp;G$324)))</f>
        <v>-</v>
      </c>
      <c r="H326" s="155" t="str">
        <f>IF(SUMIFS(
INDEX(Input_TUNet_Actual[[F-CurrentVDO_Input]:[F-NextVDO_Input]],0,MATCH(TUNet_Usage_PerRate_2[[#This Row],[VDO decision]],Input_TUNet_Actual[[#Headers],[F-CurrentVDO_Input]:[F-NextVDO_Input]],0)),
Input_TUNet_Actual[Customer type],$E326,Input_TUNet_Actual[Item],$C326&amp;" - "&amp;H$324)=0,"-",MIN(SUMIFS(TUNet_Usage_Actual_2[Value],TUNet_Usage_Actual_2[Customer type],$E326,TUNet_Usage_Actual_2[Description],"Usage per customer"),SUMIFS(
INDEX(Input_TUNet_Actual[[F-CurrentVDO_Input]:[F-NextVDO_Input]],0,MATCH(TUNet_Usage_PerRate_2[[#This Row],[VDO decision]],Input_TUNet_Actual[[#Headers],[F-CurrentVDO_Input]:[F-NextVDO_Input]],0)),
Input_TUNet_Actual[Customer type],$E326,Input_TUNet_Actual[Item],$C326&amp;" - "&amp;H$324)))</f>
        <v>-</v>
      </c>
      <c r="I326" s="155" t="str">
        <f>IF(SUMIFS(
INDEX(Input_TUNet_Actual[[F-CurrentVDO_Input]:[F-NextVDO_Input]],0,MATCH(TUNet_Usage_PerRate_2[[#This Row],[VDO decision]],Input_TUNet_Actual[[#Headers],[F-CurrentVDO_Input]:[F-NextVDO_Input]],0)),
Input_TUNet_Actual[Customer type],$E326,Input_TUNet_Actual[Item],$C326&amp;" - "&amp;I$324)=0,"-",MIN(SUMIFS(TUNet_Usage_Actual_2[Value],TUNet_Usage_Actual_2[Customer type],$E326,TUNet_Usage_Actual_2[Description],"Usage per customer"),SUMIFS(
INDEX(Input_TUNet_Actual[[F-CurrentVDO_Input]:[F-NextVDO_Input]],0,MATCH(TUNet_Usage_PerRate_2[[#This Row],[VDO decision]],Input_TUNet_Actual[[#Headers],[F-CurrentVDO_Input]:[F-NextVDO_Input]],0)),
Input_TUNet_Actual[Customer type],$E326,Input_TUNet_Actual[Item],$C326&amp;" - "&amp;I$324)))</f>
        <v>-</v>
      </c>
      <c r="J326" s="155" t="str">
        <f>IF(SUMIFS(
INDEX(Input_TUNet_Actual[[F-CurrentVDO_Input]:[F-NextVDO_Input]],0,MATCH(TUNet_Usage_PerRate_2[[#This Row],[VDO decision]],Input_TUNet_Actual[[#Headers],[F-CurrentVDO_Input]:[F-NextVDO_Input]],0)),
Input_TUNet_Actual[Customer type],$E326,Input_TUNet_Actual[Item],$C326&amp;" - "&amp;J$324)=0,"-",MIN(SUMIFS(TUNet_Usage_Actual_2[Value],TUNet_Usage_Actual_2[Customer type],$E326,TUNet_Usage_Actual_2[Description],"Usage per customer"),SUMIFS(
INDEX(Input_TUNet_Actual[[F-CurrentVDO_Input]:[F-NextVDO_Input]],0,MATCH(TUNet_Usage_PerRate_2[[#This Row],[VDO decision]],Input_TUNet_Actual[[#Headers],[F-CurrentVDO_Input]:[F-NextVDO_Input]],0)),
Input_TUNet_Actual[Customer type],$E326,Input_TUNet_Actual[Item],$C326&amp;" - "&amp;J$324)))</f>
        <v>-</v>
      </c>
    </row>
    <row r="327" spans="2:15" outlineLevel="1" x14ac:dyDescent="0.25">
      <c r="B327"/>
      <c r="C327" s="152" t="s">
        <v>418</v>
      </c>
      <c r="D327" s="154" t="str">
        <f>INDEX(Inputs!$H$10:$Q$10,1,MATCH($D$235,Inputs!$H$8:$Q$8,0))</f>
        <v>D-NextVDO_Input</v>
      </c>
      <c r="E327" s="48" t="s">
        <v>31</v>
      </c>
      <c r="F327" s="155">
        <f>IF(SUMIFS(F$325:F$326,$E$325:$E$326,$E327,$C$325:$C$326,"Usage per customer - Block 1")=0,"-",SUMIFS(TUNet_Usage_Actual_2[Value],TUNet_Usage_Actual_2[Customer type],$E327,TUNet_Usage_Actual_2[Description],"Usage per customer")-SUMIFS(F$325:F$326,$E$325:$E$326,$E327,$C$325:$C$326,"Usage per customer - Block 1"))</f>
        <v>0</v>
      </c>
      <c r="G327" s="155" t="str">
        <f>IF(SUMIFS(G$325:G$326,$E$325:$E$326,$E327,$C$325:$C$326,"Usage per customer - Block 1")=0,"-",SUMIFS(TUNet_Usage_Actual_2[Value],TUNet_Usage_Actual_2[Customer type],$E327,TUNet_Usage_Actual_2[Description],"Usage per customer")-SUMIFS(G$325:G$326,$E$325:$E$326,$E327,$C$325:$C$326,"Usage per customer - Block 1"))</f>
        <v>-</v>
      </c>
      <c r="H327" s="155" t="str">
        <f>IF(SUMIFS(H$325:H$326,$E$325:$E$326,$E327,$C$325:$C$326,"Usage per customer - Block 1")=0,"-",SUMIFS(TUNet_Usage_Actual_2[Value],TUNet_Usage_Actual_2[Customer type],$E327,TUNet_Usage_Actual_2[Description],"Usage per customer")-SUMIFS(H$325:H$326,$E$325:$E$326,$E327,$C$325:$C$326,"Usage per customer - Block 1"))</f>
        <v>-</v>
      </c>
      <c r="I327" s="155" t="str">
        <f>IF(SUMIFS(I$325:I$326,$E$325:$E$326,$E327,$C$325:$C$326,"Usage per customer - Block 1")=0,"-",SUMIFS(TUNet_Usage_Actual_2[Value],TUNet_Usage_Actual_2[Customer type],$E327,TUNet_Usage_Actual_2[Description],"Usage per customer")-SUMIFS(I$325:I$326,$E$325:$E$326,$E327,$C$325:$C$326,"Usage per customer - Block 1"))</f>
        <v>-</v>
      </c>
      <c r="J327" s="155" t="str">
        <f>IF(SUMIFS(J$325:J$326,$E$325:$E$326,$E327,$C$325:$C$326,"Usage per customer - Block 1")=0,"-",SUMIFS(TUNet_Usage_Actual_2[Value],TUNet_Usage_Actual_2[Customer type],$E327,TUNet_Usage_Actual_2[Description],"Usage per customer")-SUMIFS(J$325:J$326,$E$325:$E$326,$E327,$C$325:$C$326,"Usage per customer - Block 1"))</f>
        <v>-</v>
      </c>
    </row>
    <row r="328" spans="2:15" outlineLevel="1" x14ac:dyDescent="0.25">
      <c r="B328"/>
      <c r="C328" s="152" t="s">
        <v>418</v>
      </c>
      <c r="D328" s="154" t="str">
        <f>INDEX(Inputs!$H$10:$Q$10,1,MATCH($D$235,Inputs!$H$8:$Q$8,0))</f>
        <v>D-NextVDO_Input</v>
      </c>
      <c r="E328" s="48" t="s">
        <v>32</v>
      </c>
      <c r="F328" s="155">
        <f>IF(SUMIFS(F$325:F$326,$E$325:$E$326,$E328,$C$325:$C$326,"Usage per customer - Block 1")=0,"-",SUMIFS(TUNet_Usage_Actual_2[Value],TUNet_Usage_Actual_2[Customer type],$E328,TUNet_Usage_Actual_2[Description],"Usage per customer")-SUMIFS(F$325:F$326,$E$325:$E$326,$E328,$C$325:$C$326,"Usage per customer - Block 1"))</f>
        <v>183.13625605505717</v>
      </c>
      <c r="G328" s="155" t="str">
        <f>IF(SUMIFS(G$325:G$326,$E$325:$E$326,$E328,$C$325:$C$326,"Usage per customer - Block 1")=0,"-",SUMIFS(TUNet_Usage_Actual_2[Value],TUNet_Usage_Actual_2[Customer type],$E328,TUNet_Usage_Actual_2[Description],"Usage per customer")-SUMIFS(G$325:G$326,$E$325:$E$326,$E328,$C$325:$C$326,"Usage per customer - Block 1"))</f>
        <v>-</v>
      </c>
      <c r="H328" s="155" t="str">
        <f>IF(SUMIFS(H$325:H$326,$E$325:$E$326,$E328,$C$325:$C$326,"Usage per customer - Block 1")=0,"-",SUMIFS(TUNet_Usage_Actual_2[Value],TUNet_Usage_Actual_2[Customer type],$E328,TUNet_Usage_Actual_2[Description],"Usage per customer")-SUMIFS(H$325:H$326,$E$325:$E$326,$E328,$C$325:$C$326,"Usage per customer - Block 1"))</f>
        <v>-</v>
      </c>
      <c r="I328" s="155" t="str">
        <f>IF(SUMIFS(I$325:I$326,$E$325:$E$326,$E328,$C$325:$C$326,"Usage per customer - Block 1")=0,"-",SUMIFS(TUNet_Usage_Actual_2[Value],TUNet_Usage_Actual_2[Customer type],$E328,TUNet_Usage_Actual_2[Description],"Usage per customer")-SUMIFS(I$325:I$326,$E$325:$E$326,$E328,$C$325:$C$326,"Usage per customer - Block 1"))</f>
        <v>-</v>
      </c>
      <c r="J328" s="155" t="str">
        <f>IF(SUMIFS(J$325:J$326,$E$325:$E$326,$E328,$C$325:$C$326,"Usage per customer - Block 1")=0,"-",SUMIFS(TUNet_Usage_Actual_2[Value],TUNet_Usage_Actual_2[Customer type],$E328,TUNet_Usage_Actual_2[Description],"Usage per customer")-SUMIFS(J$325:J$326,$E$325:$E$326,$E328,$C$325:$C$326,"Usage per customer - Block 1"))</f>
        <v>-</v>
      </c>
    </row>
    <row r="329" spans="2:15" outlineLevel="1" x14ac:dyDescent="0.25">
      <c r="B329"/>
      <c r="C329" s="152" t="s">
        <v>419</v>
      </c>
      <c r="D329" s="154" t="str">
        <f>INDEX(Inputs!$H$10:$Q$10,1,MATCH($D$235,Inputs!$H$8:$Q$8,0))</f>
        <v>D-NextVDO_Input</v>
      </c>
      <c r="E329" s="48" t="s">
        <v>31</v>
      </c>
      <c r="F329" s="155" t="str">
        <f>IF(SUMIFS(
INDEX(Input_TUNet_Actual[[F-CurrentVDO_Input]:[F-NextVDO_Input]],0,MATCH(TUNet_Usage_PerRate_2[[#This Row],[VDO decision]],Input_TUNet_Actual[[#Headers],[F-CurrentVDO_Input]:[F-NextVDO_Input]],0)),
Input_TUNet_Actual[Customer type],$E329,Input_TUNet_Actual[Item],"Usage per customer - Block 1 - "&amp;F$324)=0,SUMIFS(TUNet_Usage_Actual_2[Value],TUNet_Usage_Actual_2[Customer type],$E329,TUNet_Usage_Actual_2[Description],"Usage per customer"),"-")</f>
        <v>-</v>
      </c>
      <c r="G329" s="155">
        <f>IF(SUMIFS(
INDEX(Input_TUNet_Actual[[F-CurrentVDO_Input]:[F-NextVDO_Input]],0,MATCH(TUNet_Usage_PerRate_2[[#This Row],[VDO decision]],Input_TUNet_Actual[[#Headers],[F-CurrentVDO_Input]:[F-NextVDO_Input]],0)),
Input_TUNet_Actual[Customer type],$E329,Input_TUNet_Actual[Item],"Usage per customer - Block 1 - "&amp;G$324)=0,SUMIFS(TUNet_Usage_Actual_2[Value],TUNet_Usage_Actual_2[Customer type],$E329,TUNet_Usage_Actual_2[Description],"Usage per customer"),"-")</f>
        <v>988.74476647921824</v>
      </c>
      <c r="H329" s="155">
        <f>IF(SUMIFS(
INDEX(Input_TUNet_Actual[[F-CurrentVDO_Input]:[F-NextVDO_Input]],0,MATCH(TUNet_Usage_PerRate_2[[#This Row],[VDO decision]],Input_TUNet_Actual[[#Headers],[F-CurrentVDO_Input]:[F-NextVDO_Input]],0)),
Input_TUNet_Actual[Customer type],$E329,Input_TUNet_Actual[Item],"Usage per customer - Block 1 - "&amp;H$324)=0,SUMIFS(TUNet_Usage_Actual_2[Value],TUNet_Usage_Actual_2[Customer type],$E329,TUNet_Usage_Actual_2[Description],"Usage per customer"),"-")</f>
        <v>988.74476647921824</v>
      </c>
      <c r="I329" s="155">
        <f>IF(SUMIFS(
INDEX(Input_TUNet_Actual[[F-CurrentVDO_Input]:[F-NextVDO_Input]],0,MATCH(TUNet_Usage_PerRate_2[[#This Row],[VDO decision]],Input_TUNet_Actual[[#Headers],[F-CurrentVDO_Input]:[F-NextVDO_Input]],0)),
Input_TUNet_Actual[Customer type],$E329,Input_TUNet_Actual[Item],"Usage per customer - Block 1 - "&amp;I$324)=0,SUMIFS(TUNet_Usage_Actual_2[Value],TUNet_Usage_Actual_2[Customer type],$E329,TUNet_Usage_Actual_2[Description],"Usage per customer"),"-")</f>
        <v>988.74476647921824</v>
      </c>
      <c r="J329" s="155">
        <f>IF(SUMIFS(
INDEX(Input_TUNet_Actual[[F-CurrentVDO_Input]:[F-NextVDO_Input]],0,MATCH(TUNet_Usage_PerRate_2[[#This Row],[VDO decision]],Input_TUNet_Actual[[#Headers],[F-CurrentVDO_Input]:[F-NextVDO_Input]],0)),
Input_TUNet_Actual[Customer type],$E329,Input_TUNet_Actual[Item],"Usage per customer - Block 1 - "&amp;J$324)=0,SUMIFS(TUNet_Usage_Actual_2[Value],TUNet_Usage_Actual_2[Customer type],$E329,TUNet_Usage_Actual_2[Description],"Usage per customer"),"-")</f>
        <v>988.74476647921824</v>
      </c>
    </row>
    <row r="330" spans="2:15" outlineLevel="1" x14ac:dyDescent="0.25">
      <c r="B330"/>
      <c r="C330" s="116" t="s">
        <v>419</v>
      </c>
      <c r="D330" s="154" t="str">
        <f>INDEX(Inputs!$H$10:$Q$10,1,MATCH($D$235,Inputs!$H$8:$Q$8,0))</f>
        <v>D-NextVDO_Input</v>
      </c>
      <c r="E330" s="48" t="s">
        <v>32</v>
      </c>
      <c r="F330" s="158" t="str">
        <f>IF(SUMIFS(
INDEX(Input_TUNet_Actual[[F-CurrentVDO_Input]:[F-NextVDO_Input]],0,MATCH(TUNet_Usage_PerRate_2[[#This Row],[VDO decision]],Input_TUNet_Actual[[#Headers],[F-CurrentVDO_Input]:[F-NextVDO_Input]],0)),
Input_TUNet_Actual[Customer type],$E330,Input_TUNet_Actual[Item],"Usage per customer - Block 1 - "&amp;F$324)=0,SUMIFS(TUNet_Usage_Actual_2[Value],TUNet_Usage_Actual_2[Customer type],$E330,TUNet_Usage_Actual_2[Description],"Usage per customer"),"-")</f>
        <v>-</v>
      </c>
      <c r="G330" s="158">
        <f>IF(SUMIFS(
INDEX(Input_TUNet_Actual[[F-CurrentVDO_Input]:[F-NextVDO_Input]],0,MATCH(TUNet_Usage_PerRate_2[[#This Row],[VDO decision]],Input_TUNet_Actual[[#Headers],[F-CurrentVDO_Input]:[F-NextVDO_Input]],0)),
Input_TUNet_Actual[Customer type],$E330,Input_TUNet_Actual[Item],"Usage per customer - Block 1 - "&amp;G$324)=0,SUMIFS(TUNet_Usage_Actual_2[Value],TUNet_Usage_Actual_2[Customer type],$E330,TUNet_Usage_Actual_2[Description],"Usage per customer"),"-")</f>
        <v>1203.1362560550572</v>
      </c>
      <c r="H330" s="158">
        <f>IF(SUMIFS(
INDEX(Input_TUNet_Actual[[F-CurrentVDO_Input]:[F-NextVDO_Input]],0,MATCH(TUNet_Usage_PerRate_2[[#This Row],[VDO decision]],Input_TUNet_Actual[[#Headers],[F-CurrentVDO_Input]:[F-NextVDO_Input]],0)),
Input_TUNet_Actual[Customer type],$E330,Input_TUNet_Actual[Item],"Usage per customer - Block 1 - "&amp;H$324)=0,SUMIFS(TUNet_Usage_Actual_2[Value],TUNet_Usage_Actual_2[Customer type],$E330,TUNet_Usage_Actual_2[Description],"Usage per customer"),"-")</f>
        <v>1203.1362560550572</v>
      </c>
      <c r="I330" s="158">
        <f>IF(SUMIFS(
INDEX(Input_TUNet_Actual[[F-CurrentVDO_Input]:[F-NextVDO_Input]],0,MATCH(TUNet_Usage_PerRate_2[[#This Row],[VDO decision]],Input_TUNet_Actual[[#Headers],[F-CurrentVDO_Input]:[F-NextVDO_Input]],0)),
Input_TUNet_Actual[Customer type],$E330,Input_TUNet_Actual[Item],"Usage per customer - Block 1 - "&amp;I$324)=0,SUMIFS(TUNet_Usage_Actual_2[Value],TUNet_Usage_Actual_2[Customer type],$E330,TUNet_Usage_Actual_2[Description],"Usage per customer"),"-")</f>
        <v>1203.1362560550572</v>
      </c>
      <c r="J330" s="158">
        <f>IF(SUMIFS(
INDEX(Input_TUNet_Actual[[F-CurrentVDO_Input]:[F-NextVDO_Input]],0,MATCH(TUNet_Usage_PerRate_2[[#This Row],[VDO decision]],Input_TUNet_Actual[[#Headers],[F-CurrentVDO_Input]:[F-NextVDO_Input]],0)),
Input_TUNet_Actual[Customer type],$E330,Input_TUNet_Actual[Item],"Usage per customer - Block 1 - "&amp;J$324)=0,SUMIFS(TUNet_Usage_Actual_2[Value],TUNet_Usage_Actual_2[Customer type],$E330,TUNet_Usage_Actual_2[Description],"Usage per customer"),"-")</f>
        <v>1203.1362560550572</v>
      </c>
    </row>
    <row r="331" spans="2:15" outlineLevel="1" x14ac:dyDescent="0.25">
      <c r="B331"/>
      <c r="C331" s="117"/>
      <c r="F331" s="157"/>
    </row>
    <row r="332" spans="2:15" ht="15.75" outlineLevel="1" x14ac:dyDescent="0.25">
      <c r="B332"/>
      <c r="C332" s="23" t="s">
        <v>407</v>
      </c>
    </row>
    <row r="333" spans="2:15" ht="15.75" outlineLevel="1" x14ac:dyDescent="0.25">
      <c r="C333" s="34" t="s">
        <v>24</v>
      </c>
      <c r="D333" s="34" t="s">
        <v>36</v>
      </c>
      <c r="E333" s="34" t="s">
        <v>352</v>
      </c>
      <c r="F333" s="34" t="s">
        <v>355</v>
      </c>
      <c r="G333" s="34" t="s">
        <v>251</v>
      </c>
      <c r="H333" s="34" t="s">
        <v>37</v>
      </c>
      <c r="I333" s="34" t="s">
        <v>38</v>
      </c>
      <c r="J333" s="33" t="s">
        <v>30</v>
      </c>
      <c r="K333" s="49" t="s">
        <v>204</v>
      </c>
      <c r="L333" s="49" t="s">
        <v>205</v>
      </c>
      <c r="M333" s="49" t="s">
        <v>206</v>
      </c>
      <c r="N333" s="49" t="s">
        <v>207</v>
      </c>
      <c r="O333" s="49" t="s">
        <v>208</v>
      </c>
    </row>
    <row r="334" spans="2:15" outlineLevel="1" x14ac:dyDescent="0.25">
      <c r="C334" s="48"/>
      <c r="D334" s="48"/>
      <c r="E334" s="48"/>
      <c r="F334" s="48"/>
      <c r="G334" s="48"/>
      <c r="H334" s="48"/>
      <c r="I334" s="48"/>
      <c r="J334" s="48"/>
      <c r="K334" s="55"/>
      <c r="L334" s="48"/>
      <c r="M334" s="48"/>
      <c r="N334" s="48"/>
      <c r="O334" s="48"/>
    </row>
    <row r="335" spans="2:15" ht="15.75" outlineLevel="1" x14ac:dyDescent="0.25">
      <c r="C335" s="1" t="s">
        <v>313</v>
      </c>
      <c r="D335" s="48"/>
      <c r="E335" s="48"/>
      <c r="F335" s="48"/>
      <c r="G335" s="57" t="s">
        <v>395</v>
      </c>
      <c r="H335" s="48"/>
      <c r="I335" s="48"/>
      <c r="J335" s="48"/>
      <c r="K335" s="55"/>
      <c r="L335" s="48"/>
      <c r="M335" s="48"/>
      <c r="N335" s="48"/>
      <c r="O335" s="48"/>
    </row>
    <row r="336" spans="2:15" outlineLevel="1" x14ac:dyDescent="0.25">
      <c r="C336" s="46" t="s">
        <v>327</v>
      </c>
      <c r="D336" s="46"/>
      <c r="E336" s="46"/>
      <c r="F336" s="46"/>
      <c r="G336" s="57"/>
      <c r="H336" s="57"/>
      <c r="I336" s="18"/>
      <c r="J336" s="18"/>
      <c r="K336" s="54"/>
      <c r="L336" s="18"/>
      <c r="M336" s="18"/>
      <c r="N336" s="18"/>
      <c r="O336" s="18"/>
    </row>
    <row r="337" spans="3:15" outlineLevel="1" x14ac:dyDescent="0.25">
      <c r="C337" s="48" t="s">
        <v>301</v>
      </c>
      <c r="D337" s="71" t="str">
        <f>Calc_TU_values!$D$235</f>
        <v>VDO 2022 - Draft</v>
      </c>
      <c r="E337" s="18" t="s">
        <v>353</v>
      </c>
      <c r="F337" s="71" t="str">
        <f>INDEX(Inputs!$H$10:$Q$10,1,MATCH($D337,Inputs!$H$8:$Q$8,0))</f>
        <v>D-NextVDO_Input</v>
      </c>
      <c r="G337" s="47"/>
      <c r="H337" s="18" t="s">
        <v>44</v>
      </c>
      <c r="I337" s="18" t="s">
        <v>45</v>
      </c>
      <c r="J337" s="48" t="s">
        <v>31</v>
      </c>
      <c r="K337" s="55" cm="1">
        <f t="array" ref="K337">IFERROR(INDEX(Input_ForRateCalc[],MATCH($C337&amp;" - "&amp;K$333,Input_ForRateCalc[[Cost item]:[Cost item]],0),MATCH(Calc_TUV_Net_2[[#This Row],[Decision ref]:[Decision ref]],Input_ForRateCalc[#Headers],0)),"-")*TUProp_Days_2</f>
        <v>18.873479452054795</v>
      </c>
      <c r="L337" s="55" cm="1">
        <f t="array" ref="L337">IFERROR(INDEX(Input_ForRateCalc[],MATCH($C337&amp;" - "&amp;L$333,Input_ForRateCalc[[Cost item]:[Cost item]],0),MATCH(Calc_TUV_Net_2[[#This Row],[Decision ref]:[Decision ref]],Input_ForRateCalc[#Headers],0)),"-")*TUProp_Days_2</f>
        <v>15.289199999999999</v>
      </c>
      <c r="M337" s="55" cm="1">
        <f t="array" ref="M337">IFERROR(INDEX(Input_ForRateCalc[],MATCH($C337&amp;" - "&amp;M$333,Input_ForRateCalc[[Cost item]:[Cost item]],0),MATCH(Calc_TUV_Net_2[[#This Row],[Decision ref]:[Decision ref]],Input_ForRateCalc[#Headers],0)),"-")*TUProp_Days_2</f>
        <v>13.962060273972602</v>
      </c>
      <c r="N337" s="55" cm="1">
        <f t="array" ref="N337">IFERROR(INDEX(Input_ForRateCalc[],MATCH($C337&amp;" - "&amp;N$333,Input_ForRateCalc[[Cost item]:[Cost item]],0),MATCH(Calc_TUV_Net_2[[#This Row],[Decision ref]:[Decision ref]],Input_ForRateCalc[#Headers],0)),"-")*TUProp_Days_2</f>
        <v>23.776999999999997</v>
      </c>
      <c r="O337" s="55" cm="1">
        <f t="array" ref="O337">IFERROR(INDEX(Input_ForRateCalc[],MATCH($C337&amp;" - "&amp;O$333,Input_ForRateCalc[[Cost item]:[Cost item]],0),MATCH(Calc_TUV_Net_2[[#This Row],[Decision ref]:[Decision ref]],Input_ForRateCalc[#Headers],0)),"-")*TUProp_Days_2</f>
        <v>13.590399999999999</v>
      </c>
    </row>
    <row r="338" spans="3:15" outlineLevel="1" x14ac:dyDescent="0.25">
      <c r="C338" s="48" t="s">
        <v>211</v>
      </c>
      <c r="D338" s="71" t="str">
        <f>Calc_TU_values!$D$235</f>
        <v>VDO 2022 - Draft</v>
      </c>
      <c r="E338" s="18" t="s">
        <v>353</v>
      </c>
      <c r="F338" s="71" t="str">
        <f>INDEX(Inputs!$H$10:$Q$10,1,MATCH($D338,Inputs!$H$8:$Q$8,0))</f>
        <v>D-NextVDO_Input</v>
      </c>
      <c r="G338" s="47"/>
      <c r="H338" s="18" t="s">
        <v>44</v>
      </c>
      <c r="I338" s="18" t="s">
        <v>45</v>
      </c>
      <c r="J338" s="48" t="s">
        <v>31</v>
      </c>
      <c r="K338" s="55" cm="1">
        <f t="array" ref="K338">IFERROR(INDEX(Input_ForRateCalc[],MATCH($C338&amp;" - "&amp;K$333,Input_ForRateCalc[[Cost item]:[Cost item]],0),MATCH(Calc_TUV_Net_2[[#This Row],[Decision ref]:[Decision ref]],Input_ForRateCalc[#Headers],0)),"-")*TUProp_Days_2</f>
        <v>10.82027397260274</v>
      </c>
      <c r="L338" s="55" cm="1">
        <f t="array" ref="L338">IFERROR(INDEX(Input_ForRateCalc[],MATCH($C338&amp;" - "&amp;L$333,Input_ForRateCalc[[Cost item]:[Cost item]],0),MATCH(Calc_TUV_Net_2[[#This Row],[Decision ref]:[Decision ref]],Input_ForRateCalc[#Headers],0)),"-")*TUProp_Days_2</f>
        <v>10.089863013698629</v>
      </c>
      <c r="M338" s="55" cm="1">
        <f t="array" ref="M338">IFERROR(INDEX(Input_ForRateCalc[],MATCH($C338&amp;" - "&amp;M$333,Input_ForRateCalc[[Cost item]:[Cost item]],0),MATCH(Calc_TUV_Net_2[[#This Row],[Decision ref]:[Decision ref]],Input_ForRateCalc[#Headers],0)),"-")*TUProp_Days_2</f>
        <v>9.2048767123287671</v>
      </c>
      <c r="N338" s="55" cm="1">
        <f t="array" ref="N338">IFERROR(INDEX(Input_ForRateCalc[],MATCH($C338&amp;" - "&amp;N$333,Input_ForRateCalc[[Cost item]:[Cost item]],0),MATCH(Calc_TUV_Net_2[[#This Row],[Decision ref]:[Decision ref]],Input_ForRateCalc[#Headers],0)),"-")*TUProp_Days_2</f>
        <v>9.8520547945205479</v>
      </c>
      <c r="O338" s="55" cm="1">
        <f t="array" ref="O338">IFERROR(INDEX(Input_ForRateCalc[],MATCH($C338&amp;" - "&amp;O$333,Input_ForRateCalc[[Cost item]:[Cost item]],0),MATCH(Calc_TUV_Net_2[[#This Row],[Decision ref]:[Decision ref]],Input_ForRateCalc[#Headers],0)),"-")*TUProp_Days_2</f>
        <v>7.2905205479452055</v>
      </c>
    </row>
    <row r="339" spans="3:15" outlineLevel="1" x14ac:dyDescent="0.25">
      <c r="C339" s="48" t="s">
        <v>254</v>
      </c>
      <c r="D339" s="71" t="str">
        <f>Calc_TU_values!$D$235</f>
        <v>VDO 2022 - Draft</v>
      </c>
      <c r="E339" s="18" t="s">
        <v>353</v>
      </c>
      <c r="F339" s="71" t="str">
        <f>INDEX(Inputs!$H$10:$Q$10,1,MATCH($D339,Inputs!$H$8:$Q$8,0))</f>
        <v>D-NextVDO_Input</v>
      </c>
      <c r="G339" s="47"/>
      <c r="H339" s="18" t="s">
        <v>44</v>
      </c>
      <c r="I339" s="18" t="s">
        <v>45</v>
      </c>
      <c r="J339" s="48" t="s">
        <v>31</v>
      </c>
      <c r="K339" s="53">
        <f>IFERROR(SUM(K337:K338),"-")</f>
        <v>29.693753424657537</v>
      </c>
      <c r="L339" s="53">
        <f>IFERROR(SUM(L337:L338),"-")</f>
        <v>25.379063013698627</v>
      </c>
      <c r="M339" s="53">
        <f>IFERROR(SUM(M337:M338),"-")</f>
        <v>23.166936986301369</v>
      </c>
      <c r="N339" s="53">
        <f>IFERROR(SUM(N337:N338),"-")</f>
        <v>33.629054794520542</v>
      </c>
      <c r="O339" s="53">
        <f>IFERROR(SUM(O337:O338),"-")</f>
        <v>20.880920547945205</v>
      </c>
    </row>
    <row r="340" spans="3:15" outlineLevel="1" x14ac:dyDescent="0.25">
      <c r="C340" s="48" t="s">
        <v>301</v>
      </c>
      <c r="D340" s="71" t="str">
        <f>INDEX(Input_DecisionActual[[Actual]:[Actual]],MATCH(Calc_TU_values!$D$235,Input_DecisionActual[[VDO period]:[VDO period]],0),1)</f>
        <v>VDO 2021 - Final</v>
      </c>
      <c r="E340" s="18" t="s">
        <v>354</v>
      </c>
      <c r="F340" s="71" t="str">
        <f>IF($D340="-","-",INDEX(Inputs!$H$10:$Q$10,1,MATCH($D340,Inputs!$H$8:$Q$8,0)))</f>
        <v>F-CurrentVDO_Input</v>
      </c>
      <c r="G340" s="47"/>
      <c r="H340" s="18" t="s">
        <v>44</v>
      </c>
      <c r="I340" s="18" t="s">
        <v>45</v>
      </c>
      <c r="J340" s="48" t="s">
        <v>31</v>
      </c>
      <c r="K340" s="55" cm="1">
        <f t="array" ref="K340">IFERROR(INDEX(Input_ForRateCalc[],MATCH($C340&amp;" - "&amp;K$333,Input_ForRateCalc[[Cost item]:[Cost item]],0),MATCH(Calc_TUV_Net_2[[#This Row],[Decision ref]:[Decision ref]],Input_ForRateCalc[#Headers],0)),"-")*TUProp_Days_2</f>
        <v>18.005479452054793</v>
      </c>
      <c r="L340" s="55" cm="1">
        <f t="array" ref="L340">IFERROR(INDEX(Input_ForRateCalc[],MATCH($C340&amp;" - "&amp;L$333,Input_ForRateCalc[[Cost item]:[Cost item]],0),MATCH(Calc_TUV_Net_2[[#This Row],[Decision ref]:[Decision ref]],Input_ForRateCalc[#Headers],0)),"-")*TUProp_Days_2</f>
        <v>15.287671232876711</v>
      </c>
      <c r="M340" s="55" cm="1">
        <f t="array" ref="M340">IFERROR(INDEX(Input_ForRateCalc[],MATCH($C340&amp;" - "&amp;M$333,Input_ForRateCalc[[Cost item]:[Cost item]],0),MATCH(Calc_TUV_Net_2[[#This Row],[Decision ref]:[Decision ref]],Input_ForRateCalc[#Headers],0)),"-")*TUProp_Days_2</f>
        <v>11.725643835616438</v>
      </c>
      <c r="N340" s="55" cm="1">
        <f t="array" ref="N340">IFERROR(INDEX(Input_ForRateCalc[],MATCH($C340&amp;" - "&amp;N$333,Input_ForRateCalc[[Cost item]:[Cost item]],0),MATCH(Calc_TUV_Net_2[[#This Row],[Decision ref]:[Decision ref]],Input_ForRateCalc[#Headers],0)),"-")*TUProp_Days_2</f>
        <v>23.780821917808218</v>
      </c>
      <c r="O340" s="55" cm="1">
        <f t="array" ref="O340">IFERROR(INDEX(Input_ForRateCalc[],MATCH($C340&amp;" - "&amp;O$333,Input_ForRateCalc[[Cost item]:[Cost item]],0),MATCH(Calc_TUV_Net_2[[#This Row],[Decision ref]:[Decision ref]],Input_ForRateCalc[#Headers],0)),"-")*TUProp_Days_2</f>
        <v>10.167999999999999</v>
      </c>
    </row>
    <row r="341" spans="3:15" outlineLevel="1" x14ac:dyDescent="0.25">
      <c r="C341" s="48" t="s">
        <v>211</v>
      </c>
      <c r="D341" s="71" t="str">
        <f>INDEX(Input_DecisionActual[[Actual]:[Actual]],MATCH(Calc_TU_values!$D$235,Input_DecisionActual[[VDO period]:[VDO period]],0),1)</f>
        <v>VDO 2021 - Final</v>
      </c>
      <c r="E341" s="18" t="s">
        <v>354</v>
      </c>
      <c r="F341" s="71" t="str">
        <f>IF($D341="-","-",INDEX(Inputs!$H$10:$Q$10,1,MATCH($D341,Inputs!$H$8:$Q$8,0)))</f>
        <v>F-CurrentVDO_Input</v>
      </c>
      <c r="G341" s="47"/>
      <c r="H341" s="18" t="s">
        <v>44</v>
      </c>
      <c r="I341" s="18" t="s">
        <v>45</v>
      </c>
      <c r="J341" s="48" t="s">
        <v>31</v>
      </c>
      <c r="K341" s="55" cm="1">
        <f t="array" ref="K341">IFERROR(INDEX(Input_ForRateCalc[],MATCH($C341&amp;" - "&amp;K$333,Input_ForRateCalc[[Cost item]:[Cost item]],0),MATCH(Calc_TUV_Net_2[[#This Row],[Decision ref]:[Decision ref]],Input_ForRateCalc[#Headers],0)),"-")*TUProp_Days_2</f>
        <v>10.123835616438356</v>
      </c>
      <c r="L341" s="55" cm="1">
        <f t="array" ref="L341">IFERROR(INDEX(Input_ForRateCalc[],MATCH($C341&amp;" - "&amp;L$333,Input_ForRateCalc[[Cost item]:[Cost item]],0),MATCH(Calc_TUV_Net_2[[#This Row],[Decision ref]:[Decision ref]],Input_ForRateCalc[#Headers],0)),"-")*TUProp_Days_2</f>
        <v>11.176986301369862</v>
      </c>
      <c r="M341" s="55" cm="1">
        <f t="array" ref="M341">IFERROR(INDEX(Input_ForRateCalc[],MATCH($C341&amp;" - "&amp;M$333,Input_ForRateCalc[[Cost item]:[Cost item]],0),MATCH(Calc_TUV_Net_2[[#This Row],[Decision ref]:[Decision ref]],Input_ForRateCalc[#Headers],0)),"-")*TUProp_Days_2</f>
        <v>11.258520547945205</v>
      </c>
      <c r="N341" s="55" cm="1">
        <f t="array" ref="N341">IFERROR(INDEX(Input_ForRateCalc[],MATCH($C341&amp;" - "&amp;N$333,Input_ForRateCalc[[Cost item]:[Cost item]],0),MATCH(Calc_TUV_Net_2[[#This Row],[Decision ref]:[Decision ref]],Input_ForRateCalc[#Headers],0)),"-")*TUProp_Days_2</f>
        <v>11.126027397260273</v>
      </c>
      <c r="O341" s="55" cm="1">
        <f t="array" ref="O341">IFERROR(INDEX(Input_ForRateCalc[],MATCH($C341&amp;" - "&amp;O$333,Input_ForRateCalc[[Cost item]:[Cost item]],0),MATCH(Calc_TUV_Net_2[[#This Row],[Decision ref]:[Decision ref]],Input_ForRateCalc[#Headers],0)),"-")*TUProp_Days_2</f>
        <v>8.2927123287671236</v>
      </c>
    </row>
    <row r="342" spans="3:15" outlineLevel="1" x14ac:dyDescent="0.25">
      <c r="C342" s="48" t="s">
        <v>254</v>
      </c>
      <c r="D342" s="71" t="str">
        <f>INDEX(Input_DecisionActual[[Actual]:[Actual]],MATCH(Calc_TU_values!$D$235,Input_DecisionActual[[VDO period]:[VDO period]],0),1)</f>
        <v>VDO 2021 - Final</v>
      </c>
      <c r="E342" s="18" t="s">
        <v>354</v>
      </c>
      <c r="F342" s="71" t="str">
        <f>IF($D342="-","-",INDEX(Inputs!$H$10:$Q$10,1,MATCH($D342,Inputs!$H$8:$Q$8,0)))</f>
        <v>F-CurrentVDO_Input</v>
      </c>
      <c r="G342" s="47"/>
      <c r="H342" s="18" t="s">
        <v>44</v>
      </c>
      <c r="I342" s="18" t="s">
        <v>45</v>
      </c>
      <c r="J342" s="48" t="s">
        <v>31</v>
      </c>
      <c r="K342" s="54">
        <f>SUM(K340:K341)</f>
        <v>28.129315068493149</v>
      </c>
      <c r="L342" s="54">
        <f>SUM(L340:L341)</f>
        <v>26.464657534246573</v>
      </c>
      <c r="M342" s="54">
        <f>SUM(M340:M341)</f>
        <v>22.984164383561641</v>
      </c>
      <c r="N342" s="54">
        <f>SUM(N340:N341)</f>
        <v>34.906849315068492</v>
      </c>
      <c r="O342" s="54">
        <f>SUM(O340:O341)</f>
        <v>18.460712328767123</v>
      </c>
    </row>
    <row r="343" spans="3:15" outlineLevel="1" x14ac:dyDescent="0.25">
      <c r="C343" s="48" t="s">
        <v>255</v>
      </c>
      <c r="D343" s="18"/>
      <c r="E343" s="18"/>
      <c r="F343" s="18"/>
      <c r="G343" s="18"/>
      <c r="H343" s="18" t="s">
        <v>44</v>
      </c>
      <c r="I343" s="18" t="s">
        <v>45</v>
      </c>
      <c r="J343" s="48" t="s">
        <v>31</v>
      </c>
      <c r="K343" s="54">
        <f>IF(K342=0,"-",K339-K342)</f>
        <v>1.5644383561643878</v>
      </c>
      <c r="L343" s="54">
        <f t="shared" ref="L343" si="133">IF(L342=0,"-",L339-L342)</f>
        <v>-1.0855945205479465</v>
      </c>
      <c r="M343" s="54">
        <f t="shared" ref="M343" si="134">IF(M342=0,"-",M339-M342)</f>
        <v>0.18277260273972828</v>
      </c>
      <c r="N343" s="54">
        <f t="shared" ref="N343" si="135">IF(N342=0,"-",N339-N342)</f>
        <v>-1.2777945205479497</v>
      </c>
      <c r="O343" s="54">
        <f t="shared" ref="O343" si="136">IF(O342=0,"-",O339-O342)</f>
        <v>2.4202082191780825</v>
      </c>
    </row>
    <row r="344" spans="3:15" outlineLevel="1" x14ac:dyDescent="0.25">
      <c r="C344" s="48" t="s">
        <v>296</v>
      </c>
      <c r="D344" s="18"/>
      <c r="E344" s="18"/>
      <c r="F344" s="18"/>
      <c r="G344" s="18"/>
      <c r="H344" s="18" t="s">
        <v>44</v>
      </c>
      <c r="I344" s="18" t="s">
        <v>45</v>
      </c>
      <c r="J344" s="48" t="s">
        <v>31</v>
      </c>
      <c r="K344" s="55" t="str">
        <f>IFERROR(IF($D$311="Yes",K343*(1+WACC_adj_2),""),"-")</f>
        <v/>
      </c>
      <c r="L344" s="55" t="str">
        <f>IFERROR(IF($D$311="Yes",L343*(1+WACC_adj_2),""),"-")</f>
        <v/>
      </c>
      <c r="M344" s="55" t="str">
        <f>IFERROR(IF($D$311="Yes",M343*(1+WACC_adj_2),""),"-")</f>
        <v/>
      </c>
      <c r="N344" s="55" t="str">
        <f>IFERROR(IF($D$311="Yes",N343*(1+WACC_adj_2),""),"-")</f>
        <v/>
      </c>
      <c r="O344" s="55" t="str">
        <f>IFERROR(IF($D$311="Yes",O343*(1+WACC_adj_2),""),"-")</f>
        <v/>
      </c>
    </row>
    <row r="345" spans="3:15" outlineLevel="1" x14ac:dyDescent="0.25">
      <c r="C345" s="48" t="s">
        <v>257</v>
      </c>
      <c r="D345" s="71" t="str">
        <f>INDEX(Input_DecisionActual[[Actual]:[Actual]],MATCH(Calc_TU_values!$D$235,Input_DecisionActual[[VDO period]:[VDO period]],0),1)</f>
        <v>VDO 2021 - Final</v>
      </c>
      <c r="E345" s="18" t="s">
        <v>354</v>
      </c>
      <c r="F345" s="71" t="str">
        <f>IF($D345="-","-",INDEX(Inputs!$H$10:$Q$10,1,MATCH($D345,Inputs!$H$8:$Q$8,0)))</f>
        <v>F-CurrentVDO_Input</v>
      </c>
      <c r="G345" s="18"/>
      <c r="H345" s="18" t="s">
        <v>44</v>
      </c>
      <c r="I345" s="18" t="s">
        <v>45</v>
      </c>
      <c r="J345" s="48" t="s">
        <v>31</v>
      </c>
      <c r="K345" s="55" cm="1">
        <f t="array" ref="K345">IFERROR(SUM(K343:K344)*(INDEX(Inputs!$H$11:$Q$125,MATCH("Retail operating margin",Input_ForRateCalc[[Cost item]:[Cost item]],0),MATCH(Calc_TUV_Net_2[[#This Row],[Decision ref]:[Decision ref]],Inputs!$H$10:$Q$10,0))),"-")</f>
        <v>9.4492076712329023E-2</v>
      </c>
      <c r="L345" s="55" cm="1">
        <f t="array" ref="L345">IFERROR(SUM(L343:L344)*(INDEX(Inputs!$H$11:$Q$125,MATCH("Retail operating margin",Input_ForRateCalc[[Cost item]:[Cost item]],0),MATCH(Calc_TUV_Net_2[[#This Row],[Decision ref]:[Decision ref]],Inputs!$H$10:$Q$10,0))),"-")</f>
        <v>-6.556990904109597E-2</v>
      </c>
      <c r="M345" s="55" cm="1">
        <f t="array" ref="M345">IFERROR(SUM(M343:M344)*(INDEX(Inputs!$H$11:$Q$125,MATCH("Retail operating margin",Input_ForRateCalc[[Cost item]:[Cost item]],0),MATCH(Calc_TUV_Net_2[[#This Row],[Decision ref]:[Decision ref]],Inputs!$H$10:$Q$10,0))),"-")</f>
        <v>1.1039465205479588E-2</v>
      </c>
      <c r="N345" s="55" cm="1">
        <f t="array" ref="N345">IFERROR(SUM(N343:N344)*(INDEX(Inputs!$H$11:$Q$125,MATCH("Retail operating margin",Input_ForRateCalc[[Cost item]:[Cost item]],0),MATCH(Calc_TUV_Net_2[[#This Row],[Decision ref]:[Decision ref]],Inputs!$H$10:$Q$10,0))),"-")</f>
        <v>-7.7178789041096166E-2</v>
      </c>
      <c r="O345" s="55" cm="1">
        <f t="array" ref="O345">IFERROR(SUM(O343:O344)*(INDEX(Inputs!$H$11:$Q$125,MATCH("Retail operating margin",Input_ForRateCalc[[Cost item]:[Cost item]],0),MATCH(Calc_TUV_Net_2[[#This Row],[Decision ref]:[Decision ref]],Inputs!$H$10:$Q$10,0))),"-")</f>
        <v>0.14618057643835619</v>
      </c>
    </row>
    <row r="346" spans="3:15" outlineLevel="1" x14ac:dyDescent="0.25">
      <c r="C346" s="48" t="s">
        <v>297</v>
      </c>
      <c r="D346" s="18"/>
      <c r="E346" s="18"/>
      <c r="F346" s="18"/>
      <c r="G346" s="18"/>
      <c r="H346" s="18" t="s">
        <v>44</v>
      </c>
      <c r="I346" s="18" t="s">
        <v>45</v>
      </c>
      <c r="J346" s="48" t="s">
        <v>31</v>
      </c>
      <c r="K346" s="55">
        <f>IF(K342=0,"-",SUM(K343:K345)*GST)</f>
        <v>0.16589304328767168</v>
      </c>
      <c r="L346" s="55">
        <f>IF(L342=0,"-",SUM(L343:L345)*GST)</f>
        <v>-0.11511644295890425</v>
      </c>
      <c r="M346" s="55">
        <f>IF(M342=0,"-",SUM(M343:M345)*GST)</f>
        <v>1.9381206794520787E-2</v>
      </c>
      <c r="N346" s="55">
        <f>IF(N342=0,"-",SUM(N343:N345)*GST)</f>
        <v>-0.13549733095890459</v>
      </c>
      <c r="O346" s="55">
        <f>IF(O342=0,"-",SUM(O343:O345)*GST)</f>
        <v>0.25663887956164388</v>
      </c>
    </row>
    <row r="347" spans="3:15" outlineLevel="1" x14ac:dyDescent="0.25">
      <c r="C347" s="18" t="s">
        <v>323</v>
      </c>
      <c r="D347" s="18"/>
      <c r="E347" s="18"/>
      <c r="F347" s="18"/>
      <c r="G347" s="18"/>
      <c r="H347" s="18" t="s">
        <v>44</v>
      </c>
      <c r="I347" s="18" t="s">
        <v>45</v>
      </c>
      <c r="J347" s="48" t="s">
        <v>31</v>
      </c>
      <c r="K347" s="55">
        <f>IF(K342=0,"-",SUM(K343:K346))</f>
        <v>1.8248234761643884</v>
      </c>
      <c r="L347" s="55">
        <f>IF(L342=0,"-",SUM(L343:L346))</f>
        <v>-1.2662808725479466</v>
      </c>
      <c r="M347" s="55">
        <f>IF(M342=0,"-",SUM(M343:M346))</f>
        <v>0.21319327473972866</v>
      </c>
      <c r="N347" s="55">
        <f>IF(N342=0,"-",SUM(N343:N346))</f>
        <v>-1.4904706405479504</v>
      </c>
      <c r="O347" s="55">
        <f>IF(O342=0,"-",SUM(O343:O346))</f>
        <v>2.823027675178083</v>
      </c>
    </row>
    <row r="348" spans="3:15" outlineLevel="1" x14ac:dyDescent="0.25">
      <c r="C348" s="48"/>
      <c r="D348" s="94"/>
      <c r="E348" s="94"/>
      <c r="F348" s="94"/>
      <c r="H348" s="18"/>
      <c r="I348" s="18"/>
      <c r="J348" s="18"/>
      <c r="K348" s="105"/>
      <c r="L348" s="105"/>
      <c r="M348" s="105"/>
      <c r="N348" s="105"/>
      <c r="O348" s="105"/>
    </row>
    <row r="349" spans="3:15" outlineLevel="1" x14ac:dyDescent="0.25">
      <c r="C349" s="46" t="s">
        <v>328</v>
      </c>
      <c r="D349" s="18"/>
      <c r="E349" s="18"/>
      <c r="F349" s="18"/>
      <c r="G349" s="57"/>
      <c r="H349" s="18"/>
      <c r="I349" s="18"/>
      <c r="J349" s="18"/>
      <c r="K349" s="106"/>
      <c r="L349" s="106"/>
      <c r="M349" s="106"/>
      <c r="N349" s="106"/>
      <c r="O349" s="106"/>
    </row>
    <row r="350" spans="3:15" outlineLevel="1" x14ac:dyDescent="0.25">
      <c r="C350" s="48" t="s">
        <v>305</v>
      </c>
      <c r="D350" s="71" t="str">
        <f>Calc_TU_values!$D$235</f>
        <v>VDO 2022 - Draft</v>
      </c>
      <c r="E350" s="18" t="s">
        <v>353</v>
      </c>
      <c r="F350" s="71" t="str">
        <f>INDEX(Inputs!$H$10:$Q$10,1,MATCH($D350,Inputs!$H$8:$Q$8,0))</f>
        <v>D-NextVDO_Input</v>
      </c>
      <c r="G350" s="18"/>
      <c r="H350" s="18" t="s">
        <v>66</v>
      </c>
      <c r="I350" s="18" t="s">
        <v>101</v>
      </c>
      <c r="J350" s="48" t="s">
        <v>31</v>
      </c>
      <c r="K350" s="55" cm="1">
        <f t="array" ref="K350">IFERROR(INDEX(Input_ForRateCalc[],MATCH($C350&amp;" - "&amp;K$333,Input_ForRateCalc[[Cost item]:[Cost item]],0),MATCH(Calc_TUV_Net_2[[#This Row],[Decision ref]:[Decision ref]],Input_ForRateCalc[#Headers],0)),"-")</f>
        <v>11.4503</v>
      </c>
      <c r="L350" s="55" t="str" cm="1">
        <f t="array" ref="L350">IFERROR(INDEX(Input_ForRateCalc[],MATCH($C350&amp;" - "&amp;L$333,Input_ForRateCalc[[Cost item]:[Cost item]],0),MATCH(Calc_TUV_Net_2[[#This Row],[Decision ref]:[Decision ref]],Input_ForRateCalc[#Headers],0)),"-")</f>
        <v>-</v>
      </c>
      <c r="M350" s="55" t="str" cm="1">
        <f t="array" ref="M350">IFERROR(INDEX(Input_ForRateCalc[],MATCH($C350&amp;" - "&amp;M$333,Input_ForRateCalc[[Cost item]:[Cost item]],0),MATCH(Calc_TUV_Net_2[[#This Row],[Decision ref]:[Decision ref]],Input_ForRateCalc[#Headers],0)),"-")</f>
        <v>-</v>
      </c>
      <c r="N350" s="55" t="str" cm="1">
        <f t="array" ref="N350">IFERROR(INDEX(Input_ForRateCalc[],MATCH($C350&amp;" - "&amp;N$333,Input_ForRateCalc[[Cost item]:[Cost item]],0),MATCH(Calc_TUV_Net_2[[#This Row],[Decision ref]:[Decision ref]],Input_ForRateCalc[#Headers],0)),"-")</f>
        <v>-</v>
      </c>
      <c r="O350" s="55" t="str" cm="1">
        <f t="array" ref="O350">IFERROR(INDEX(Input_ForRateCalc[],MATCH($C350&amp;" - "&amp;O$333,Input_ForRateCalc[[Cost item]:[Cost item]],0),MATCH(Calc_TUV_Net_2[[#This Row],[Decision ref]:[Decision ref]],Input_ForRateCalc[#Headers],0)),"-")</f>
        <v>-</v>
      </c>
    </row>
    <row r="351" spans="3:15" outlineLevel="1" x14ac:dyDescent="0.25">
      <c r="C351" s="48" t="s">
        <v>306</v>
      </c>
      <c r="D351" s="71" t="str">
        <f>Calc_TU_values!$D$235</f>
        <v>VDO 2022 - Draft</v>
      </c>
      <c r="E351" s="18" t="s">
        <v>353</v>
      </c>
      <c r="F351" s="71" t="str">
        <f>INDEX(Inputs!$H$10:$Q$10,1,MATCH($D351,Inputs!$H$8:$Q$8,0))</f>
        <v>D-NextVDO_Input</v>
      </c>
      <c r="G351" s="57"/>
      <c r="H351" s="18" t="s">
        <v>66</v>
      </c>
      <c r="I351" s="18" t="s">
        <v>101</v>
      </c>
      <c r="J351" s="48" t="s">
        <v>31</v>
      </c>
      <c r="K351" s="55" cm="1">
        <f t="array" ref="K351">IFERROR(INDEX(Input_ForRateCalc[],MATCH($C351&amp;" - "&amp;K$333,Input_ForRateCalc[[Cost item]:[Cost item]],0),MATCH(Calc_TUV_Net_2[[#This Row],[Decision ref]:[Decision ref]],Input_ForRateCalc[#Headers],0)),"-")</f>
        <v>12.838200000000001</v>
      </c>
      <c r="L351" s="55" t="str" cm="1">
        <f t="array" ref="L351">IFERROR(INDEX(Input_ForRateCalc[],MATCH($C351&amp;" - "&amp;L$333,Input_ForRateCalc[[Cost item]:[Cost item]],0),MATCH(Calc_TUV_Net_2[[#This Row],[Decision ref]:[Decision ref]],Input_ForRateCalc[#Headers],0)),"-")</f>
        <v>-</v>
      </c>
      <c r="M351" s="55" t="str" cm="1">
        <f t="array" ref="M351">IFERROR(INDEX(Input_ForRateCalc[],MATCH($C351&amp;" - "&amp;M$333,Input_ForRateCalc[[Cost item]:[Cost item]],0),MATCH(Calc_TUV_Net_2[[#This Row],[Decision ref]:[Decision ref]],Input_ForRateCalc[#Headers],0)),"-")</f>
        <v>-</v>
      </c>
      <c r="N351" s="55" t="str" cm="1">
        <f t="array" ref="N351">IFERROR(INDEX(Input_ForRateCalc[],MATCH($C351&amp;" - "&amp;N$333,Input_ForRateCalc[[Cost item]:[Cost item]],0),MATCH(Calc_TUV_Net_2[[#This Row],[Decision ref]:[Decision ref]],Input_ForRateCalc[#Headers],0)),"-")</f>
        <v>-</v>
      </c>
      <c r="O351" s="55" t="str" cm="1">
        <f t="array" ref="O351">IFERROR(INDEX(Input_ForRateCalc[],MATCH($C351&amp;" - "&amp;O$333,Input_ForRateCalc[[Cost item]:[Cost item]],0),MATCH(Calc_TUV_Net_2[[#This Row],[Decision ref]:[Decision ref]],Input_ForRateCalc[#Headers],0)),"-")</f>
        <v>-</v>
      </c>
    </row>
    <row r="352" spans="3:15" outlineLevel="1" x14ac:dyDescent="0.25">
      <c r="C352" s="48" t="s">
        <v>307</v>
      </c>
      <c r="D352" s="71" t="str">
        <f>Calc_TU_values!$D$235</f>
        <v>VDO 2022 - Draft</v>
      </c>
      <c r="E352" s="18" t="s">
        <v>353</v>
      </c>
      <c r="F352" s="71" t="str">
        <f>INDEX(Inputs!$H$10:$Q$10,1,MATCH($D352,Inputs!$H$8:$Q$8,0))</f>
        <v>D-NextVDO_Input</v>
      </c>
      <c r="G352" s="47"/>
      <c r="H352" s="18" t="s">
        <v>66</v>
      </c>
      <c r="I352" s="18" t="s">
        <v>101</v>
      </c>
      <c r="J352" s="48" t="s">
        <v>31</v>
      </c>
      <c r="K352" s="55" t="str" cm="1">
        <f t="array" ref="K352">IFERROR(INDEX(Input_ForRateCalc[],MATCH($C352&amp;" - "&amp;K$333,Input_ForRateCalc[[Cost item]:[Cost item]],0),MATCH(Calc_TUV_Net_2[[#This Row],[Decision ref]:[Decision ref]],Input_ForRateCalc[#Headers],0)),"-")</f>
        <v>-</v>
      </c>
      <c r="L352" s="55" cm="1">
        <f t="array" ref="L352">IFERROR(INDEX(Input_ForRateCalc[],MATCH($C352&amp;" - "&amp;L$333,Input_ForRateCalc[[Cost item]:[Cost item]],0),MATCH(Calc_TUV_Net_2[[#This Row],[Decision ref]:[Decision ref]],Input_ForRateCalc[#Headers],0)),"-")</f>
        <v>8.0500000000000007</v>
      </c>
      <c r="M352" s="55" cm="1">
        <f t="array" ref="M352">IFERROR(INDEX(Input_ForRateCalc[],MATCH($C352&amp;" - "&amp;M$333,Input_ForRateCalc[[Cost item]:[Cost item]],0),MATCH(Calc_TUV_Net_2[[#This Row],[Decision ref]:[Decision ref]],Input_ForRateCalc[#Headers],0)),"-")</f>
        <v>8.67</v>
      </c>
      <c r="N352" s="55" cm="1">
        <f t="array" ref="N352">IFERROR(INDEX(Input_ForRateCalc[],MATCH($C352&amp;" - "&amp;N$333,Input_ForRateCalc[[Cost item]:[Cost item]],0),MATCH(Calc_TUV_Net_2[[#This Row],[Decision ref]:[Decision ref]],Input_ForRateCalc[#Headers],0)),"-")</f>
        <v>8.15</v>
      </c>
      <c r="O352" s="55" cm="1">
        <f t="array" ref="O352">IFERROR(INDEX(Input_ForRateCalc[],MATCH($C352&amp;" - "&amp;O$333,Input_ForRateCalc[[Cost item]:[Cost item]],0),MATCH(Calc_TUV_Net_2[[#This Row],[Decision ref]:[Decision ref]],Input_ForRateCalc[#Headers],0)),"-")</f>
        <v>7.99</v>
      </c>
    </row>
    <row r="353" spans="3:15" outlineLevel="1" x14ac:dyDescent="0.25">
      <c r="C353" s="48" t="s">
        <v>254</v>
      </c>
      <c r="D353" s="71" t="str">
        <f>Calc_TU_values!$D$235</f>
        <v>VDO 2022 - Draft</v>
      </c>
      <c r="E353" s="18" t="s">
        <v>353</v>
      </c>
      <c r="F353" s="71" t="str">
        <f>INDEX(Inputs!$H$10:$Q$10,1,MATCH($D353,Inputs!$H$8:$Q$8,0))</f>
        <v>D-NextVDO_Input</v>
      </c>
      <c r="G353" s="47"/>
      <c r="H353" s="18" t="s">
        <v>66</v>
      </c>
      <c r="I353" s="18" t="s">
        <v>45</v>
      </c>
      <c r="J353" s="48" t="s">
        <v>31</v>
      </c>
      <c r="K353" s="56">
        <f>SUM(
IFERROR(K350/100*SUMIFS(INDEX(TUNet_Usage_PerRate_2[],0,MATCH(K$333,TUNet_Usage_PerRate_2[#Headers],0)),TUNet_Usage_PerRate_2[Customer type],Calc_TUV_Net_2[[#This Row],[Customer type]],TUNet_Usage_PerRate_2[Description],"Usage per customer - Block 1"),0),
IFERROR(K351/100*SUMIFS(INDEX(TUNet_Usage_PerRate_2[],0,MATCH(K$333,TUNet_Usage_PerRate_2[#Headers],0)),TUNet_Usage_PerRate_2[Customer type],Calc_TUV_Net_2[[#This Row],[Customer type]],TUNet_Usage_PerRate_2[Description],"Usage per customer - Balance"),0),
IFERROR(K352/100*SUMIFS(INDEX(TUNet_Usage_PerRate_2[],0,MATCH(K$333,TUNet_Usage_PerRate_2[#Headers],0)),TUNet_Usage_PerRate_2[Customer type],Calc_TUV_Net_2[[#This Row],[Customer type]],TUNet_Usage_PerRate_2[Description],"Usage per customer - Single rate"),0))</f>
        <v>113.21424199616993</v>
      </c>
      <c r="L353" s="56">
        <f>SUM(
IFERROR(L350/100*SUMIFS(INDEX(TUNet_Usage_PerRate_2[],0,MATCH(L$333,TUNet_Usage_PerRate_2[#Headers],0)),TUNet_Usage_PerRate_2[Customer type],Calc_TUV_Net_2[[#This Row],[Customer type]],TUNet_Usage_PerRate_2[Description],"Usage per customer - Block 1"),0),
IFERROR(L351/100*SUMIFS(INDEX(TUNet_Usage_PerRate_2[],0,MATCH(L$333,TUNet_Usage_PerRate_2[#Headers],0)),TUNet_Usage_PerRate_2[Customer type],Calc_TUV_Net_2[[#This Row],[Customer type]],TUNet_Usage_PerRate_2[Description],"Usage per customer - Balance"),0),
IFERROR(L352/100*SUMIFS(INDEX(TUNet_Usage_PerRate_2[],0,MATCH(L$333,TUNet_Usage_PerRate_2[#Headers],0)),TUNet_Usage_PerRate_2[Customer type],Calc_TUV_Net_2[[#This Row],[Customer type]],TUNet_Usage_PerRate_2[Description],"Usage per customer - Single rate"),0))</f>
        <v>79.593953701577064</v>
      </c>
      <c r="M353" s="56">
        <f>SUM(
IFERROR(M350/100*SUMIFS(INDEX(TUNet_Usage_PerRate_2[],0,MATCH(M$333,TUNet_Usage_PerRate_2[#Headers],0)),TUNet_Usage_PerRate_2[Customer type],Calc_TUV_Net_2[[#This Row],[Customer type]],TUNet_Usage_PerRate_2[Description],"Usage per customer - Block 1"),0),
IFERROR(M351/100*SUMIFS(INDEX(TUNet_Usage_PerRate_2[],0,MATCH(M$333,TUNet_Usage_PerRate_2[#Headers],0)),TUNet_Usage_PerRate_2[Customer type],Calc_TUV_Net_2[[#This Row],[Customer type]],TUNet_Usage_PerRate_2[Description],"Usage per customer - Balance"),0),
IFERROR(M352/100*SUMIFS(INDEX(TUNet_Usage_PerRate_2[],0,MATCH(M$333,TUNet_Usage_PerRate_2[#Headers],0)),TUNet_Usage_PerRate_2[Customer type],Calc_TUV_Net_2[[#This Row],[Customer type]],TUNet_Usage_PerRate_2[Description],"Usage per customer - Single rate"),0))</f>
        <v>85.724171253748224</v>
      </c>
      <c r="N353" s="56">
        <f>SUM(
IFERROR(N350/100*SUMIFS(INDEX(TUNet_Usage_PerRate_2[],0,MATCH(N$333,TUNet_Usage_PerRate_2[#Headers],0)),TUNet_Usage_PerRate_2[Customer type],Calc_TUV_Net_2[[#This Row],[Customer type]],TUNet_Usage_PerRate_2[Description],"Usage per customer - Block 1"),0),
IFERROR(N351/100*SUMIFS(INDEX(TUNet_Usage_PerRate_2[],0,MATCH(N$333,TUNet_Usage_PerRate_2[#Headers],0)),TUNet_Usage_PerRate_2[Customer type],Calc_TUV_Net_2[[#This Row],[Customer type]],TUNet_Usage_PerRate_2[Description],"Usage per customer - Balance"),0),
IFERROR(N352/100*SUMIFS(INDEX(TUNet_Usage_PerRate_2[],0,MATCH(N$333,TUNet_Usage_PerRate_2[#Headers],0)),TUNet_Usage_PerRate_2[Customer type],Calc_TUV_Net_2[[#This Row],[Customer type]],TUNet_Usage_PerRate_2[Description],"Usage per customer - Single rate"),0))</f>
        <v>80.582698468056293</v>
      </c>
      <c r="O353" s="56">
        <f>SUM(
IFERROR(O350/100*SUMIFS(INDEX(TUNet_Usage_PerRate_2[],0,MATCH(O$333,TUNet_Usage_PerRate_2[#Headers],0)),TUNet_Usage_PerRate_2[Customer type],Calc_TUV_Net_2[[#This Row],[Customer type]],TUNet_Usage_PerRate_2[Description],"Usage per customer - Block 1"),0),
IFERROR(O351/100*SUMIFS(INDEX(TUNet_Usage_PerRate_2[],0,MATCH(O$333,TUNet_Usage_PerRate_2[#Headers],0)),TUNet_Usage_PerRate_2[Customer type],Calc_TUV_Net_2[[#This Row],[Customer type]],TUNet_Usage_PerRate_2[Description],"Usage per customer - Balance"),0),
IFERROR(O352/100*SUMIFS(INDEX(TUNet_Usage_PerRate_2[],0,MATCH(O$333,TUNet_Usage_PerRate_2[#Headers],0)),TUNet_Usage_PerRate_2[Customer type],Calc_TUV_Net_2[[#This Row],[Customer type]],TUNet_Usage_PerRate_2[Description],"Usage per customer - Single rate"),0))</f>
        <v>79.000706841689535</v>
      </c>
    </row>
    <row r="354" spans="3:15" outlineLevel="1" x14ac:dyDescent="0.25">
      <c r="C354" s="48" t="s">
        <v>305</v>
      </c>
      <c r="D354" s="71" t="str">
        <f>INDEX(Input_DecisionActual[[Actual]:[Actual]],MATCH(Calc_TU_values!$D$235,Input_DecisionActual[[VDO period]:[VDO period]],0),1)</f>
        <v>VDO 2021 - Final</v>
      </c>
      <c r="E354" s="18" t="s">
        <v>354</v>
      </c>
      <c r="F354" s="71" t="str">
        <f>IF($D354="-","-",INDEX(Inputs!$H$10:$Q$10,1,MATCH($D354,Inputs!$H$8:$Q$8,0)))</f>
        <v>F-CurrentVDO_Input</v>
      </c>
      <c r="G354" s="47"/>
      <c r="H354" s="18" t="s">
        <v>66</v>
      </c>
      <c r="I354" s="18" t="s">
        <v>101</v>
      </c>
      <c r="J354" s="48" t="s">
        <v>31</v>
      </c>
      <c r="K354" s="55" cm="1">
        <f t="array" ref="K354">IFERROR(INDEX(Input_ForRateCalc[],MATCH($C354&amp;" - "&amp;K$333,Input_ForRateCalc[[Cost item]:[Cost item]],0),MATCH(Calc_TUV_Net_2[[#This Row],[Decision ref]:[Decision ref]],Input_ForRateCalc[#Headers],0)),"-")</f>
        <v>10.535</v>
      </c>
      <c r="L354" s="55" t="str" cm="1">
        <f t="array" ref="L354">IFERROR(INDEX(Input_ForRateCalc[],MATCH($C354&amp;" - "&amp;L$333,Input_ForRateCalc[[Cost item]:[Cost item]],0),MATCH(Calc_TUV_Net_2[[#This Row],[Decision ref]:[Decision ref]],Input_ForRateCalc[#Headers],0)),"-")</f>
        <v>-</v>
      </c>
      <c r="M354" s="55" t="str" cm="1">
        <f t="array" ref="M354">IFERROR(INDEX(Input_ForRateCalc[],MATCH($C354&amp;" - "&amp;M$333,Input_ForRateCalc[[Cost item]:[Cost item]],0),MATCH(Calc_TUV_Net_2[[#This Row],[Decision ref]:[Decision ref]],Input_ForRateCalc[#Headers],0)),"-")</f>
        <v>-</v>
      </c>
      <c r="N354" s="55" t="str" cm="1">
        <f t="array" ref="N354">IFERROR(INDEX(Input_ForRateCalc[],MATCH($C354&amp;" - "&amp;N$333,Input_ForRateCalc[[Cost item]:[Cost item]],0),MATCH(Calc_TUV_Net_2[[#This Row],[Decision ref]:[Decision ref]],Input_ForRateCalc[#Headers],0)),"-")</f>
        <v>-</v>
      </c>
      <c r="O354" s="55" t="str" cm="1">
        <f t="array" ref="O354">IFERROR(INDEX(Input_ForRateCalc[],MATCH($C354&amp;" - "&amp;O$333,Input_ForRateCalc[[Cost item]:[Cost item]],0),MATCH(Calc_TUV_Net_2[[#This Row],[Decision ref]:[Decision ref]],Input_ForRateCalc[#Headers],0)),"-")</f>
        <v>-</v>
      </c>
    </row>
    <row r="355" spans="3:15" outlineLevel="1" x14ac:dyDescent="0.25">
      <c r="C355" s="48" t="s">
        <v>306</v>
      </c>
      <c r="D355" s="71" t="str">
        <f>INDEX(Input_DecisionActual[[Actual]:[Actual]],MATCH(Calc_TU_values!$D$235,Input_DecisionActual[[VDO period]:[VDO period]],0),1)</f>
        <v>VDO 2021 - Final</v>
      </c>
      <c r="E355" s="18" t="s">
        <v>354</v>
      </c>
      <c r="F355" s="71" t="str">
        <f>IF($D355="-","-",INDEX(Inputs!$H$10:$Q$10,1,MATCH($D355,Inputs!$H$8:$Q$8,0)))</f>
        <v>F-CurrentVDO_Input</v>
      </c>
      <c r="G355" s="47"/>
      <c r="H355" s="18" t="s">
        <v>66</v>
      </c>
      <c r="I355" s="18" t="s">
        <v>101</v>
      </c>
      <c r="J355" s="48" t="s">
        <v>31</v>
      </c>
      <c r="K355" s="55" cm="1">
        <f t="array" ref="K355">IFERROR(INDEX(Input_ForRateCalc[],MATCH($C355&amp;" - "&amp;K$333,Input_ForRateCalc[[Cost item]:[Cost item]],0),MATCH(Calc_TUV_Net_2[[#This Row],[Decision ref]:[Decision ref]],Input_ForRateCalc[#Headers],0)),"-")</f>
        <v>12.073700000000001</v>
      </c>
      <c r="L355" s="55" t="str" cm="1">
        <f t="array" ref="L355">IFERROR(INDEX(Input_ForRateCalc[],MATCH($C355&amp;" - "&amp;L$333,Input_ForRateCalc[[Cost item]:[Cost item]],0),MATCH(Calc_TUV_Net_2[[#This Row],[Decision ref]:[Decision ref]],Input_ForRateCalc[#Headers],0)),"-")</f>
        <v>-</v>
      </c>
      <c r="M355" s="55" t="str" cm="1">
        <f t="array" ref="M355">IFERROR(INDEX(Input_ForRateCalc[],MATCH($C355&amp;" - "&amp;M$333,Input_ForRateCalc[[Cost item]:[Cost item]],0),MATCH(Calc_TUV_Net_2[[#This Row],[Decision ref]:[Decision ref]],Input_ForRateCalc[#Headers],0)),"-")</f>
        <v>-</v>
      </c>
      <c r="N355" s="55" t="str" cm="1">
        <f t="array" ref="N355">IFERROR(INDEX(Input_ForRateCalc[],MATCH($C355&amp;" - "&amp;N$333,Input_ForRateCalc[[Cost item]:[Cost item]],0),MATCH(Calc_TUV_Net_2[[#This Row],[Decision ref]:[Decision ref]],Input_ForRateCalc[#Headers],0)),"-")</f>
        <v>-</v>
      </c>
      <c r="O355" s="55" t="str" cm="1">
        <f t="array" ref="O355">IFERROR(INDEX(Input_ForRateCalc[],MATCH($C355&amp;" - "&amp;O$333,Input_ForRateCalc[[Cost item]:[Cost item]],0),MATCH(Calc_TUV_Net_2[[#This Row],[Decision ref]:[Decision ref]],Input_ForRateCalc[#Headers],0)),"-")</f>
        <v>-</v>
      </c>
    </row>
    <row r="356" spans="3:15" outlineLevel="1" x14ac:dyDescent="0.25">
      <c r="C356" s="48" t="s">
        <v>307</v>
      </c>
      <c r="D356" s="71" t="str">
        <f>INDEX(Input_DecisionActual[[Actual]:[Actual]],MATCH(Calc_TU_values!$D$235,Input_DecisionActual[[VDO period]:[VDO period]],0),1)</f>
        <v>VDO 2021 - Final</v>
      </c>
      <c r="E356" s="18" t="s">
        <v>354</v>
      </c>
      <c r="F356" s="71" t="str">
        <f>IF($D356="-","-",INDEX(Inputs!$H$10:$Q$10,1,MATCH($D356,Inputs!$H$8:$Q$8,0)))</f>
        <v>F-CurrentVDO_Input</v>
      </c>
      <c r="G356" s="47"/>
      <c r="H356" s="18" t="s">
        <v>66</v>
      </c>
      <c r="I356" s="18" t="s">
        <v>101</v>
      </c>
      <c r="J356" s="48" t="s">
        <v>31</v>
      </c>
      <c r="K356" s="55" t="str" cm="1">
        <f t="array" ref="K356">IFERROR(INDEX(Input_ForRateCalc[],MATCH($C356&amp;" - "&amp;K$333,Input_ForRateCalc[[Cost item]:[Cost item]],0),MATCH(Calc_TUV_Net_2[[#This Row],[Decision ref]:[Decision ref]],Input_ForRateCalc[#Headers],0)),"-")</f>
        <v>-</v>
      </c>
      <c r="L356" s="55" cm="1">
        <f t="array" ref="L356">IFERROR(INDEX(Input_ForRateCalc[],MATCH($C356&amp;" - "&amp;L$333,Input_ForRateCalc[[Cost item]:[Cost item]],0),MATCH(Calc_TUV_Net_2[[#This Row],[Decision ref]:[Decision ref]],Input_ForRateCalc[#Headers],0)),"-")</f>
        <v>6.47</v>
      </c>
      <c r="M356" s="55" cm="1">
        <f t="array" ref="M356">IFERROR(INDEX(Input_ForRateCalc[],MATCH($C356&amp;" - "&amp;M$333,Input_ForRateCalc[[Cost item]:[Cost item]],0),MATCH(Calc_TUV_Net_2[[#This Row],[Decision ref]:[Decision ref]],Input_ForRateCalc[#Headers],0)),"-")</f>
        <v>7.4139999999999997</v>
      </c>
      <c r="N356" s="55" cm="1">
        <f t="array" ref="N356">IFERROR(INDEX(Input_ForRateCalc[],MATCH($C356&amp;" - "&amp;N$333,Input_ForRateCalc[[Cost item]:[Cost item]],0),MATCH(Calc_TUV_Net_2[[#This Row],[Decision ref]:[Decision ref]],Input_ForRateCalc[#Headers],0)),"-")</f>
        <v>6.74</v>
      </c>
      <c r="O356" s="55" cm="1">
        <f t="array" ref="O356">IFERROR(INDEX(Input_ForRateCalc[],MATCH($C356&amp;" - "&amp;O$333,Input_ForRateCalc[[Cost item]:[Cost item]],0),MATCH(Calc_TUV_Net_2[[#This Row],[Decision ref]:[Decision ref]],Input_ForRateCalc[#Headers],0)),"-")</f>
        <v>7.67</v>
      </c>
    </row>
    <row r="357" spans="3:15" outlineLevel="1" x14ac:dyDescent="0.25">
      <c r="C357" s="48" t="s">
        <v>254</v>
      </c>
      <c r="D357" s="71" t="str">
        <f>INDEX(Input_DecisionActual[[Actual]:[Actual]],MATCH(Calc_TU_values!$D$235,Input_DecisionActual[[VDO period]:[VDO period]],0),1)</f>
        <v>VDO 2021 - Final</v>
      </c>
      <c r="E357" s="18" t="s">
        <v>354</v>
      </c>
      <c r="F357" s="71" t="str">
        <f>IF($D357="-","-",INDEX(Inputs!$H$10:$Q$10,1,MATCH($D357,Inputs!$H$8:$Q$8,0)))</f>
        <v>F-CurrentVDO_Input</v>
      </c>
      <c r="G357" s="47"/>
      <c r="H357" s="18" t="s">
        <v>66</v>
      </c>
      <c r="I357" s="18" t="s">
        <v>45</v>
      </c>
      <c r="J357" s="48" t="s">
        <v>31</v>
      </c>
      <c r="K357" s="56">
        <f>SUM(
IFERROR(K354/100*SUMIFS(INDEX(TUNet_Usage_PerRate_2[],0,MATCH(K$333,TUNet_Usage_PerRate_2[#Headers],0)),TUNet_Usage_PerRate_2[Customer type],Calc_TUV_Net_2[[#This Row],[Customer type]],TUNet_Usage_PerRate_2[Description],"Usage per customer - Block 1"),0),
IFERROR(K355/100*SUMIFS(INDEX(TUNet_Usage_PerRate_2[],0,MATCH(K$333,TUNet_Usage_PerRate_2[#Headers],0)),TUNet_Usage_PerRate_2[Customer type],Calc_TUV_Net_2[[#This Row],[Customer type]],TUNet_Usage_PerRate_2[Description],"Usage per customer - Balance"),0),
IFERROR(K356/100*SUMIFS(INDEX(TUNet_Usage_PerRate_2[],0,MATCH(K$333,TUNet_Usage_PerRate_2[#Headers],0)),TUNet_Usage_PerRate_2[Customer type],Calc_TUV_Net_2[[#This Row],[Customer type]],TUNet_Usage_PerRate_2[Description],"Usage per customer - Single rate"),0))</f>
        <v>104.16426114858564</v>
      </c>
      <c r="L357" s="56">
        <f>SUM(
IFERROR(L354/100*SUMIFS(INDEX(TUNet_Usage_PerRate_2[],0,MATCH(L$333,TUNet_Usage_PerRate_2[#Headers],0)),TUNet_Usage_PerRate_2[Customer type],Calc_TUV_Net_2[[#This Row],[Customer type]],TUNet_Usage_PerRate_2[Description],"Usage per customer - Block 1"),0),
IFERROR(L355/100*SUMIFS(INDEX(TUNet_Usage_PerRate_2[],0,MATCH(L$333,TUNet_Usage_PerRate_2[#Headers],0)),TUNet_Usage_PerRate_2[Customer type],Calc_TUV_Net_2[[#This Row],[Customer type]],TUNet_Usage_PerRate_2[Description],"Usage per customer - Balance"),0),
IFERROR(L356/100*SUMIFS(INDEX(TUNet_Usage_PerRate_2[],0,MATCH(L$333,TUNet_Usage_PerRate_2[#Headers],0)),TUNet_Usage_PerRate_2[Customer type],Calc_TUV_Net_2[[#This Row],[Customer type]],TUNet_Usage_PerRate_2[Description],"Usage per customer - Single rate"),0))</f>
        <v>63.971786391205413</v>
      </c>
      <c r="M357" s="56">
        <f>SUM(
IFERROR(M354/100*SUMIFS(INDEX(TUNet_Usage_PerRate_2[],0,MATCH(M$333,TUNet_Usage_PerRate_2[#Headers],0)),TUNet_Usage_PerRate_2[Customer type],Calc_TUV_Net_2[[#This Row],[Customer type]],TUNet_Usage_PerRate_2[Description],"Usage per customer - Block 1"),0),
IFERROR(M355/100*SUMIFS(INDEX(TUNet_Usage_PerRate_2[],0,MATCH(M$333,TUNet_Usage_PerRate_2[#Headers],0)),TUNet_Usage_PerRate_2[Customer type],Calc_TUV_Net_2[[#This Row],[Customer type]],TUNet_Usage_PerRate_2[Description],"Usage per customer - Balance"),0),
IFERROR(M356/100*SUMIFS(INDEX(TUNet_Usage_PerRate_2[],0,MATCH(M$333,TUNet_Usage_PerRate_2[#Headers],0)),TUNet_Usage_PerRate_2[Customer type],Calc_TUV_Net_2[[#This Row],[Customer type]],TUNet_Usage_PerRate_2[Description],"Usage per customer - Single rate"),0))</f>
        <v>73.305536986769241</v>
      </c>
      <c r="N357" s="56">
        <f>SUM(
IFERROR(N354/100*SUMIFS(INDEX(TUNet_Usage_PerRate_2[],0,MATCH(N$333,TUNet_Usage_PerRate_2[#Headers],0)),TUNet_Usage_PerRate_2[Customer type],Calc_TUV_Net_2[[#This Row],[Customer type]],TUNet_Usage_PerRate_2[Description],"Usage per customer - Block 1"),0),
IFERROR(N355/100*SUMIFS(INDEX(TUNet_Usage_PerRate_2[],0,MATCH(N$333,TUNet_Usage_PerRate_2[#Headers],0)),TUNet_Usage_PerRate_2[Customer type],Calc_TUV_Net_2[[#This Row],[Customer type]],TUNet_Usage_PerRate_2[Description],"Usage per customer - Balance"),0),
IFERROR(N356/100*SUMIFS(INDEX(TUNet_Usage_PerRate_2[],0,MATCH(N$333,TUNet_Usage_PerRate_2[#Headers],0)),TUNet_Usage_PerRate_2[Customer type],Calc_TUV_Net_2[[#This Row],[Customer type]],TUNet_Usage_PerRate_2[Description],"Usage per customer - Single rate"),0))</f>
        <v>66.641397260699307</v>
      </c>
      <c r="O357" s="56">
        <f>SUM(
IFERROR(O354/100*SUMIFS(INDEX(TUNet_Usage_PerRate_2[],0,MATCH(O$333,TUNet_Usage_PerRate_2[#Headers],0)),TUNet_Usage_PerRate_2[Customer type],Calc_TUV_Net_2[[#This Row],[Customer type]],TUNet_Usage_PerRate_2[Description],"Usage per customer - Block 1"),0),
IFERROR(O355/100*SUMIFS(INDEX(TUNet_Usage_PerRate_2[],0,MATCH(O$333,TUNet_Usage_PerRate_2[#Headers],0)),TUNet_Usage_PerRate_2[Customer type],Calc_TUV_Net_2[[#This Row],[Customer type]],TUNet_Usage_PerRate_2[Description],"Usage per customer - Balance"),0),
IFERROR(O356/100*SUMIFS(INDEX(TUNet_Usage_PerRate_2[],0,MATCH(O$333,TUNet_Usage_PerRate_2[#Headers],0)),TUNet_Usage_PerRate_2[Customer type],Calc_TUV_Net_2[[#This Row],[Customer type]],TUNet_Usage_PerRate_2[Description],"Usage per customer - Single rate"),0))</f>
        <v>75.836723588956048</v>
      </c>
    </row>
    <row r="358" spans="3:15" outlineLevel="1" x14ac:dyDescent="0.25">
      <c r="C358" s="48" t="s">
        <v>255</v>
      </c>
      <c r="D358" s="18"/>
      <c r="E358" s="18"/>
      <c r="F358" s="18"/>
      <c r="G358" s="18"/>
      <c r="H358" s="18" t="s">
        <v>66</v>
      </c>
      <c r="I358" s="18" t="s">
        <v>45</v>
      </c>
      <c r="J358" s="48" t="s">
        <v>31</v>
      </c>
      <c r="K358" s="54">
        <f>IF(K357=0,"-",K353-K357)</f>
        <v>9.049980847584294</v>
      </c>
      <c r="L358" s="54">
        <f t="shared" ref="L358" si="137">IF(L357=0,"-",L353-L357)</f>
        <v>15.622167310371651</v>
      </c>
      <c r="M358" s="54">
        <f t="shared" ref="M358" si="138">IF(M357=0,"-",M353-M357)</f>
        <v>12.418634266978984</v>
      </c>
      <c r="N358" s="54">
        <f t="shared" ref="N358" si="139">IF(N357=0,"-",N353-N357)</f>
        <v>13.941301207356986</v>
      </c>
      <c r="O358" s="54">
        <f t="shared" ref="O358" si="140">IF(O357=0,"-",O353-O357)</f>
        <v>3.1639832527334875</v>
      </c>
    </row>
    <row r="359" spans="3:15" outlineLevel="1" x14ac:dyDescent="0.25">
      <c r="C359" s="48" t="s">
        <v>296</v>
      </c>
      <c r="D359" s="18"/>
      <c r="E359" s="18"/>
      <c r="F359" s="18"/>
      <c r="G359" s="18"/>
      <c r="H359" s="18" t="s">
        <v>66</v>
      </c>
      <c r="I359" s="18" t="s">
        <v>45</v>
      </c>
      <c r="J359" s="48" t="s">
        <v>31</v>
      </c>
      <c r="K359" s="55" t="str">
        <f>IF($D$311="Yes",K358*(1+WACC_adj_2),"")</f>
        <v/>
      </c>
      <c r="L359" s="55" t="str">
        <f>IF($D$311="Yes",L358*(1+WACC_adj_2),"")</f>
        <v/>
      </c>
      <c r="M359" s="55" t="str">
        <f>IF($D$311="Yes",M358*(1+WACC_adj_2),"")</f>
        <v/>
      </c>
      <c r="N359" s="55" t="str">
        <f>IF($D$311="Yes",N358*(1+WACC_adj_2),"")</f>
        <v/>
      </c>
      <c r="O359" s="55" t="str">
        <f>IF($D$311="Yes",O358*(1+WACC_adj_2),"")</f>
        <v/>
      </c>
    </row>
    <row r="360" spans="3:15" outlineLevel="1" x14ac:dyDescent="0.25">
      <c r="C360" s="48" t="s">
        <v>257</v>
      </c>
      <c r="D360" s="71" t="str">
        <f>INDEX(Input_DecisionActual[[Actual]:[Actual]],MATCH(Calc_TU_values!$D$235,Input_DecisionActual[[VDO period]:[VDO period]],0),1)</f>
        <v>VDO 2021 - Final</v>
      </c>
      <c r="E360" s="18" t="s">
        <v>354</v>
      </c>
      <c r="F360" s="71" t="str">
        <f>IF($D360="-","-",INDEX(Inputs!$H$10:$Q$10,1,MATCH($D360,Inputs!$H$8:$Q$8,0)))</f>
        <v>F-CurrentVDO_Input</v>
      </c>
      <c r="G360" s="18"/>
      <c r="H360" s="18" t="s">
        <v>66</v>
      </c>
      <c r="I360" s="18" t="s">
        <v>45</v>
      </c>
      <c r="J360" s="48" t="s">
        <v>31</v>
      </c>
      <c r="K360" s="55" cm="1">
        <f t="array" ref="K360">IFERROR(SUM(K358:K359)*(INDEX(Inputs!$H$11:$Q$125,MATCH("Retail operating margin",Input_ForRateCalc[[Cost item]:[Cost item]],0),MATCH(Calc_TUV_Net_2[[#This Row],[Decision ref]:[Decision ref]],Inputs!$H$10:$Q$10,0))),"-")</f>
        <v>0.54661884319409138</v>
      </c>
      <c r="L360" s="55" cm="1">
        <f t="array" ref="L360">IFERROR(SUM(L358:L359)*(INDEX(Inputs!$H$11:$Q$125,MATCH("Retail operating margin",Input_ForRateCalc[[Cost item]:[Cost item]],0),MATCH(Calc_TUV_Net_2[[#This Row],[Decision ref]:[Decision ref]],Inputs!$H$10:$Q$10,0))),"-")</f>
        <v>0.94357890554644774</v>
      </c>
      <c r="M360" s="55" cm="1">
        <f t="array" ref="M360">IFERROR(SUM(M358:M359)*(INDEX(Inputs!$H$11:$Q$125,MATCH("Retail operating margin",Input_ForRateCalc[[Cost item]:[Cost item]],0),MATCH(Calc_TUV_Net_2[[#This Row],[Decision ref]:[Decision ref]],Inputs!$H$10:$Q$10,0))),"-")</f>
        <v>0.75008550972553067</v>
      </c>
      <c r="N360" s="55" cm="1">
        <f t="array" ref="N360">IFERROR(SUM(N358:N359)*(INDEX(Inputs!$H$11:$Q$125,MATCH("Retail operating margin",Input_ForRateCalc[[Cost item]:[Cost item]],0),MATCH(Calc_TUV_Net_2[[#This Row],[Decision ref]:[Decision ref]],Inputs!$H$10:$Q$10,0))),"-")</f>
        <v>0.84205459292436202</v>
      </c>
      <c r="O360" s="55" cm="1">
        <f t="array" ref="O360">IFERROR(SUM(O358:O359)*(INDEX(Inputs!$H$11:$Q$125,MATCH("Retail operating margin",Input_ForRateCalc[[Cost item]:[Cost item]],0),MATCH(Calc_TUV_Net_2[[#This Row],[Decision ref]:[Decision ref]],Inputs!$H$10:$Q$10,0))),"-")</f>
        <v>0.19110458846510264</v>
      </c>
    </row>
    <row r="361" spans="3:15" outlineLevel="1" x14ac:dyDescent="0.25">
      <c r="C361" s="48" t="s">
        <v>297</v>
      </c>
      <c r="D361" s="18"/>
      <c r="E361" s="18"/>
      <c r="F361" s="18"/>
      <c r="G361" s="18"/>
      <c r="H361" s="18" t="s">
        <v>66</v>
      </c>
      <c r="I361" s="18" t="s">
        <v>45</v>
      </c>
      <c r="J361" s="48" t="s">
        <v>31</v>
      </c>
      <c r="K361" s="55">
        <f>IF(K357=0,"-",SUM(K358:K360)*GST)</f>
        <v>0.95965996907783857</v>
      </c>
      <c r="L361" s="55">
        <f>IF(L357=0,"-",SUM(L358:L360)*GST)</f>
        <v>1.65657462159181</v>
      </c>
      <c r="M361" s="55">
        <f>IF(M357=0,"-",SUM(M358:M360)*GST)</f>
        <v>1.3168719776704516</v>
      </c>
      <c r="N361" s="55">
        <f>IF(N357=0,"-",SUM(N358:N360)*GST)</f>
        <v>1.4783355800281348</v>
      </c>
      <c r="O361" s="55">
        <f>IF(O357=0,"-",SUM(O358:O360)*GST)</f>
        <v>0.33550878411985902</v>
      </c>
    </row>
    <row r="362" spans="3:15" outlineLevel="1" x14ac:dyDescent="0.25">
      <c r="C362" s="48" t="s">
        <v>324</v>
      </c>
      <c r="D362" s="94"/>
      <c r="E362" s="94"/>
      <c r="F362" s="94"/>
      <c r="H362" s="18" t="s">
        <v>66</v>
      </c>
      <c r="I362" s="18" t="s">
        <v>45</v>
      </c>
      <c r="J362" s="48" t="s">
        <v>31</v>
      </c>
      <c r="K362" s="55">
        <f>IF(K357=0,"-",SUM(K358:K361))</f>
        <v>10.556259659856224</v>
      </c>
      <c r="L362" s="55">
        <f t="shared" ref="L362:O362" si="141">IF(L357=0,"-",SUM(L358:L361))</f>
        <v>18.222320837509912</v>
      </c>
      <c r="M362" s="55">
        <f t="shared" si="141"/>
        <v>14.485591754374967</v>
      </c>
      <c r="N362" s="55">
        <f t="shared" si="141"/>
        <v>16.261691380309482</v>
      </c>
      <c r="O362" s="55">
        <f t="shared" si="141"/>
        <v>3.6905966253184492</v>
      </c>
    </row>
    <row r="363" spans="3:15" outlineLevel="1" x14ac:dyDescent="0.25">
      <c r="C363" s="48"/>
      <c r="D363" s="103"/>
      <c r="E363" s="103"/>
      <c r="F363" s="103"/>
      <c r="G363" s="103"/>
      <c r="H363" s="103"/>
      <c r="I363" s="103"/>
      <c r="J363" s="103"/>
      <c r="K363" s="109"/>
      <c r="L363" s="109"/>
      <c r="M363" s="109"/>
      <c r="N363" s="109"/>
      <c r="O363" s="109"/>
    </row>
    <row r="364" spans="3:15" outlineLevel="1" x14ac:dyDescent="0.25">
      <c r="C364" s="46" t="s">
        <v>377</v>
      </c>
      <c r="D364" s="18"/>
      <c r="E364" s="18"/>
      <c r="F364" s="18"/>
      <c r="G364" s="57" t="s">
        <v>395</v>
      </c>
      <c r="H364" s="18"/>
      <c r="I364" s="18"/>
      <c r="J364" s="18"/>
      <c r="K364" s="109"/>
      <c r="L364" s="109"/>
      <c r="M364" s="109"/>
      <c r="N364" s="109"/>
      <c r="O364" s="109"/>
    </row>
    <row r="365" spans="3:15" outlineLevel="1" x14ac:dyDescent="0.25">
      <c r="C365" s="48" t="s">
        <v>376</v>
      </c>
      <c r="D365" s="71" t="str">
        <f>Calc_TU_values!$D$235</f>
        <v>VDO 2022 - Draft</v>
      </c>
      <c r="E365" s="18" t="s">
        <v>353</v>
      </c>
      <c r="F365" s="71" t="str">
        <f>INDEX(Inputs!$H$10:$Q$10,1,MATCH($D365,Inputs!$H$8:$Q$8,0))</f>
        <v>D-NextVDO_Input</v>
      </c>
      <c r="G365" s="18"/>
      <c r="H365" s="18" t="s">
        <v>66</v>
      </c>
      <c r="I365" s="18" t="s">
        <v>101</v>
      </c>
      <c r="J365" s="48" t="s">
        <v>31</v>
      </c>
      <c r="K365" s="55" cm="1">
        <f t="array" ref="K365">IFERROR(INDEX(Input_ForRateCalc[],MATCH($C365&amp;" - "&amp;K$333,Input_ForRateCalc[[Cost item]:[Cost item]],0),MATCH(Calc_TUV_Net_2[[#This Row],[Decision ref]:[Decision ref]],Input_ForRateCalc[#Headers],0)),"-")</f>
        <v>4.2622999999999998</v>
      </c>
      <c r="L365" s="55" cm="1">
        <f t="array" ref="L365">IFERROR(INDEX(Input_ForRateCalc[],MATCH($C365&amp;" - "&amp;L$333,Input_ForRateCalc[[Cost item]:[Cost item]],0),MATCH(Calc_TUV_Net_2[[#This Row],[Decision ref]:[Decision ref]],Input_ForRateCalc[#Headers],0)),"-")</f>
        <v>2.4700000000000002</v>
      </c>
      <c r="M365" s="55" cm="1">
        <f t="array" ref="M365">IFERROR(INDEX(Input_ForRateCalc[],MATCH($C365&amp;" - "&amp;M$333,Input_ForRateCalc[[Cost item]:[Cost item]],0),MATCH(Calc_TUV_Net_2[[#This Row],[Decision ref]:[Decision ref]],Input_ForRateCalc[#Headers],0)),"-")</f>
        <v>3.5990000000000002</v>
      </c>
      <c r="N365" s="55" cm="1">
        <f t="array" ref="N365">IFERROR(INDEX(Input_ForRateCalc[],MATCH($C365&amp;" - "&amp;N$333,Input_ForRateCalc[[Cost item]:[Cost item]],0),MATCH(Calc_TUV_Net_2[[#This Row],[Decision ref]:[Decision ref]],Input_ForRateCalc[#Headers],0)),"-")</f>
        <v>2.39</v>
      </c>
      <c r="O365" s="55" cm="1">
        <f t="array" ref="O365">IFERROR(INDEX(Input_ForRateCalc[],MATCH($C365&amp;" - "&amp;O$333,Input_ForRateCalc[[Cost item]:[Cost item]],0),MATCH(Calc_TUV_Net_2[[#This Row],[Decision ref]:[Decision ref]],Input_ForRateCalc[#Headers],0)),"-")</f>
        <v>2.17</v>
      </c>
    </row>
    <row r="366" spans="3:15" outlineLevel="1" x14ac:dyDescent="0.25">
      <c r="C366" s="48" t="s">
        <v>254</v>
      </c>
      <c r="D366" s="71" t="str">
        <f>Calc_TU_values!$D$235</f>
        <v>VDO 2022 - Draft</v>
      </c>
      <c r="E366" s="18" t="s">
        <v>353</v>
      </c>
      <c r="F366" s="71" t="str">
        <f>INDEX(Inputs!$H$10:$Q$10,1,MATCH($D366,Inputs!$H$8:$Q$8,0))</f>
        <v>D-NextVDO_Input</v>
      </c>
      <c r="G366" s="103"/>
      <c r="H366" s="18" t="s">
        <v>66</v>
      </c>
      <c r="I366" s="18" t="s">
        <v>45</v>
      </c>
      <c r="J366" s="48" t="s">
        <v>31</v>
      </c>
      <c r="K366" s="56" cm="1">
        <f t="array" ref="K366">TUProp_Days_2*SUM(
IFERROR(K365/100*INDEX(Input_Usage[#All],MATCH(Calc_TUV_Net_2[[#This Row],[Customer type]:[Customer type]]&amp;" - medium - controlled load",Input_Usage[[#All],[Ref]],0),MATCH($F366,Input_Usage[#Headers],0)),0))</f>
        <v>14.480142465753424</v>
      </c>
      <c r="L366" s="56" cm="1">
        <f t="array" ref="L366">TUProp_Days_2*SUM(
IFERROR(L365/100*INDEX(Input_Usage[#All],MATCH(Calc_TUV_Net_2[[#This Row],[Customer type]:[Customer type]]&amp;" - medium - controlled load",Input_Usage[[#All],[Ref]],0),MATCH($F366,Input_Usage[#Headers],0)),0))</f>
        <v>8.3912328767123299</v>
      </c>
      <c r="M366" s="56" cm="1">
        <f t="array" ref="M366">TUProp_Days_2*SUM(
IFERROR(M365/100*INDEX(Input_Usage[#All],MATCH(Calc_TUV_Net_2[[#This Row],[Customer type]:[Customer type]]&amp;" - medium - controlled load",Input_Usage[[#All],[Ref]],0),MATCH($F366,Input_Usage[#Headers],0)),0))</f>
        <v>12.226739726027398</v>
      </c>
      <c r="N366" s="56" cm="1">
        <f t="array" ref="N366">TUProp_Days_2*SUM(
IFERROR(N365/100*INDEX(Input_Usage[#All],MATCH(Calc_TUV_Net_2[[#This Row],[Customer type]:[Customer type]]&amp;" - medium - controlled load",Input_Usage[[#All],[Ref]],0),MATCH($F366,Input_Usage[#Headers],0)),0))</f>
        <v>8.1194520547945217</v>
      </c>
      <c r="O366" s="56" cm="1">
        <f t="array" ref="O366">TUProp_Days_2*SUM(
IFERROR(O365/100*INDEX(Input_Usage[#All],MATCH(Calc_TUV_Net_2[[#This Row],[Customer type]:[Customer type]]&amp;" - medium - controlled load",Input_Usage[[#All],[Ref]],0),MATCH($F366,Input_Usage[#Headers],0)),0))</f>
        <v>7.3720547945205475</v>
      </c>
    </row>
    <row r="367" spans="3:15" outlineLevel="1" x14ac:dyDescent="0.25">
      <c r="C367" s="48" t="s">
        <v>376</v>
      </c>
      <c r="D367" s="71" t="str">
        <f>INDEX(Input_DecisionActual[[Actual]:[Actual]],MATCH(Calc_TU_values!$D$235,Input_DecisionActual[[VDO period]:[VDO period]],0),1)</f>
        <v>VDO 2021 - Final</v>
      </c>
      <c r="E367" s="18" t="s">
        <v>354</v>
      </c>
      <c r="F367" s="71" t="str">
        <f>IF($D367="-","-",INDEX(Inputs!$H$10:$Q$10,1,MATCH($D367,Inputs!$H$8:$Q$8,0)))</f>
        <v>F-CurrentVDO_Input</v>
      </c>
      <c r="G367" s="103"/>
      <c r="H367" s="18" t="s">
        <v>66</v>
      </c>
      <c r="I367" s="18" t="s">
        <v>101</v>
      </c>
      <c r="J367" s="48" t="s">
        <v>31</v>
      </c>
      <c r="K367" s="55">
        <f>IFERROR(INDEX(Input_ForRateCalc[],MATCH($C367&amp;" - "&amp;K$333,Input_ForRateCalc[[Cost item]:[Cost item]],0),MATCH($F367,Input_ForRateCalc[#Headers],0)),"-")</f>
        <v>3.8612000000000002</v>
      </c>
      <c r="L367" s="55">
        <f>IFERROR(INDEX(Input_ForRateCalc[],MATCH($C367&amp;" - "&amp;L$333,Input_ForRateCalc[[Cost item]:[Cost item]],0),MATCH($F367,Input_ForRateCalc[#Headers],0)),"-")</f>
        <v>2.09</v>
      </c>
      <c r="M367" s="55">
        <f>IFERROR(INDEX(Input_ForRateCalc[],MATCH($C367&amp;" - "&amp;M$333,Input_ForRateCalc[[Cost item]:[Cost item]],0),MATCH($F367,Input_ForRateCalc[#Headers],0)),"-")</f>
        <v>2.9159999999999999</v>
      </c>
      <c r="N367" s="55">
        <f>IFERROR(INDEX(Input_ForRateCalc[],MATCH($C367&amp;" - "&amp;N$333,Input_ForRateCalc[[Cost item]:[Cost item]],0),MATCH($F367,Input_ForRateCalc[#Headers],0)),"-")</f>
        <v>2.14</v>
      </c>
      <c r="O367" s="55">
        <f>IFERROR(INDEX(Input_ForRateCalc[],MATCH($C367&amp;" - "&amp;O$333,Input_ForRateCalc[[Cost item]:[Cost item]],0),MATCH($F367,Input_ForRateCalc[#Headers],0)),"-")</f>
        <v>1.73</v>
      </c>
    </row>
    <row r="368" spans="3:15" outlineLevel="1" x14ac:dyDescent="0.25">
      <c r="C368" s="48" t="s">
        <v>254</v>
      </c>
      <c r="D368" s="71" t="str">
        <f>INDEX(Input_DecisionActual[[Actual]:[Actual]],MATCH(Calc_TU_values!$D$235,Input_DecisionActual[[VDO period]:[VDO period]],0),1)</f>
        <v>VDO 2021 - Final</v>
      </c>
      <c r="E368" s="18" t="s">
        <v>354</v>
      </c>
      <c r="F368" s="71" t="str">
        <f>IF($D368="-","-",INDEX(Inputs!$H$10:$Q$10,1,MATCH($D368,Inputs!$H$8:$Q$8,0)))</f>
        <v>F-CurrentVDO_Input</v>
      </c>
      <c r="G368" s="103"/>
      <c r="H368" s="18" t="s">
        <v>66</v>
      </c>
      <c r="I368" s="18" t="s">
        <v>45</v>
      </c>
      <c r="J368" s="48" t="s">
        <v>31</v>
      </c>
      <c r="K368" s="56" cm="1">
        <f t="array" ref="K368">TUProp_Days_2*SUM(
IFERROR(K367/100*INDEX(Input_Usage[#All],MATCH(Calc_TUV_Net_2[[#This Row],[Customer type]:[Customer type]]&amp;" - medium - controlled load",Input_Usage[[#All],[Ref]],0),MATCH($F368,Input_Usage[#Headers],0)),0))</f>
        <v>13.117501369863014</v>
      </c>
      <c r="L368" s="56" cm="1">
        <f t="array" ref="L368">TUProp_Days_2*SUM(
IFERROR(L367/100*INDEX(Input_Usage[#All],MATCH(Calc_TUV_Net_2[[#This Row],[Customer type]:[Customer type]]&amp;" - medium - controlled load",Input_Usage[[#All],[Ref]],0),MATCH($F368,Input_Usage[#Headers],0)),0))</f>
        <v>7.1002739726027393</v>
      </c>
      <c r="M368" s="56" cm="1">
        <f t="array" ref="M368">TUProp_Days_2*SUM(
IFERROR(M367/100*INDEX(Input_Usage[#All],MATCH(Calc_TUV_Net_2[[#This Row],[Customer type]:[Customer type]]&amp;" - medium - controlled load",Input_Usage[[#All],[Ref]],0),MATCH($F368,Input_Usage[#Headers],0)),0))</f>
        <v>9.9064109589041092</v>
      </c>
      <c r="N368" s="56" cm="1">
        <f t="array" ref="N368">TUProp_Days_2*SUM(
IFERROR(N367/100*INDEX(Input_Usage[#All],MATCH(Calc_TUV_Net_2[[#This Row],[Customer type]:[Customer type]]&amp;" - medium - controlled load",Input_Usage[[#All],[Ref]],0),MATCH($F368,Input_Usage[#Headers],0)),0))</f>
        <v>7.2701369863013703</v>
      </c>
      <c r="O368" s="56" cm="1">
        <f t="array" ref="O368">TUProp_Days_2*SUM(
IFERROR(O367/100*INDEX(Input_Usage[#All],MATCH(Calc_TUV_Net_2[[#This Row],[Customer type]:[Customer type]]&amp;" - medium - controlled load",Input_Usage[[#All],[Ref]],0),MATCH($F368,Input_Usage[#Headers],0)),0))</f>
        <v>5.8772602739726025</v>
      </c>
    </row>
    <row r="369" spans="3:15" outlineLevel="1" x14ac:dyDescent="0.25">
      <c r="C369" s="48" t="s">
        <v>255</v>
      </c>
      <c r="D369" s="18"/>
      <c r="E369" s="18"/>
      <c r="F369" s="18"/>
      <c r="G369" s="18"/>
      <c r="H369" s="18" t="s">
        <v>66</v>
      </c>
      <c r="I369" s="18" t="s">
        <v>45</v>
      </c>
      <c r="J369" s="48" t="s">
        <v>31</v>
      </c>
      <c r="K369" s="54">
        <f>IF(K368=0,"-",K366-K368)</f>
        <v>1.3626410958904103</v>
      </c>
      <c r="L369" s="54">
        <f t="shared" ref="L369:O369" si="142">IF(L368=0,"-",L366-L368)</f>
        <v>1.2909589041095906</v>
      </c>
      <c r="M369" s="54">
        <f t="shared" si="142"/>
        <v>2.3203287671232893</v>
      </c>
      <c r="N369" s="54">
        <f t="shared" si="142"/>
        <v>0.84931506849315141</v>
      </c>
      <c r="O369" s="54">
        <f t="shared" si="142"/>
        <v>1.4947945205479449</v>
      </c>
    </row>
    <row r="370" spans="3:15" outlineLevel="1" x14ac:dyDescent="0.25">
      <c r="C370" s="48" t="s">
        <v>296</v>
      </c>
      <c r="D370" s="18"/>
      <c r="E370" s="18"/>
      <c r="F370" s="18"/>
      <c r="G370" s="18"/>
      <c r="H370" s="18" t="s">
        <v>66</v>
      </c>
      <c r="I370" s="18" t="s">
        <v>45</v>
      </c>
      <c r="J370" s="48" t="s">
        <v>31</v>
      </c>
      <c r="K370" s="55" t="str">
        <f>IF($D$311="Yes",K369*(1+WACC_adj_2),"")</f>
        <v/>
      </c>
      <c r="L370" s="55" t="str">
        <f>IF($D$311="Yes",L369*(1+WACC_adj_2),"")</f>
        <v/>
      </c>
      <c r="M370" s="55" t="str">
        <f>IF($D$311="Yes",M369*(1+WACC_adj_2),"")</f>
        <v/>
      </c>
      <c r="N370" s="55" t="str">
        <f>IF($D$311="Yes",N369*(1+WACC_adj_2),"")</f>
        <v/>
      </c>
      <c r="O370" s="55" t="str">
        <f>IF($D$311="Yes",O369*(1+WACC_adj_2),"")</f>
        <v/>
      </c>
    </row>
    <row r="371" spans="3:15" outlineLevel="1" x14ac:dyDescent="0.25">
      <c r="C371" s="48" t="s">
        <v>257</v>
      </c>
      <c r="D371" s="71" t="str">
        <f>INDEX(Input_DecisionActual[[Actual]:[Actual]],MATCH(Calc_TU_values!$D$235,Input_DecisionActual[[VDO period]:[VDO period]],0),1)</f>
        <v>VDO 2021 - Final</v>
      </c>
      <c r="E371" s="18" t="s">
        <v>354</v>
      </c>
      <c r="F371" s="71" t="str">
        <f>IF($D371="-","-",INDEX(Inputs!$H$10:$Q$10,1,MATCH($D371,Inputs!$H$8:$Q$8,0)))</f>
        <v>F-CurrentVDO_Input</v>
      </c>
      <c r="G371" s="18"/>
      <c r="H371" s="18" t="s">
        <v>66</v>
      </c>
      <c r="I371" s="18" t="s">
        <v>45</v>
      </c>
      <c r="J371" s="48" t="s">
        <v>31</v>
      </c>
      <c r="K371" s="55" cm="1">
        <f t="array" ref="K371">IFERROR(SUM(K369:K370)*(INDEX(Inputs!$H$11:$Q$125,MATCH("Retail operating margin",Input_ForRateCalc[[Cost item]:[Cost item]],0),MATCH(Calc_TUV_Net_2[[#This Row],[Decision ref]:[Decision ref]],Inputs!$H$10:$Q$10,0))),"-")</f>
        <v>8.230352219178079E-2</v>
      </c>
      <c r="L371" s="55" cm="1">
        <f t="array" ref="L371">IFERROR(SUM(L369:L370)*(INDEX(Inputs!$H$11:$Q$125,MATCH("Retail operating margin",Input_ForRateCalc[[Cost item]:[Cost item]],0),MATCH(Calc_TUV_Net_2[[#This Row],[Decision ref]:[Decision ref]],Inputs!$H$10:$Q$10,0))),"-")</f>
        <v>7.7973917808219273E-2</v>
      </c>
      <c r="M371" s="55" cm="1">
        <f t="array" ref="M371">IFERROR(SUM(M369:M370)*(INDEX(Inputs!$H$11:$Q$125,MATCH("Retail operating margin",Input_ForRateCalc[[Cost item]:[Cost item]],0),MATCH(Calc_TUV_Net_2[[#This Row],[Decision ref]:[Decision ref]],Inputs!$H$10:$Q$10,0))),"-")</f>
        <v>0.14014785753424669</v>
      </c>
      <c r="N371" s="55" cm="1">
        <f t="array" ref="N371">IFERROR(SUM(N369:N370)*(INDEX(Inputs!$H$11:$Q$125,MATCH("Retail operating margin",Input_ForRateCalc[[Cost item]:[Cost item]],0),MATCH(Calc_TUV_Net_2[[#This Row],[Decision ref]:[Decision ref]],Inputs!$H$10:$Q$10,0))),"-")</f>
        <v>5.1298630136986351E-2</v>
      </c>
      <c r="O371" s="55" cm="1">
        <f t="array" ref="O371">IFERROR(SUM(O369:O370)*(INDEX(Inputs!$H$11:$Q$125,MATCH("Retail operating margin",Input_ForRateCalc[[Cost item]:[Cost item]],0),MATCH(Calc_TUV_Net_2[[#This Row],[Decision ref]:[Decision ref]],Inputs!$H$10:$Q$10,0))),"-")</f>
        <v>9.0285589041095876E-2</v>
      </c>
    </row>
    <row r="372" spans="3:15" outlineLevel="1" x14ac:dyDescent="0.25">
      <c r="C372" s="48" t="s">
        <v>297</v>
      </c>
      <c r="D372" s="18"/>
      <c r="E372" s="18"/>
      <c r="F372" s="18"/>
      <c r="G372" s="18"/>
      <c r="H372" s="18" t="s">
        <v>66</v>
      </c>
      <c r="I372" s="18" t="s">
        <v>45</v>
      </c>
      <c r="J372" s="48" t="s">
        <v>31</v>
      </c>
      <c r="K372" s="55">
        <f>IF(K368=0,"-",SUM(K369:K371)*GST)</f>
        <v>0.14449446180821909</v>
      </c>
      <c r="L372" s="55">
        <f>IF(L368=0,"-",SUM(L369:L371)*GST)</f>
        <v>0.13689328219178099</v>
      </c>
      <c r="M372" s="55">
        <f>IF(M368=0,"-",SUM(M369:M371)*GST)</f>
        <v>0.2460476624657536</v>
      </c>
      <c r="N372" s="55">
        <f>IF(N368=0,"-",SUM(N369:N371)*GST)</f>
        <v>9.0061369863013774E-2</v>
      </c>
      <c r="O372" s="55">
        <f>IF(O368=0,"-",SUM(O369:O371)*GST)</f>
        <v>0.1585080109589041</v>
      </c>
    </row>
    <row r="373" spans="3:15" outlineLevel="1" x14ac:dyDescent="0.25">
      <c r="C373" s="48" t="s">
        <v>396</v>
      </c>
      <c r="D373" s="94"/>
      <c r="E373" s="94"/>
      <c r="F373" s="94"/>
      <c r="H373" s="18" t="s">
        <v>66</v>
      </c>
      <c r="I373" s="18" t="s">
        <v>45</v>
      </c>
      <c r="J373" s="48" t="s">
        <v>31</v>
      </c>
      <c r="K373" s="55">
        <f>IF(K368=0,"-",SUM(K369:K372))</f>
        <v>1.5894390798904101</v>
      </c>
      <c r="L373" s="55">
        <f>IF(L368=0,"-",SUM(L369:L372))</f>
        <v>1.5058261041095908</v>
      </c>
      <c r="M373" s="55">
        <f>IF(M368=0,"-",SUM(M369:M372))</f>
        <v>2.7065242871232895</v>
      </c>
      <c r="N373" s="55">
        <f>IF(N368=0,"-",SUM(N369:N372))</f>
        <v>0.99067506849315157</v>
      </c>
      <c r="O373" s="55">
        <f>IF(O368=0,"-",SUM(O369:O372))</f>
        <v>1.7435881205479449</v>
      </c>
    </row>
    <row r="374" spans="3:15" outlineLevel="1" x14ac:dyDescent="0.25">
      <c r="C374" s="48"/>
      <c r="D374" s="103"/>
      <c r="E374" s="103"/>
      <c r="F374" s="103"/>
      <c r="G374" s="103"/>
      <c r="H374" s="103"/>
      <c r="I374" s="103"/>
      <c r="J374" s="103"/>
      <c r="K374" s="109"/>
      <c r="L374" s="109"/>
      <c r="M374" s="109"/>
      <c r="N374" s="109"/>
      <c r="O374" s="109"/>
    </row>
    <row r="375" spans="3:15" ht="15.75" outlineLevel="1" x14ac:dyDescent="0.25">
      <c r="C375" s="120" t="s">
        <v>314</v>
      </c>
      <c r="D375" s="18"/>
      <c r="E375" s="18"/>
      <c r="F375" s="18"/>
      <c r="G375" s="57" t="s">
        <v>395</v>
      </c>
      <c r="H375" s="18"/>
      <c r="I375" s="18"/>
      <c r="J375" s="18"/>
      <c r="K375" s="54"/>
      <c r="L375" s="18"/>
      <c r="M375" s="18"/>
      <c r="N375" s="18"/>
      <c r="O375" s="18"/>
    </row>
    <row r="376" spans="3:15" outlineLevel="1" x14ac:dyDescent="0.25">
      <c r="C376" s="46" t="s">
        <v>329</v>
      </c>
      <c r="D376" s="46"/>
      <c r="E376" s="46"/>
      <c r="F376" s="46"/>
      <c r="G376" s="57"/>
      <c r="H376" s="57"/>
      <c r="I376" s="18"/>
      <c r="J376" s="18"/>
      <c r="K376" s="54"/>
      <c r="L376" s="18"/>
      <c r="M376" s="18"/>
      <c r="N376" s="18"/>
      <c r="O376" s="18"/>
    </row>
    <row r="377" spans="3:15" outlineLevel="1" x14ac:dyDescent="0.25">
      <c r="C377" s="48" t="s">
        <v>309</v>
      </c>
      <c r="D377" s="71" t="str">
        <f>Calc_TU_values!$D$235</f>
        <v>VDO 2022 - Draft</v>
      </c>
      <c r="E377" s="18" t="s">
        <v>353</v>
      </c>
      <c r="F377" s="71" t="str">
        <f>INDEX(Inputs!$H$10:$Q$10,1,MATCH($D377,Inputs!$H$8:$Q$8,0))</f>
        <v>D-NextVDO_Input</v>
      </c>
      <c r="G377" s="47"/>
      <c r="H377" s="18" t="s">
        <v>44</v>
      </c>
      <c r="I377" s="18" t="s">
        <v>45</v>
      </c>
      <c r="J377" s="48" t="s">
        <v>32</v>
      </c>
      <c r="K377" s="55" cm="1">
        <f t="array" ref="K377">IFERROR(INDEX(Input_ForRateCalc[],MATCH($C377&amp;" - "&amp;K$333,Input_ForRateCalc[[Cost item]:[Cost item]],0),MATCH(Calc_TUV_Net_2[[#This Row],[Decision ref]:[Decision ref]],Input_ForRateCalc[#Headers],0)),"-")*TUProp_Days_2</f>
        <v>18.873479452054795</v>
      </c>
      <c r="L377" s="55" cm="1">
        <f t="array" ref="L377">IFERROR(INDEX(Input_ForRateCalc[],MATCH($C377&amp;" - "&amp;L$333,Input_ForRateCalc[[Cost item]:[Cost item]],0),MATCH(Calc_TUV_Net_2[[#This Row],[Decision ref]:[Decision ref]],Input_ForRateCalc[#Headers],0)),"-")*TUProp_Days_2</f>
        <v>27.180799999999998</v>
      </c>
      <c r="M377" s="55" cm="1">
        <f t="array" ref="M377">IFERROR(INDEX(Input_ForRateCalc[],MATCH($C377&amp;" - "&amp;M$333,Input_ForRateCalc[[Cost item]:[Cost item]],0),MATCH(Calc_TUV_Net_2[[#This Row],[Decision ref]:[Decision ref]],Input_ForRateCalc[#Headers],0)),"-")*TUProp_Days_2</f>
        <v>22.840800000000002</v>
      </c>
      <c r="N377" s="55" cm="1">
        <f t="array" ref="N377">IFERROR(INDEX(Input_ForRateCalc[],MATCH($C377&amp;" - "&amp;N$333,Input_ForRateCalc[[Cost item]:[Cost item]],0),MATCH(Calc_TUV_Net_2[[#This Row],[Decision ref]:[Decision ref]],Input_ForRateCalc[#Headers],0)),"-")*TUProp_Days_2</f>
        <v>30.572200000000002</v>
      </c>
      <c r="O377" s="55" cm="1">
        <f t="array" ref="O377">IFERROR(INDEX(Input_ForRateCalc[],MATCH($C377&amp;" - "&amp;O$333,Input_ForRateCalc[[Cost item]:[Cost item]],0),MATCH(Calc_TUV_Net_2[[#This Row],[Decision ref]:[Decision ref]],Input_ForRateCalc[#Headers],0)),"-")*TUProp_Days_2</f>
        <v>20.385599999999997</v>
      </c>
    </row>
    <row r="378" spans="3:15" outlineLevel="1" x14ac:dyDescent="0.25">
      <c r="C378" s="48" t="s">
        <v>211</v>
      </c>
      <c r="D378" s="71" t="str">
        <f>Calc_TU_values!$D$235</f>
        <v>VDO 2022 - Draft</v>
      </c>
      <c r="E378" s="18" t="s">
        <v>353</v>
      </c>
      <c r="F378" s="71" t="str">
        <f>INDEX(Inputs!$H$10:$Q$10,1,MATCH($D378,Inputs!$H$8:$Q$8,0))</f>
        <v>D-NextVDO_Input</v>
      </c>
      <c r="G378" s="47"/>
      <c r="H378" s="18" t="s">
        <v>44</v>
      </c>
      <c r="I378" s="18" t="s">
        <v>45</v>
      </c>
      <c r="J378" s="48" t="s">
        <v>32</v>
      </c>
      <c r="K378" s="55" cm="1">
        <f t="array" ref="K378">IFERROR(INDEX(Input_ForRateCalc[],MATCH($C378&amp;" - "&amp;K$333,Input_ForRateCalc[[Cost item]:[Cost item]],0),MATCH(Calc_TUV_Net_2[[#This Row],[Decision ref]:[Decision ref]],Input_ForRateCalc[#Headers],0)),"-")*TUProp_Days_2</f>
        <v>10.82027397260274</v>
      </c>
      <c r="L378" s="55" cm="1">
        <f t="array" ref="L378">IFERROR(INDEX(Input_ForRateCalc[],MATCH($C378&amp;" - "&amp;L$333,Input_ForRateCalc[[Cost item]:[Cost item]],0),MATCH(Calc_TUV_Net_2[[#This Row],[Decision ref]:[Decision ref]],Input_ForRateCalc[#Headers],0)),"-")*TUProp_Days_2</f>
        <v>10.089863013698629</v>
      </c>
      <c r="M378" s="55" cm="1">
        <f t="array" ref="M378">IFERROR(INDEX(Input_ForRateCalc[],MATCH($C378&amp;" - "&amp;M$333,Input_ForRateCalc[[Cost item]:[Cost item]],0),MATCH(Calc_TUV_Net_2[[#This Row],[Decision ref]:[Decision ref]],Input_ForRateCalc[#Headers],0)),"-")*TUProp_Days_2</f>
        <v>9.2048767123287671</v>
      </c>
      <c r="N378" s="55" cm="1">
        <f t="array" ref="N378">IFERROR(INDEX(Input_ForRateCalc[],MATCH($C378&amp;" - "&amp;N$333,Input_ForRateCalc[[Cost item]:[Cost item]],0),MATCH(Calc_TUV_Net_2[[#This Row],[Decision ref]:[Decision ref]],Input_ForRateCalc[#Headers],0)),"-")*TUProp_Days_2</f>
        <v>9.8520547945205479</v>
      </c>
      <c r="O378" s="55" cm="1">
        <f t="array" ref="O378">IFERROR(INDEX(Input_ForRateCalc[],MATCH($C378&amp;" - "&amp;O$333,Input_ForRateCalc[[Cost item]:[Cost item]],0),MATCH(Calc_TUV_Net_2[[#This Row],[Decision ref]:[Decision ref]],Input_ForRateCalc[#Headers],0)),"-")*TUProp_Days_2</f>
        <v>7.2905205479452055</v>
      </c>
    </row>
    <row r="379" spans="3:15" outlineLevel="1" x14ac:dyDescent="0.25">
      <c r="C379" s="48" t="s">
        <v>254</v>
      </c>
      <c r="D379" s="71" t="str">
        <f>Calc_TU_values!$D$235</f>
        <v>VDO 2022 - Draft</v>
      </c>
      <c r="E379" s="18" t="s">
        <v>353</v>
      </c>
      <c r="F379" s="71" t="str">
        <f>INDEX(Inputs!$H$10:$Q$10,1,MATCH($D379,Inputs!$H$8:$Q$8,0))</f>
        <v>D-NextVDO_Input</v>
      </c>
      <c r="G379" s="47"/>
      <c r="H379" s="18" t="s">
        <v>44</v>
      </c>
      <c r="I379" s="18" t="s">
        <v>45</v>
      </c>
      <c r="J379" s="48" t="s">
        <v>32</v>
      </c>
      <c r="K379" s="53">
        <f>IFERROR(SUM(K377:K378),"-")</f>
        <v>29.693753424657537</v>
      </c>
      <c r="L379" s="53">
        <f>IFERROR(SUM(L377:L378),"-")</f>
        <v>37.270663013698623</v>
      </c>
      <c r="M379" s="53">
        <f>IFERROR(SUM(M377:M378),"-")</f>
        <v>32.04567671232877</v>
      </c>
      <c r="N379" s="53">
        <f>IFERROR(SUM(N377:N378),"-")</f>
        <v>40.42425479452055</v>
      </c>
      <c r="O379" s="53">
        <f>IFERROR(SUM(O377:O378),"-")</f>
        <v>27.676120547945203</v>
      </c>
    </row>
    <row r="380" spans="3:15" outlineLevel="1" x14ac:dyDescent="0.25">
      <c r="C380" s="48" t="s">
        <v>309</v>
      </c>
      <c r="D380" s="71" t="str">
        <f>INDEX(Input_DecisionActual[[Actual]:[Actual]],MATCH(Calc_TU_values!$D$235,Input_DecisionActual[[VDO period]:[VDO period]],0),1)</f>
        <v>VDO 2021 - Final</v>
      </c>
      <c r="E380" s="18" t="s">
        <v>354</v>
      </c>
      <c r="F380" s="71" t="str">
        <f>IF($D380="-","-",INDEX(Inputs!$H$10:$Q$10,1,MATCH($D380,Inputs!$H$8:$Q$8,0)))</f>
        <v>F-CurrentVDO_Input</v>
      </c>
      <c r="G380" s="47"/>
      <c r="H380" s="18" t="s">
        <v>44</v>
      </c>
      <c r="I380" s="18" t="s">
        <v>45</v>
      </c>
      <c r="J380" s="48" t="s">
        <v>32</v>
      </c>
      <c r="K380" s="55" cm="1">
        <f t="array" ref="K380">IFERROR(INDEX(Input_ForRateCalc[],MATCH($C380&amp;" - "&amp;K$333,Input_ForRateCalc[[Cost item]:[Cost item]],0),MATCH(Calc_TUV_Net_2[[#This Row],[Decision ref]:[Decision ref]],Input_ForRateCalc[#Headers],0)),"-")*TUProp_Days_2</f>
        <v>18.005479452054793</v>
      </c>
      <c r="L380" s="55" cm="1">
        <f t="array" ref="L380">IFERROR(INDEX(Input_ForRateCalc[],MATCH($C380&amp;" - "&amp;L$333,Input_ForRateCalc[[Cost item]:[Cost item]],0),MATCH(Calc_TUV_Net_2[[#This Row],[Decision ref]:[Decision ref]],Input_ForRateCalc[#Headers],0)),"-")*TUProp_Days_2</f>
        <v>27.17808219178082</v>
      </c>
      <c r="M380" s="55" cm="1">
        <f t="array" ref="M380">IFERROR(INDEX(Input_ForRateCalc[],MATCH($C380&amp;" - "&amp;M$333,Input_ForRateCalc[[Cost item]:[Cost item]],0),MATCH(Calc_TUV_Net_2[[#This Row],[Decision ref]:[Decision ref]],Input_ForRateCalc[#Headers],0)),"-")*TUProp_Days_2</f>
        <v>20.169704109589041</v>
      </c>
      <c r="N380" s="55" cm="1">
        <f t="array" ref="N380">IFERROR(INDEX(Input_ForRateCalc[],MATCH($C380&amp;" - "&amp;N$333,Input_ForRateCalc[[Cost item]:[Cost item]],0),MATCH(Calc_TUV_Net_2[[#This Row],[Decision ref]:[Decision ref]],Input_ForRateCalc[#Headers],0)),"-")*TUProp_Days_2</f>
        <v>30.575342465753423</v>
      </c>
      <c r="O380" s="55" cm="1">
        <f t="array" ref="O380">IFERROR(INDEX(Input_ForRateCalc[],MATCH($C380&amp;" - "&amp;O$333,Input_ForRateCalc[[Cost item]:[Cost item]],0),MATCH(Calc_TUV_Net_2[[#This Row],[Decision ref]:[Decision ref]],Input_ForRateCalc[#Headers],0)),"-")*TUProp_Days_2</f>
        <v>13.565599999999998</v>
      </c>
    </row>
    <row r="381" spans="3:15" outlineLevel="1" x14ac:dyDescent="0.25">
      <c r="C381" s="48" t="s">
        <v>211</v>
      </c>
      <c r="D381" s="71" t="str">
        <f>INDEX(Input_DecisionActual[[Actual]:[Actual]],MATCH(Calc_TU_values!$D$235,Input_DecisionActual[[VDO period]:[VDO period]],0),1)</f>
        <v>VDO 2021 - Final</v>
      </c>
      <c r="E381" s="18" t="s">
        <v>354</v>
      </c>
      <c r="F381" s="71" t="str">
        <f>IF($D381="-","-",INDEX(Inputs!$H$10:$Q$10,1,MATCH($D381,Inputs!$H$8:$Q$8,0)))</f>
        <v>F-CurrentVDO_Input</v>
      </c>
      <c r="G381" s="47"/>
      <c r="H381" s="18" t="s">
        <v>44</v>
      </c>
      <c r="I381" s="18" t="s">
        <v>45</v>
      </c>
      <c r="J381" s="48" t="s">
        <v>32</v>
      </c>
      <c r="K381" s="55" cm="1">
        <f t="array" ref="K381">IFERROR(INDEX(Input_ForRateCalc[],MATCH($C381&amp;" - "&amp;K$333,Input_ForRateCalc[[Cost item]:[Cost item]],0),MATCH(Calc_TUV_Net_2[[#This Row],[Decision ref]:[Decision ref]],Input_ForRateCalc[#Headers],0)),"-")*TUProp_Days_2</f>
        <v>10.123835616438356</v>
      </c>
      <c r="L381" s="55" cm="1">
        <f t="array" ref="L381">IFERROR(INDEX(Input_ForRateCalc[],MATCH($C381&amp;" - "&amp;L$333,Input_ForRateCalc[[Cost item]:[Cost item]],0),MATCH(Calc_TUV_Net_2[[#This Row],[Decision ref]:[Decision ref]],Input_ForRateCalc[#Headers],0)),"-")*TUProp_Days_2</f>
        <v>11.176986301369862</v>
      </c>
      <c r="M381" s="55" cm="1">
        <f t="array" ref="M381">IFERROR(INDEX(Input_ForRateCalc[],MATCH($C381&amp;" - "&amp;M$333,Input_ForRateCalc[[Cost item]:[Cost item]],0),MATCH(Calc_TUV_Net_2[[#This Row],[Decision ref]:[Decision ref]],Input_ForRateCalc[#Headers],0)),"-")*TUProp_Days_2</f>
        <v>11.258520547945205</v>
      </c>
      <c r="N381" s="55" cm="1">
        <f t="array" ref="N381">IFERROR(INDEX(Input_ForRateCalc[],MATCH($C381&amp;" - "&amp;N$333,Input_ForRateCalc[[Cost item]:[Cost item]],0),MATCH(Calc_TUV_Net_2[[#This Row],[Decision ref]:[Decision ref]],Input_ForRateCalc[#Headers],0)),"-")*TUProp_Days_2</f>
        <v>11.126027397260273</v>
      </c>
      <c r="O381" s="55" cm="1">
        <f t="array" ref="O381">IFERROR(INDEX(Input_ForRateCalc[],MATCH($C381&amp;" - "&amp;O$333,Input_ForRateCalc[[Cost item]:[Cost item]],0),MATCH(Calc_TUV_Net_2[[#This Row],[Decision ref]:[Decision ref]],Input_ForRateCalc[#Headers],0)),"-")*TUProp_Days_2</f>
        <v>8.2927123287671236</v>
      </c>
    </row>
    <row r="382" spans="3:15" outlineLevel="1" x14ac:dyDescent="0.25">
      <c r="C382" s="48" t="s">
        <v>254</v>
      </c>
      <c r="D382" s="71" t="str">
        <f>INDEX(Input_DecisionActual[[Actual]:[Actual]],MATCH(Calc_TU_values!$D$235,Input_DecisionActual[[VDO period]:[VDO period]],0),1)</f>
        <v>VDO 2021 - Final</v>
      </c>
      <c r="E382" s="18" t="s">
        <v>354</v>
      </c>
      <c r="F382" s="71" t="str">
        <f>IF($D382="-","-",INDEX(Inputs!$H$10:$Q$10,1,MATCH($D382,Inputs!$H$8:$Q$8,0)))</f>
        <v>F-CurrentVDO_Input</v>
      </c>
      <c r="G382" s="47"/>
      <c r="H382" s="18" t="s">
        <v>44</v>
      </c>
      <c r="I382" s="18" t="s">
        <v>45</v>
      </c>
      <c r="J382" s="48" t="s">
        <v>32</v>
      </c>
      <c r="K382" s="54">
        <f>SUM(K380:K381)</f>
        <v>28.129315068493149</v>
      </c>
      <c r="L382" s="54">
        <f>SUM(L380:L381)</f>
        <v>38.355068493150682</v>
      </c>
      <c r="M382" s="54">
        <f>SUM(M380:M381)</f>
        <v>31.428224657534244</v>
      </c>
      <c r="N382" s="54">
        <f>SUM(N380:N381)</f>
        <v>41.701369863013696</v>
      </c>
      <c r="O382" s="54">
        <f>SUM(O380:O381)</f>
        <v>21.85831232876712</v>
      </c>
    </row>
    <row r="383" spans="3:15" outlineLevel="1" x14ac:dyDescent="0.25">
      <c r="C383" s="48" t="s">
        <v>255</v>
      </c>
      <c r="D383" s="18"/>
      <c r="E383" s="18"/>
      <c r="F383" s="18"/>
      <c r="G383" s="48"/>
      <c r="H383" s="18" t="s">
        <v>44</v>
      </c>
      <c r="I383" s="18" t="s">
        <v>45</v>
      </c>
      <c r="J383" s="48" t="s">
        <v>32</v>
      </c>
      <c r="K383" s="54">
        <f>IF(K382=0,"-",K379-K382)</f>
        <v>1.5644383561643878</v>
      </c>
      <c r="L383" s="54">
        <f t="shared" ref="L383:O383" si="143">IF(L382=0,"-",L379-L382)</f>
        <v>-1.0844054794520588</v>
      </c>
      <c r="M383" s="54">
        <f t="shared" si="143"/>
        <v>0.61745205479452636</v>
      </c>
      <c r="N383" s="54">
        <f t="shared" si="143"/>
        <v>-1.2771150684931456</v>
      </c>
      <c r="O383" s="54">
        <f t="shared" si="143"/>
        <v>5.8178082191780831</v>
      </c>
    </row>
    <row r="384" spans="3:15" outlineLevel="1" x14ac:dyDescent="0.25">
      <c r="C384" s="48" t="s">
        <v>296</v>
      </c>
      <c r="D384" s="18"/>
      <c r="E384" s="18"/>
      <c r="F384" s="18"/>
      <c r="G384" s="48"/>
      <c r="H384" s="18" t="s">
        <v>44</v>
      </c>
      <c r="I384" s="18" t="s">
        <v>45</v>
      </c>
      <c r="J384" s="48" t="s">
        <v>32</v>
      </c>
      <c r="K384" s="55" t="str">
        <f>IFERROR(IF($D$311="Yes",K383*(1+WACC_adj_2),""),"-")</f>
        <v/>
      </c>
      <c r="L384" s="55" t="str">
        <f>IFERROR(IF($D$311="Yes",L383*(1+WACC_adj_2),""),"-")</f>
        <v/>
      </c>
      <c r="M384" s="55" t="str">
        <f>IFERROR(IF($D$311="Yes",M383*(1+WACC_adj_2),""),"-")</f>
        <v/>
      </c>
      <c r="N384" s="55" t="str">
        <f>IFERROR(IF($D$311="Yes",N383*(1+WACC_adj_2),""),"-")</f>
        <v/>
      </c>
      <c r="O384" s="55" t="str">
        <f>IFERROR(IF($D$311="Yes",O383*(1+WACC_adj_2),""),"-")</f>
        <v/>
      </c>
    </row>
    <row r="385" spans="3:15" outlineLevel="1" x14ac:dyDescent="0.25">
      <c r="C385" s="48" t="s">
        <v>257</v>
      </c>
      <c r="D385" s="71" t="str">
        <f>INDEX(Input_DecisionActual[[Actual]:[Actual]],MATCH(Calc_TU_values!$D$235,Input_DecisionActual[[VDO period]:[VDO period]],0),1)</f>
        <v>VDO 2021 - Final</v>
      </c>
      <c r="E385" s="18" t="s">
        <v>354</v>
      </c>
      <c r="F385" s="71" t="str">
        <f>IF($D385="-","-",INDEX(Inputs!$H$10:$Q$10,1,MATCH($D385,Inputs!$H$8:$Q$8,0)))</f>
        <v>F-CurrentVDO_Input</v>
      </c>
      <c r="G385" s="48"/>
      <c r="H385" s="18" t="s">
        <v>44</v>
      </c>
      <c r="I385" s="18" t="s">
        <v>45</v>
      </c>
      <c r="J385" s="48" t="s">
        <v>32</v>
      </c>
      <c r="K385" s="55" cm="1">
        <f t="array" ref="K385">IFERROR(SUM(K383:K384)*(INDEX(Inputs!$H$11:$Q$125,MATCH("Retail operating margin",Input_ForRateCalc[[Cost item]:[Cost item]],0),MATCH(Calc_TUV_Net_2[[#This Row],[Decision ref]:[Decision ref]],Inputs!$H$10:$Q$10,0))),"-")</f>
        <v>9.4492076712329023E-2</v>
      </c>
      <c r="L385" s="55" cm="1">
        <f t="array" ref="L385">IFERROR(SUM(L383:L384)*(INDEX(Inputs!$H$11:$Q$125,MATCH("Retail operating margin",Input_ForRateCalc[[Cost item]:[Cost item]],0),MATCH(Calc_TUV_Net_2[[#This Row],[Decision ref]:[Decision ref]],Inputs!$H$10:$Q$10,0))),"-")</f>
        <v>-6.5498090958904354E-2</v>
      </c>
      <c r="M385" s="55" cm="1">
        <f t="array" ref="M385">IFERROR(SUM(M383:M384)*(INDEX(Inputs!$H$11:$Q$125,MATCH("Retail operating margin",Input_ForRateCalc[[Cost item]:[Cost item]],0),MATCH(Calc_TUV_Net_2[[#This Row],[Decision ref]:[Decision ref]],Inputs!$H$10:$Q$10,0))),"-")</f>
        <v>3.7294104109589395E-2</v>
      </c>
      <c r="N385" s="55" cm="1">
        <f t="array" ref="N385">IFERROR(SUM(N383:N384)*(INDEX(Inputs!$H$11:$Q$125,MATCH("Retail operating margin",Input_ForRateCalc[[Cost item]:[Cost item]],0),MATCH(Calc_TUV_Net_2[[#This Row],[Decision ref]:[Decision ref]],Inputs!$H$10:$Q$10,0))),"-")</f>
        <v>-7.7137750136985997E-2</v>
      </c>
      <c r="O385" s="55" cm="1">
        <f t="array" ref="O385">IFERROR(SUM(O383:O384)*(INDEX(Inputs!$H$11:$Q$125,MATCH("Retail operating margin",Input_ForRateCalc[[Cost item]:[Cost item]],0),MATCH(Calc_TUV_Net_2[[#This Row],[Decision ref]:[Decision ref]],Inputs!$H$10:$Q$10,0))),"-")</f>
        <v>0.35139561643835621</v>
      </c>
    </row>
    <row r="386" spans="3:15" outlineLevel="1" x14ac:dyDescent="0.25">
      <c r="C386" s="48" t="s">
        <v>297</v>
      </c>
      <c r="D386" s="18"/>
      <c r="E386" s="18"/>
      <c r="F386" s="18"/>
      <c r="G386" s="48"/>
      <c r="H386" s="18" t="s">
        <v>44</v>
      </c>
      <c r="I386" s="18" t="s">
        <v>45</v>
      </c>
      <c r="J386" s="48" t="s">
        <v>32</v>
      </c>
      <c r="K386" s="55">
        <f>IF(K382=0,"-",SUM(K383:K385)*GST)</f>
        <v>0.16589304328767168</v>
      </c>
      <c r="L386" s="55">
        <f>IF(L382=0,"-",SUM(L383:L385)*GST)</f>
        <v>-0.11499035704109631</v>
      </c>
      <c r="M386" s="55">
        <f>IF(M382=0,"-",SUM(M383:M385)*GST)</f>
        <v>6.5474615890411578E-2</v>
      </c>
      <c r="N386" s="55">
        <f>IF(N382=0,"-",SUM(N383:N385)*GST)</f>
        <v>-0.13542528186301317</v>
      </c>
      <c r="O386" s="55">
        <f>IF(O382=0,"-",SUM(O383:O385)*GST)</f>
        <v>0.61692038356164403</v>
      </c>
    </row>
    <row r="387" spans="3:15" outlineLevel="1" x14ac:dyDescent="0.25">
      <c r="C387" s="18" t="s">
        <v>323</v>
      </c>
      <c r="D387" s="18"/>
      <c r="E387" s="18"/>
      <c r="F387" s="18"/>
      <c r="G387" s="48"/>
      <c r="H387" s="18" t="s">
        <v>44</v>
      </c>
      <c r="I387" s="18" t="s">
        <v>45</v>
      </c>
      <c r="J387" s="48" t="s">
        <v>32</v>
      </c>
      <c r="K387" s="55">
        <f>IF(K382=0,"-",SUM(K383:K386))</f>
        <v>1.8248234761643884</v>
      </c>
      <c r="L387" s="55">
        <f>IF(L382=0,"-",SUM(L383:L386))</f>
        <v>-1.2648939274520594</v>
      </c>
      <c r="M387" s="55">
        <f>IF(M382=0,"-",SUM(M383:M386))</f>
        <v>0.7202207747945274</v>
      </c>
      <c r="N387" s="55">
        <f>IF(N382=0,"-",SUM(N383:N386))</f>
        <v>-1.489678100493145</v>
      </c>
      <c r="O387" s="55">
        <f>IF(O382=0,"-",SUM(O383:O386))</f>
        <v>6.7861242191780837</v>
      </c>
    </row>
    <row r="388" spans="3:15" outlineLevel="1" x14ac:dyDescent="0.25">
      <c r="C388" s="48"/>
      <c r="D388" s="48"/>
      <c r="E388" s="48"/>
      <c r="F388" s="48"/>
      <c r="H388" s="48"/>
      <c r="I388" s="18"/>
      <c r="J388" s="18"/>
      <c r="K388" s="106"/>
      <c r="L388" s="106"/>
      <c r="M388" s="106"/>
      <c r="N388" s="106"/>
      <c r="O388" s="106"/>
    </row>
    <row r="389" spans="3:15" outlineLevel="1" x14ac:dyDescent="0.25">
      <c r="C389" s="46" t="s">
        <v>330</v>
      </c>
      <c r="D389" s="48"/>
      <c r="E389" s="48"/>
      <c r="F389" s="48"/>
      <c r="G389" s="57"/>
      <c r="H389" s="48"/>
      <c r="I389" s="18"/>
      <c r="J389" s="48"/>
      <c r="K389" s="106"/>
      <c r="L389" s="106"/>
      <c r="M389" s="106"/>
      <c r="N389" s="106"/>
      <c r="O389" s="106"/>
    </row>
    <row r="390" spans="3:15" outlineLevel="1" x14ac:dyDescent="0.25">
      <c r="C390" s="48" t="s">
        <v>310</v>
      </c>
      <c r="D390" s="71" t="str">
        <f>Calc_TU_values!$D$235</f>
        <v>VDO 2022 - Draft</v>
      </c>
      <c r="E390" s="18" t="s">
        <v>353</v>
      </c>
      <c r="F390" s="71" t="str">
        <f>INDEX(Inputs!$H$10:$Q$10,1,MATCH($D390,Inputs!$H$8:$Q$8,0))</f>
        <v>D-NextVDO_Input</v>
      </c>
      <c r="G390" s="48"/>
      <c r="H390" s="18" t="s">
        <v>66</v>
      </c>
      <c r="I390" s="18" t="s">
        <v>101</v>
      </c>
      <c r="J390" s="48" t="s">
        <v>32</v>
      </c>
      <c r="K390" s="55" cm="1">
        <f t="array" ref="K390">IFERROR(INDEX(Input_ForRateCalc[],MATCH($C390&amp;" - "&amp;K$333,Input_ForRateCalc[[Cost item]:[Cost item]],0),MATCH(Calc_TUV_Net_2[[#This Row],[Decision ref]:[Decision ref]],Input_ForRateCalc[#Headers],0)),"-")</f>
        <v>15.538600000000001</v>
      </c>
      <c r="L390" s="55" t="str" cm="1">
        <f t="array" ref="L390">IFERROR(INDEX(Input_ForRateCalc[],MATCH($C390&amp;" - "&amp;L$333,Input_ForRateCalc[[Cost item]:[Cost item]],0),MATCH(Calc_TUV_Net_2[[#This Row],[Decision ref]:[Decision ref]],Input_ForRateCalc[#Headers],0)),"-")</f>
        <v>-</v>
      </c>
      <c r="M390" s="55" t="str" cm="1">
        <f t="array" ref="M390">IFERROR(INDEX(Input_ForRateCalc[],MATCH($C390&amp;" - "&amp;M$333,Input_ForRateCalc[[Cost item]:[Cost item]],0),MATCH(Calc_TUV_Net_2[[#This Row],[Decision ref]:[Decision ref]],Input_ForRateCalc[#Headers],0)),"-")</f>
        <v>-</v>
      </c>
      <c r="N390" s="55" t="str" cm="1">
        <f t="array" ref="N390">IFERROR(INDEX(Input_ForRateCalc[],MATCH($C390&amp;" - "&amp;N$333,Input_ForRateCalc[[Cost item]:[Cost item]],0),MATCH(Calc_TUV_Net_2[[#This Row],[Decision ref]:[Decision ref]],Input_ForRateCalc[#Headers],0)),"-")</f>
        <v>-</v>
      </c>
      <c r="O390" s="55" t="str" cm="1">
        <f t="array" ref="O390">IFERROR(INDEX(Input_ForRateCalc[],MATCH($C390&amp;" - "&amp;O$333,Input_ForRateCalc[[Cost item]:[Cost item]],0),MATCH(Calc_TUV_Net_2[[#This Row],[Decision ref]:[Decision ref]],Input_ForRateCalc[#Headers],0)),"-")</f>
        <v>-</v>
      </c>
    </row>
    <row r="391" spans="3:15" outlineLevel="1" x14ac:dyDescent="0.25">
      <c r="C391" s="48" t="s">
        <v>311</v>
      </c>
      <c r="D391" s="71" t="str">
        <f>Calc_TU_values!$D$235</f>
        <v>VDO 2022 - Draft</v>
      </c>
      <c r="E391" s="18" t="s">
        <v>353</v>
      </c>
      <c r="F391" s="71" t="str">
        <f>INDEX(Inputs!$H$10:$Q$10,1,MATCH($D391,Inputs!$H$8:$Q$8,0))</f>
        <v>D-NextVDO_Input</v>
      </c>
      <c r="G391" s="57"/>
      <c r="H391" s="18" t="s">
        <v>66</v>
      </c>
      <c r="I391" s="18" t="s">
        <v>101</v>
      </c>
      <c r="J391" s="48" t="s">
        <v>32</v>
      </c>
      <c r="K391" s="55" cm="1">
        <f t="array" ref="K391">IFERROR(INDEX(Input_ForRateCalc[],MATCH($C391&amp;" - "&amp;K$333,Input_ForRateCalc[[Cost item]:[Cost item]],0),MATCH(Calc_TUV_Net_2[[#This Row],[Decision ref]:[Decision ref]],Input_ForRateCalc[#Headers],0)),"-")</f>
        <v>18.2667</v>
      </c>
      <c r="L391" s="55" t="str" cm="1">
        <f t="array" ref="L391">IFERROR(INDEX(Input_ForRateCalc[],MATCH($C391&amp;" - "&amp;L$333,Input_ForRateCalc[[Cost item]:[Cost item]],0),MATCH(Calc_TUV_Net_2[[#This Row],[Decision ref]:[Decision ref]],Input_ForRateCalc[#Headers],0)),"-")</f>
        <v>-</v>
      </c>
      <c r="M391" s="55" t="str" cm="1">
        <f t="array" ref="M391">IFERROR(INDEX(Input_ForRateCalc[],MATCH($C391&amp;" - "&amp;M$333,Input_ForRateCalc[[Cost item]:[Cost item]],0),MATCH(Calc_TUV_Net_2[[#This Row],[Decision ref]:[Decision ref]],Input_ForRateCalc[#Headers],0)),"-")</f>
        <v>-</v>
      </c>
      <c r="N391" s="55" t="str" cm="1">
        <f t="array" ref="N391">IFERROR(INDEX(Input_ForRateCalc[],MATCH($C391&amp;" - "&amp;N$333,Input_ForRateCalc[[Cost item]:[Cost item]],0),MATCH(Calc_TUV_Net_2[[#This Row],[Decision ref]:[Decision ref]],Input_ForRateCalc[#Headers],0)),"-")</f>
        <v>-</v>
      </c>
      <c r="O391" s="55" t="str" cm="1">
        <f t="array" ref="O391">IFERROR(INDEX(Input_ForRateCalc[],MATCH($C391&amp;" - "&amp;O$333,Input_ForRateCalc[[Cost item]:[Cost item]],0),MATCH(Calc_TUV_Net_2[[#This Row],[Decision ref]:[Decision ref]],Input_ForRateCalc[#Headers],0)),"-")</f>
        <v>-</v>
      </c>
    </row>
    <row r="392" spans="3:15" outlineLevel="1" x14ac:dyDescent="0.25">
      <c r="C392" s="48" t="s">
        <v>312</v>
      </c>
      <c r="D392" s="71" t="str">
        <f>Calc_TU_values!$D$235</f>
        <v>VDO 2022 - Draft</v>
      </c>
      <c r="E392" s="18" t="s">
        <v>353</v>
      </c>
      <c r="F392" s="71" t="str">
        <f>INDEX(Inputs!$H$10:$Q$10,1,MATCH($D392,Inputs!$H$8:$Q$8,0))</f>
        <v>D-NextVDO_Input</v>
      </c>
      <c r="G392" s="47"/>
      <c r="H392" s="18" t="s">
        <v>66</v>
      </c>
      <c r="I392" s="18" t="s">
        <v>101</v>
      </c>
      <c r="J392" s="48" t="s">
        <v>32</v>
      </c>
      <c r="K392" s="55" t="str" cm="1">
        <f t="array" ref="K392">IFERROR(INDEX(Input_ForRateCalc[],MATCH($C392&amp;" - "&amp;K$333,Input_ForRateCalc[[Cost item]:[Cost item]],0),MATCH(Calc_TUV_Net_2[[#This Row],[Decision ref]:[Decision ref]],Input_ForRateCalc[#Headers],0)),"-")</f>
        <v>-</v>
      </c>
      <c r="L392" s="55" cm="1">
        <f t="array" ref="L392">IFERROR(INDEX(Input_ForRateCalc[],MATCH($C392&amp;" - "&amp;L$333,Input_ForRateCalc[[Cost item]:[Cost item]],0),MATCH(Calc_TUV_Net_2[[#This Row],[Decision ref]:[Decision ref]],Input_ForRateCalc[#Headers],0)),"-")</f>
        <v>8.2100000000000009</v>
      </c>
      <c r="M392" s="55" cm="1">
        <f t="array" ref="M392">IFERROR(INDEX(Input_ForRateCalc[],MATCH($C392&amp;" - "&amp;M$333,Input_ForRateCalc[[Cost item]:[Cost item]],0),MATCH(Calc_TUV_Net_2[[#This Row],[Decision ref]:[Decision ref]],Input_ForRateCalc[#Headers],0)),"-")</f>
        <v>10.973000000000001</v>
      </c>
      <c r="N392" s="55" cm="1">
        <f t="array" ref="N392">IFERROR(INDEX(Input_ForRateCalc[],MATCH($C392&amp;" - "&amp;N$333,Input_ForRateCalc[[Cost item]:[Cost item]],0),MATCH(Calc_TUV_Net_2[[#This Row],[Decision ref]:[Decision ref]],Input_ForRateCalc[#Headers],0)),"-")</f>
        <v>9.2899999999999991</v>
      </c>
      <c r="O392" s="55" cm="1">
        <f t="array" ref="O392">IFERROR(INDEX(Input_ForRateCalc[],MATCH($C392&amp;" - "&amp;O$333,Input_ForRateCalc[[Cost item]:[Cost item]],0),MATCH(Calc_TUV_Net_2[[#This Row],[Decision ref]:[Decision ref]],Input_ForRateCalc[#Headers],0)),"-")</f>
        <v>8.7899999999999991</v>
      </c>
    </row>
    <row r="393" spans="3:15" outlineLevel="1" x14ac:dyDescent="0.25">
      <c r="C393" s="48" t="s">
        <v>254</v>
      </c>
      <c r="D393" s="71" t="str">
        <f>Calc_TU_values!$D$235</f>
        <v>VDO 2022 - Draft</v>
      </c>
      <c r="E393" s="18" t="s">
        <v>353</v>
      </c>
      <c r="F393" s="71" t="str">
        <f>INDEX(Inputs!$H$10:$Q$10,1,MATCH($D393,Inputs!$H$8:$Q$8,0))</f>
        <v>D-NextVDO_Input</v>
      </c>
      <c r="G393" s="47"/>
      <c r="H393" s="18" t="s">
        <v>66</v>
      </c>
      <c r="I393" s="18" t="s">
        <v>45</v>
      </c>
      <c r="J393" s="48" t="s">
        <v>32</v>
      </c>
      <c r="K393" s="56">
        <f>SUM(
IFERROR(K390/100*SUMIFS(INDEX(TUNet_Usage_PerRate_2[],0,MATCH(K$333,TUNet_Usage_PerRate_2[#Headers],0)),TUNet_Usage_PerRate_2[Customer type],Calc_TUV_Net_2[[#This Row],[Customer type]],TUNet_Usage_PerRate_2[Description],"Usage per customer - Block 1"),0),
IFERROR(K391/100*SUMIFS(INDEX(TUNet_Usage_PerRate_2[],0,MATCH(K$333,TUNet_Usage_PerRate_2[#Headers],0)),TUNet_Usage_PerRate_2[Customer type],Calc_TUV_Net_2[[#This Row],[Customer type]],TUNet_Usage_PerRate_2[Description],"Usage per customer - Balance"),0),
IFERROR(K392/100*SUMIFS(INDEX(TUNet_Usage_PerRate_2[],0,MATCH(K$333,TUNet_Usage_PerRate_2[#Headers],0)),TUNet_Usage_PerRate_2[Customer type],Calc_TUV_Net_2[[#This Row],[Customer type]],TUNet_Usage_PerRate_2[Description],"Usage per customer - Single rate"),0))</f>
        <v>191.94667048480912</v>
      </c>
      <c r="L393" s="56">
        <f>SUM(
IFERROR(L390/100*SUMIFS(INDEX(TUNet_Usage_PerRate_2[],0,MATCH(L$333,TUNet_Usage_PerRate_2[#Headers],0)),TUNet_Usage_PerRate_2[Customer type],Calc_TUV_Net_2[[#This Row],[Customer type]],TUNet_Usage_PerRate_2[Description],"Usage per customer - Block 1"),0),
IFERROR(L391/100*SUMIFS(INDEX(TUNet_Usage_PerRate_2[],0,MATCH(L$333,TUNet_Usage_PerRate_2[#Headers],0)),TUNet_Usage_PerRate_2[Customer type],Calc_TUV_Net_2[[#This Row],[Customer type]],TUNet_Usage_PerRate_2[Description],"Usage per customer - Balance"),0),
IFERROR(L392/100*SUMIFS(INDEX(TUNet_Usage_PerRate_2[],0,MATCH(L$333,TUNet_Usage_PerRate_2[#Headers],0)),TUNet_Usage_PerRate_2[Customer type],Calc_TUV_Net_2[[#This Row],[Customer type]],TUNet_Usage_PerRate_2[Description],"Usage per customer - Single rate"),0))</f>
        <v>98.777486622120207</v>
      </c>
      <c r="M393" s="56">
        <f>SUM(
IFERROR(M390/100*SUMIFS(INDEX(TUNet_Usage_PerRate_2[],0,MATCH(M$333,TUNet_Usage_PerRate_2[#Headers],0)),TUNet_Usage_PerRate_2[Customer type],Calc_TUV_Net_2[[#This Row],[Customer type]],TUNet_Usage_PerRate_2[Description],"Usage per customer - Block 1"),0),
IFERROR(M391/100*SUMIFS(INDEX(TUNet_Usage_PerRate_2[],0,MATCH(M$333,TUNet_Usage_PerRate_2[#Headers],0)),TUNet_Usage_PerRate_2[Customer type],Calc_TUV_Net_2[[#This Row],[Customer type]],TUNet_Usage_PerRate_2[Description],"Usage per customer - Balance"),0),
IFERROR(M392/100*SUMIFS(INDEX(TUNet_Usage_PerRate_2[],0,MATCH(M$333,TUNet_Usage_PerRate_2[#Headers],0)),TUNet_Usage_PerRate_2[Customer type],Calc_TUV_Net_2[[#This Row],[Customer type]],TUNet_Usage_PerRate_2[Description],"Usage per customer - Single rate"),0))</f>
        <v>132.02014137692143</v>
      </c>
      <c r="N393" s="56">
        <f>SUM(
IFERROR(N390/100*SUMIFS(INDEX(TUNet_Usage_PerRate_2[],0,MATCH(N$333,TUNet_Usage_PerRate_2[#Headers],0)),TUNet_Usage_PerRate_2[Customer type],Calc_TUV_Net_2[[#This Row],[Customer type]],TUNet_Usage_PerRate_2[Description],"Usage per customer - Block 1"),0),
IFERROR(N391/100*SUMIFS(INDEX(TUNet_Usage_PerRate_2[],0,MATCH(N$333,TUNet_Usage_PerRate_2[#Headers],0)),TUNet_Usage_PerRate_2[Customer type],Calc_TUV_Net_2[[#This Row],[Customer type]],TUNet_Usage_PerRate_2[Description],"Usage per customer - Balance"),0),
IFERROR(N392/100*SUMIFS(INDEX(TUNet_Usage_PerRate_2[],0,MATCH(N$333,TUNet_Usage_PerRate_2[#Headers],0)),TUNet_Usage_PerRate_2[Customer type],Calc_TUV_Net_2[[#This Row],[Customer type]],TUNet_Usage_PerRate_2[Description],"Usage per customer - Single rate"),0))</f>
        <v>111.77135818751481</v>
      </c>
      <c r="O393" s="56">
        <f>SUM(
IFERROR(O390/100*SUMIFS(INDEX(TUNet_Usage_PerRate_2[],0,MATCH(O$333,TUNet_Usage_PerRate_2[#Headers],0)),TUNet_Usage_PerRate_2[Customer type],Calc_TUV_Net_2[[#This Row],[Customer type]],TUNet_Usage_PerRate_2[Description],"Usage per customer - Block 1"),0),
IFERROR(O391/100*SUMIFS(INDEX(TUNet_Usage_PerRate_2[],0,MATCH(O$333,TUNet_Usage_PerRate_2[#Headers],0)),TUNet_Usage_PerRate_2[Customer type],Calc_TUV_Net_2[[#This Row],[Customer type]],TUNet_Usage_PerRate_2[Description],"Usage per customer - Balance"),0),
IFERROR(O392/100*SUMIFS(INDEX(TUNet_Usage_PerRate_2[],0,MATCH(O$333,TUNet_Usage_PerRate_2[#Headers],0)),TUNet_Usage_PerRate_2[Customer type],Calc_TUV_Net_2[[#This Row],[Customer type]],TUNet_Usage_PerRate_2[Description],"Usage per customer - Single rate"),0))</f>
        <v>105.75567690723952</v>
      </c>
    </row>
    <row r="394" spans="3:15" outlineLevel="1" x14ac:dyDescent="0.25">
      <c r="C394" s="48" t="s">
        <v>310</v>
      </c>
      <c r="D394" s="71" t="str">
        <f>INDEX(Input_DecisionActual[[Actual]:[Actual]],MATCH(Calc_TU_values!$D$235,Input_DecisionActual[[VDO period]:[VDO period]],0),1)</f>
        <v>VDO 2021 - Final</v>
      </c>
      <c r="E394" s="18" t="s">
        <v>354</v>
      </c>
      <c r="F394" s="71" t="str">
        <f>IF($D394="-","-",INDEX(Inputs!$H$10:$Q$10,1,MATCH($D394,Inputs!$H$8:$Q$8,0)))</f>
        <v>F-CurrentVDO_Input</v>
      </c>
      <c r="G394" s="47"/>
      <c r="H394" s="18" t="s">
        <v>66</v>
      </c>
      <c r="I394" s="18" t="s">
        <v>101</v>
      </c>
      <c r="J394" s="48" t="s">
        <v>32</v>
      </c>
      <c r="K394" s="55" cm="1">
        <f t="array" ref="K394">IFERROR(INDEX(Input_ForRateCalc[],MATCH($C394&amp;" - "&amp;K$333,Input_ForRateCalc[[Cost item]:[Cost item]],0),MATCH(Calc_TUV_Net_2[[#This Row],[Decision ref]:[Decision ref]],Input_ForRateCalc[#Headers],0)),"-")</f>
        <v>13.9602</v>
      </c>
      <c r="L394" s="55" t="str" cm="1">
        <f t="array" ref="L394">IFERROR(INDEX(Input_ForRateCalc[],MATCH($C394&amp;" - "&amp;L$333,Input_ForRateCalc[[Cost item]:[Cost item]],0),MATCH(Calc_TUV_Net_2[[#This Row],[Decision ref]:[Decision ref]],Input_ForRateCalc[#Headers],0)),"-")</f>
        <v>-</v>
      </c>
      <c r="M394" s="55" t="str" cm="1">
        <f t="array" ref="M394">IFERROR(INDEX(Input_ForRateCalc[],MATCH($C394&amp;" - "&amp;M$333,Input_ForRateCalc[[Cost item]:[Cost item]],0),MATCH(Calc_TUV_Net_2[[#This Row],[Decision ref]:[Decision ref]],Input_ForRateCalc[#Headers],0)),"-")</f>
        <v>-</v>
      </c>
      <c r="N394" s="55" t="str" cm="1">
        <f t="array" ref="N394">IFERROR(INDEX(Input_ForRateCalc[],MATCH($C394&amp;" - "&amp;N$333,Input_ForRateCalc[[Cost item]:[Cost item]],0),MATCH(Calc_TUV_Net_2[[#This Row],[Decision ref]:[Decision ref]],Input_ForRateCalc[#Headers],0)),"-")</f>
        <v>-</v>
      </c>
      <c r="O394" s="55" t="str" cm="1">
        <f t="array" ref="O394">IFERROR(INDEX(Input_ForRateCalc[],MATCH($C394&amp;" - "&amp;O$333,Input_ForRateCalc[[Cost item]:[Cost item]],0),MATCH(Calc_TUV_Net_2[[#This Row],[Decision ref]:[Decision ref]],Input_ForRateCalc[#Headers],0)),"-")</f>
        <v>-</v>
      </c>
    </row>
    <row r="395" spans="3:15" outlineLevel="1" x14ac:dyDescent="0.25">
      <c r="C395" s="48" t="s">
        <v>311</v>
      </c>
      <c r="D395" s="71" t="str">
        <f>INDEX(Input_DecisionActual[[Actual]:[Actual]],MATCH(Calc_TU_values!$D$235,Input_DecisionActual[[VDO period]:[VDO period]],0),1)</f>
        <v>VDO 2021 - Final</v>
      </c>
      <c r="E395" s="18" t="s">
        <v>354</v>
      </c>
      <c r="F395" s="71" t="str">
        <f>IF($D395="-","-",INDEX(Inputs!$H$10:$Q$10,1,MATCH($D395,Inputs!$H$8:$Q$8,0)))</f>
        <v>F-CurrentVDO_Input</v>
      </c>
      <c r="G395" s="47"/>
      <c r="H395" s="18" t="s">
        <v>66</v>
      </c>
      <c r="I395" s="18" t="s">
        <v>101</v>
      </c>
      <c r="J395" s="48" t="s">
        <v>32</v>
      </c>
      <c r="K395" s="55" cm="1">
        <f t="array" ref="K395">IFERROR(INDEX(Input_ForRateCalc[],MATCH($C395&amp;" - "&amp;K$333,Input_ForRateCalc[[Cost item]:[Cost item]],0),MATCH(Calc_TUV_Net_2[[#This Row],[Decision ref]:[Decision ref]],Input_ForRateCalc[#Headers],0)),"-")</f>
        <v>16.934899999999999</v>
      </c>
      <c r="L395" s="55" t="str" cm="1">
        <f t="array" ref="L395">IFERROR(INDEX(Input_ForRateCalc[],MATCH($C395&amp;" - "&amp;L$333,Input_ForRateCalc[[Cost item]:[Cost item]],0),MATCH(Calc_TUV_Net_2[[#This Row],[Decision ref]:[Decision ref]],Input_ForRateCalc[#Headers],0)),"-")</f>
        <v>-</v>
      </c>
      <c r="M395" s="55" t="str" cm="1">
        <f t="array" ref="M395">IFERROR(INDEX(Input_ForRateCalc[],MATCH($C395&amp;" - "&amp;M$333,Input_ForRateCalc[[Cost item]:[Cost item]],0),MATCH(Calc_TUV_Net_2[[#This Row],[Decision ref]:[Decision ref]],Input_ForRateCalc[#Headers],0)),"-")</f>
        <v>-</v>
      </c>
      <c r="N395" s="55" t="str" cm="1">
        <f t="array" ref="N395">IFERROR(INDEX(Input_ForRateCalc[],MATCH($C395&amp;" - "&amp;N$333,Input_ForRateCalc[[Cost item]:[Cost item]],0),MATCH(Calc_TUV_Net_2[[#This Row],[Decision ref]:[Decision ref]],Input_ForRateCalc[#Headers],0)),"-")</f>
        <v>-</v>
      </c>
      <c r="O395" s="55" t="str" cm="1">
        <f t="array" ref="O395">IFERROR(INDEX(Input_ForRateCalc[],MATCH($C395&amp;" - "&amp;O$333,Input_ForRateCalc[[Cost item]:[Cost item]],0),MATCH(Calc_TUV_Net_2[[#This Row],[Decision ref]:[Decision ref]],Input_ForRateCalc[#Headers],0)),"-")</f>
        <v>-</v>
      </c>
    </row>
    <row r="396" spans="3:15" outlineLevel="1" x14ac:dyDescent="0.25">
      <c r="C396" s="48" t="s">
        <v>312</v>
      </c>
      <c r="D396" s="71" t="str">
        <f>INDEX(Input_DecisionActual[[Actual]:[Actual]],MATCH(Calc_TU_values!$D$235,Input_DecisionActual[[VDO period]:[VDO period]],0),1)</f>
        <v>VDO 2021 - Final</v>
      </c>
      <c r="E396" s="18" t="s">
        <v>354</v>
      </c>
      <c r="F396" s="71" t="str">
        <f>IF($D396="-","-",INDEX(Inputs!$H$10:$Q$10,1,MATCH($D396,Inputs!$H$8:$Q$8,0)))</f>
        <v>F-CurrentVDO_Input</v>
      </c>
      <c r="G396" s="47"/>
      <c r="H396" s="18" t="s">
        <v>66</v>
      </c>
      <c r="I396" s="18" t="s">
        <v>101</v>
      </c>
      <c r="J396" s="48" t="s">
        <v>32</v>
      </c>
      <c r="K396" s="55" t="str" cm="1">
        <f t="array" ref="K396">IFERROR(INDEX(Input_ForRateCalc[],MATCH($C396&amp;" - "&amp;K$333,Input_ForRateCalc[[Cost item]:[Cost item]],0),MATCH(Calc_TUV_Net_2[[#This Row],[Decision ref]:[Decision ref]],Input_ForRateCalc[#Headers],0)),"-")</f>
        <v>-</v>
      </c>
      <c r="L396" s="55" cm="1">
        <f t="array" ref="L396">IFERROR(INDEX(Input_ForRateCalc[],MATCH($C396&amp;" - "&amp;L$333,Input_ForRateCalc[[Cost item]:[Cost item]],0),MATCH(Calc_TUV_Net_2[[#This Row],[Decision ref]:[Decision ref]],Input_ForRateCalc[#Headers],0)),"-")</f>
        <v>7.54</v>
      </c>
      <c r="M396" s="55" cm="1">
        <f t="array" ref="M396">IFERROR(INDEX(Input_ForRateCalc[],MATCH($C396&amp;" - "&amp;M$333,Input_ForRateCalc[[Cost item]:[Cost item]],0),MATCH(Calc_TUV_Net_2[[#This Row],[Decision ref]:[Decision ref]],Input_ForRateCalc[#Headers],0)),"-")</f>
        <v>9.3260000000000005</v>
      </c>
      <c r="N396" s="55" cm="1">
        <f t="array" ref="N396">IFERROR(INDEX(Input_ForRateCalc[],MATCH($C396&amp;" - "&amp;N$333,Input_ForRateCalc[[Cost item]:[Cost item]],0),MATCH(Calc_TUV_Net_2[[#This Row],[Decision ref]:[Decision ref]],Input_ForRateCalc[#Headers],0)),"-")</f>
        <v>8.44</v>
      </c>
      <c r="O396" s="55" cm="1">
        <f t="array" ref="O396">IFERROR(INDEX(Input_ForRateCalc[],MATCH($C396&amp;" - "&amp;O$333,Input_ForRateCalc[[Cost item]:[Cost item]],0),MATCH(Calc_TUV_Net_2[[#This Row],[Decision ref]:[Decision ref]],Input_ForRateCalc[#Headers],0)),"-")</f>
        <v>9.27</v>
      </c>
    </row>
    <row r="397" spans="3:15" outlineLevel="1" x14ac:dyDescent="0.25">
      <c r="C397" s="48" t="s">
        <v>254</v>
      </c>
      <c r="D397" s="71" t="str">
        <f>INDEX(Input_DecisionActual[[Actual]:[Actual]],MATCH(Calc_TU_values!$D$235,Input_DecisionActual[[VDO period]:[VDO period]],0),1)</f>
        <v>VDO 2021 - Final</v>
      </c>
      <c r="E397" s="18" t="s">
        <v>354</v>
      </c>
      <c r="F397" s="71" t="str">
        <f>IF($D397="-","-",INDEX(Inputs!$H$10:$Q$10,1,MATCH($D397,Inputs!$H$8:$Q$8,0)))</f>
        <v>F-CurrentVDO_Input</v>
      </c>
      <c r="G397" s="47"/>
      <c r="H397" s="18" t="s">
        <v>66</v>
      </c>
      <c r="I397" s="18" t="s">
        <v>45</v>
      </c>
      <c r="J397" s="48" t="s">
        <v>32</v>
      </c>
      <c r="K397" s="56">
        <f>SUM(
IFERROR(K394/100*SUMIFS(INDEX(TUNet_Usage_PerRate_2[],0,MATCH(K$333,TUNet_Usage_PerRate_2[#Headers],0)),TUNet_Usage_PerRate_2[Customer type],Calc_TUV_Net_2[[#This Row],[Customer type]],TUNet_Usage_PerRate_2[Description],"Usage per customer - Block 1"),0),
IFERROR(K395/100*SUMIFS(INDEX(TUNet_Usage_PerRate_2[],0,MATCH(K$333,TUNet_Usage_PerRate_2[#Headers],0)),TUNet_Usage_PerRate_2[Customer type],Calc_TUV_Net_2[[#This Row],[Customer type]],TUNet_Usage_PerRate_2[Description],"Usage per customer - Balance"),0),
IFERROR(K396/100*SUMIFS(INDEX(TUNet_Usage_PerRate_2[],0,MATCH(K$333,TUNet_Usage_PerRate_2[#Headers],0)),TUNet_Usage_PerRate_2[Customer type],Calc_TUV_Net_2[[#This Row],[Customer type]],TUNet_Usage_PerRate_2[Description],"Usage per customer - Single rate"),0))</f>
        <v>173.40798182666791</v>
      </c>
      <c r="L397" s="56">
        <f>SUM(
IFERROR(L394/100*SUMIFS(INDEX(TUNet_Usage_PerRate_2[],0,MATCH(L$333,TUNet_Usage_PerRate_2[#Headers],0)),TUNet_Usage_PerRate_2[Customer type],Calc_TUV_Net_2[[#This Row],[Customer type]],TUNet_Usage_PerRate_2[Description],"Usage per customer - Block 1"),0),
IFERROR(L395/100*SUMIFS(INDEX(TUNet_Usage_PerRate_2[],0,MATCH(L$333,TUNet_Usage_PerRate_2[#Headers],0)),TUNet_Usage_PerRate_2[Customer type],Calc_TUV_Net_2[[#This Row],[Customer type]],TUNet_Usage_PerRate_2[Description],"Usage per customer - Balance"),0),
IFERROR(L396/100*SUMIFS(INDEX(TUNet_Usage_PerRate_2[],0,MATCH(L$333,TUNet_Usage_PerRate_2[#Headers],0)),TUNet_Usage_PerRate_2[Customer type],Calc_TUV_Net_2[[#This Row],[Customer type]],TUNet_Usage_PerRate_2[Description],"Usage per customer - Single rate"),0))</f>
        <v>90.716473706551298</v>
      </c>
      <c r="M397" s="56">
        <f>SUM(
IFERROR(M394/100*SUMIFS(INDEX(TUNet_Usage_PerRate_2[],0,MATCH(M$333,TUNet_Usage_PerRate_2[#Headers],0)),TUNet_Usage_PerRate_2[Customer type],Calc_TUV_Net_2[[#This Row],[Customer type]],TUNet_Usage_PerRate_2[Description],"Usage per customer - Block 1"),0),
IFERROR(M395/100*SUMIFS(INDEX(TUNet_Usage_PerRate_2[],0,MATCH(M$333,TUNet_Usage_PerRate_2[#Headers],0)),TUNet_Usage_PerRate_2[Customer type],Calc_TUV_Net_2[[#This Row],[Customer type]],TUNet_Usage_PerRate_2[Description],"Usage per customer - Balance"),0),
IFERROR(M396/100*SUMIFS(INDEX(TUNet_Usage_PerRate_2[],0,MATCH(M$333,TUNet_Usage_PerRate_2[#Headers],0)),TUNet_Usage_PerRate_2[Customer type],Calc_TUV_Net_2[[#This Row],[Customer type]],TUNet_Usage_PerRate_2[Description],"Usage per customer - Single rate"),0))</f>
        <v>112.20448723969464</v>
      </c>
      <c r="N397" s="56">
        <f>SUM(
IFERROR(N394/100*SUMIFS(INDEX(TUNet_Usage_PerRate_2[],0,MATCH(N$333,TUNet_Usage_PerRate_2[#Headers],0)),TUNet_Usage_PerRate_2[Customer type],Calc_TUV_Net_2[[#This Row],[Customer type]],TUNet_Usage_PerRate_2[Description],"Usage per customer - Block 1"),0),
IFERROR(N395/100*SUMIFS(INDEX(TUNet_Usage_PerRate_2[],0,MATCH(N$333,TUNet_Usage_PerRate_2[#Headers],0)),TUNet_Usage_PerRate_2[Customer type],Calc_TUV_Net_2[[#This Row],[Customer type]],TUNet_Usage_PerRate_2[Description],"Usage per customer - Balance"),0),
IFERROR(N396/100*SUMIFS(INDEX(TUNet_Usage_PerRate_2[],0,MATCH(N$333,TUNet_Usage_PerRate_2[#Headers],0)),TUNet_Usage_PerRate_2[Customer type],Calc_TUV_Net_2[[#This Row],[Customer type]],TUNet_Usage_PerRate_2[Description],"Usage per customer - Single rate"),0))</f>
        <v>101.54470001104681</v>
      </c>
      <c r="O397" s="56">
        <f>SUM(
IFERROR(O394/100*SUMIFS(INDEX(TUNet_Usage_PerRate_2[],0,MATCH(O$333,TUNet_Usage_PerRate_2[#Headers],0)),TUNet_Usage_PerRate_2[Customer type],Calc_TUV_Net_2[[#This Row],[Customer type]],TUNet_Usage_PerRate_2[Description],"Usage per customer - Block 1"),0),
IFERROR(O395/100*SUMIFS(INDEX(TUNet_Usage_PerRate_2[],0,MATCH(O$333,TUNet_Usage_PerRate_2[#Headers],0)),TUNet_Usage_PerRate_2[Customer type],Calc_TUV_Net_2[[#This Row],[Customer type]],TUNet_Usage_PerRate_2[Description],"Usage per customer - Balance"),0),
IFERROR(O396/100*SUMIFS(INDEX(TUNet_Usage_PerRate_2[],0,MATCH(O$333,TUNet_Usage_PerRate_2[#Headers],0)),TUNet_Usage_PerRate_2[Customer type],Calc_TUV_Net_2[[#This Row],[Customer type]],TUNet_Usage_PerRate_2[Description],"Usage per customer - Single rate"),0))</f>
        <v>111.53073093630378</v>
      </c>
    </row>
    <row r="398" spans="3:15" outlineLevel="1" x14ac:dyDescent="0.25">
      <c r="C398" s="48" t="s">
        <v>255</v>
      </c>
      <c r="D398" s="18"/>
      <c r="E398" s="18"/>
      <c r="F398" s="18"/>
      <c r="G398" s="48"/>
      <c r="H398" s="18" t="s">
        <v>66</v>
      </c>
      <c r="I398" s="18" t="s">
        <v>45</v>
      </c>
      <c r="J398" s="48" t="s">
        <v>32</v>
      </c>
      <c r="K398" s="54">
        <f>IF(K397=0,"-",K393-K397)</f>
        <v>18.538688658141211</v>
      </c>
      <c r="L398" s="54">
        <f t="shared" ref="L398:O398" si="144">IF(L397=0,"-",L393-L397)</f>
        <v>8.0610129155689094</v>
      </c>
      <c r="M398" s="54">
        <f t="shared" si="144"/>
        <v>19.815654137226787</v>
      </c>
      <c r="N398" s="54">
        <f t="shared" si="144"/>
        <v>10.226658176467993</v>
      </c>
      <c r="O398" s="54">
        <f t="shared" si="144"/>
        <v>-5.7750540290642647</v>
      </c>
    </row>
    <row r="399" spans="3:15" outlineLevel="1" x14ac:dyDescent="0.25">
      <c r="C399" s="48" t="s">
        <v>296</v>
      </c>
      <c r="D399" s="18"/>
      <c r="E399" s="18"/>
      <c r="F399" s="18"/>
      <c r="G399" s="48"/>
      <c r="H399" s="18" t="s">
        <v>66</v>
      </c>
      <c r="I399" s="18" t="s">
        <v>45</v>
      </c>
      <c r="J399" s="48" t="s">
        <v>32</v>
      </c>
      <c r="K399" s="55" t="str">
        <f>IF($D$311="Yes",K398*(1+WACC_adj_2),"")</f>
        <v/>
      </c>
      <c r="L399" s="55" t="str">
        <f>IF($D$311="Yes",L398*(1+WACC_adj_2),"")</f>
        <v/>
      </c>
      <c r="M399" s="55" t="str">
        <f>IF($D$311="Yes",M398*(1+WACC_adj_2),"")</f>
        <v/>
      </c>
      <c r="N399" s="55" t="str">
        <f>IF($D$311="Yes",N398*(1+WACC_adj_2),"")</f>
        <v/>
      </c>
      <c r="O399" s="55" t="str">
        <f>IF($D$311="Yes",O398*(1+WACC_adj_2),"")</f>
        <v/>
      </c>
    </row>
    <row r="400" spans="3:15" outlineLevel="1" x14ac:dyDescent="0.25">
      <c r="C400" s="48" t="s">
        <v>257</v>
      </c>
      <c r="D400" s="71" t="str">
        <f>INDEX(Input_DecisionActual[[Actual]:[Actual]],MATCH(Calc_TU_values!$D$235,Input_DecisionActual[[VDO period]:[VDO period]],0),1)</f>
        <v>VDO 2021 - Final</v>
      </c>
      <c r="E400" s="18" t="s">
        <v>354</v>
      </c>
      <c r="F400" s="71" t="str">
        <f>IF($D400="-","-",INDEX(Inputs!$H$10:$Q$10,1,MATCH($D400,Inputs!$H$8:$Q$8,0)))</f>
        <v>F-CurrentVDO_Input</v>
      </c>
      <c r="G400" s="48"/>
      <c r="H400" s="18" t="s">
        <v>66</v>
      </c>
      <c r="I400" s="18" t="s">
        <v>45</v>
      </c>
      <c r="J400" s="48" t="s">
        <v>32</v>
      </c>
      <c r="K400" s="55" cm="1">
        <f t="array" ref="K400">IFERROR(SUM(K398:K399)*(INDEX(Inputs!$H$11:$Q$125,MATCH("Retail operating margin",Input_ForRateCalc[[Cost item]:[Cost item]],0),MATCH(Calc_TUV_Net_2[[#This Row],[Decision ref]:[Decision ref]],Inputs!$H$10:$Q$10,0))),"-")</f>
        <v>1.1197367949517292</v>
      </c>
      <c r="L400" s="55" cm="1">
        <f t="array" ref="L400">IFERROR(SUM(L398:L399)*(INDEX(Inputs!$H$11:$Q$125,MATCH("Retail operating margin",Input_ForRateCalc[[Cost item]:[Cost item]],0),MATCH(Calc_TUV_Net_2[[#This Row],[Decision ref]:[Decision ref]],Inputs!$H$10:$Q$10,0))),"-")</f>
        <v>0.48688518010036214</v>
      </c>
      <c r="M400" s="55" cm="1">
        <f t="array" ref="M400">IFERROR(SUM(M398:M399)*(INDEX(Inputs!$H$11:$Q$125,MATCH("Retail operating margin",Input_ForRateCalc[[Cost item]:[Cost item]],0),MATCH(Calc_TUV_Net_2[[#This Row],[Decision ref]:[Decision ref]],Inputs!$H$10:$Q$10,0))),"-")</f>
        <v>1.1968655098884979</v>
      </c>
      <c r="N400" s="55" cm="1">
        <f t="array" ref="N400">IFERROR(SUM(N398:N399)*(INDEX(Inputs!$H$11:$Q$125,MATCH("Retail operating margin",Input_ForRateCalc[[Cost item]:[Cost item]],0),MATCH(Calc_TUV_Net_2[[#This Row],[Decision ref]:[Decision ref]],Inputs!$H$10:$Q$10,0))),"-")</f>
        <v>0.61769015385866677</v>
      </c>
      <c r="O400" s="55" cm="1">
        <f t="array" ref="O400">IFERROR(SUM(O398:O399)*(INDEX(Inputs!$H$11:$Q$125,MATCH("Retail operating margin",Input_ForRateCalc[[Cost item]:[Cost item]],0),MATCH(Calc_TUV_Net_2[[#This Row],[Decision ref]:[Decision ref]],Inputs!$H$10:$Q$10,0))),"-")</f>
        <v>-0.34881326335548157</v>
      </c>
    </row>
    <row r="401" spans="3:15" outlineLevel="1" x14ac:dyDescent="0.25">
      <c r="C401" s="48" t="s">
        <v>297</v>
      </c>
      <c r="D401" s="18"/>
      <c r="E401" s="18"/>
      <c r="F401" s="18"/>
      <c r="G401" s="48"/>
      <c r="H401" s="18" t="s">
        <v>66</v>
      </c>
      <c r="I401" s="18" t="s">
        <v>45</v>
      </c>
      <c r="J401" s="48" t="s">
        <v>32</v>
      </c>
      <c r="K401" s="55">
        <f>IF(K397=0,"-",SUM(K398:K400)*GST)</f>
        <v>1.9658425453092943</v>
      </c>
      <c r="L401" s="55">
        <f>IF(L397=0,"-",SUM(L398:L400)*GST)</f>
        <v>0.85478980956692718</v>
      </c>
      <c r="M401" s="55">
        <f>IF(M397=0,"-",SUM(M398:M400)*GST)</f>
        <v>2.1012519647115284</v>
      </c>
      <c r="N401" s="55">
        <f>IF(N397=0,"-",SUM(N398:N400)*GST)</f>
        <v>1.0844348330326661</v>
      </c>
      <c r="O401" s="55">
        <f>IF(O397=0,"-",SUM(O398:O400)*GST)</f>
        <v>-0.61238672924197468</v>
      </c>
    </row>
    <row r="402" spans="3:15" outlineLevel="1" x14ac:dyDescent="0.25">
      <c r="C402" s="48" t="s">
        <v>324</v>
      </c>
      <c r="D402" s="94"/>
      <c r="E402" s="94"/>
      <c r="F402" s="94"/>
      <c r="H402" s="18" t="s">
        <v>66</v>
      </c>
      <c r="I402" s="18" t="s">
        <v>45</v>
      </c>
      <c r="J402" s="48" t="s">
        <v>32</v>
      </c>
      <c r="K402" s="55">
        <f>IF(K397=0,"-",SUM(K398:K401))</f>
        <v>21.624267998402235</v>
      </c>
      <c r="L402" s="55">
        <f t="shared" ref="L402" si="145">IF(L397=0,"-",SUM(L398:L401))</f>
        <v>9.4026879052361991</v>
      </c>
      <c r="M402" s="55">
        <f t="shared" ref="M402" si="146">IF(M397=0,"-",SUM(M398:M401))</f>
        <v>23.113771611826813</v>
      </c>
      <c r="N402" s="55">
        <f t="shared" ref="N402" si="147">IF(N397=0,"-",SUM(N398:N401))</f>
        <v>11.928783163359327</v>
      </c>
      <c r="O402" s="55">
        <f t="shared" ref="O402" si="148">IF(O397=0,"-",SUM(O398:O401))</f>
        <v>-6.7362540216617202</v>
      </c>
    </row>
    <row r="403" spans="3:15" outlineLevel="1" x14ac:dyDescent="0.25">
      <c r="C403" s="46"/>
      <c r="D403" s="46"/>
      <c r="E403" s="46"/>
      <c r="F403" s="46"/>
      <c r="G403" s="57"/>
      <c r="H403" s="57"/>
      <c r="I403" s="18"/>
      <c r="J403" s="18"/>
      <c r="K403" s="54"/>
      <c r="L403" s="18"/>
      <c r="M403" s="18"/>
      <c r="N403" s="18"/>
      <c r="O403" s="18"/>
    </row>
    <row r="404" spans="3:15" outlineLevel="1" x14ac:dyDescent="0.25">
      <c r="C404" s="46"/>
      <c r="D404" s="46"/>
      <c r="E404" s="46"/>
      <c r="F404" s="46"/>
      <c r="G404" s="57"/>
      <c r="H404" s="57"/>
      <c r="I404" s="18"/>
      <c r="J404" s="18"/>
      <c r="K404" s="54"/>
      <c r="L404" s="18"/>
      <c r="M404" s="18"/>
      <c r="N404" s="18"/>
      <c r="O404" s="18"/>
    </row>
    <row r="405" spans="3:15" ht="15.75" outlineLevel="1" x14ac:dyDescent="0.25">
      <c r="C405" s="1" t="s">
        <v>315</v>
      </c>
      <c r="D405" s="48"/>
      <c r="E405" s="48"/>
      <c r="F405" s="48"/>
      <c r="G405" s="57" t="s">
        <v>395</v>
      </c>
      <c r="H405" s="48"/>
      <c r="I405" s="18"/>
      <c r="J405" s="18"/>
      <c r="K405" s="54"/>
      <c r="L405" s="18"/>
      <c r="M405" s="18"/>
      <c r="N405" s="18"/>
      <c r="O405" s="18"/>
    </row>
    <row r="406" spans="3:15" outlineLevel="1" x14ac:dyDescent="0.25">
      <c r="C406" s="46" t="s">
        <v>331</v>
      </c>
      <c r="D406" s="46"/>
      <c r="E406" s="46"/>
      <c r="F406" s="46"/>
      <c r="G406" s="57"/>
      <c r="H406" s="57"/>
      <c r="I406" s="18"/>
      <c r="J406" s="18"/>
      <c r="K406" s="54"/>
      <c r="L406" s="18"/>
      <c r="M406" s="18"/>
      <c r="N406" s="18"/>
      <c r="O406" s="18"/>
    </row>
    <row r="407" spans="3:15" outlineLevel="1" x14ac:dyDescent="0.25">
      <c r="C407" s="48" t="s">
        <v>317</v>
      </c>
      <c r="D407" s="71" t="str">
        <f>Calc_TU_values!$D$235</f>
        <v>VDO 2022 - Draft</v>
      </c>
      <c r="E407" s="18" t="s">
        <v>353</v>
      </c>
      <c r="F407" s="71" t="str">
        <f>INDEX(Inputs!$H$10:$Q$10,1,MATCH($D407,Inputs!$H$8:$Q$8,0))</f>
        <v>D-NextVDO_Input</v>
      </c>
      <c r="G407" s="47"/>
      <c r="H407" s="18" t="s">
        <v>44</v>
      </c>
      <c r="I407" s="18" t="s">
        <v>45</v>
      </c>
      <c r="J407" s="48" t="s">
        <v>31</v>
      </c>
      <c r="K407" s="55" cm="1">
        <f t="array" ref="K407">IFERROR(INDEX(Input_ForRateCalc[],MATCH($C407&amp;" - "&amp;K$333,Input_ForRateCalc[[Cost item]:[Cost item]],0),MATCH(Calc_TUV_Net_2[[#This Row],[Decision ref]:[Decision ref]],Input_ForRateCalc[#Headers],0)),"-")*TUProp_Days_2</f>
        <v>18.873479452054795</v>
      </c>
      <c r="L407" s="55" cm="1">
        <f t="array" ref="L407">IFERROR(INDEX(Input_ForRateCalc[],MATCH($C407&amp;" - "&amp;L$333,Input_ForRateCalc[[Cost item]:[Cost item]],0),MATCH(Calc_TUV_Net_2[[#This Row],[Decision ref]:[Decision ref]],Input_ForRateCalc[#Headers],0)),"-")*TUProp_Days_2</f>
        <v>15.289199999999999</v>
      </c>
      <c r="M407" s="55" cm="1">
        <f t="array" ref="M407">IFERROR(INDEX(Input_ForRateCalc[],MATCH($C407&amp;" - "&amp;M$333,Input_ForRateCalc[[Cost item]:[Cost item]],0),MATCH(Calc_TUV_Net_2[[#This Row],[Decision ref]:[Decision ref]],Input_ForRateCalc[#Headers],0)),"-")*TUProp_Days_2</f>
        <v>13.962060273972602</v>
      </c>
      <c r="N407" s="55" cm="1">
        <f t="array" ref="N407">IFERROR(INDEX(Input_ForRateCalc[],MATCH($C407&amp;" - "&amp;N$333,Input_ForRateCalc[[Cost item]:[Cost item]],0),MATCH(Calc_TUV_Net_2[[#This Row],[Decision ref]:[Decision ref]],Input_ForRateCalc[#Headers],0)),"-")*TUProp_Days_2</f>
        <v>23.776999999999997</v>
      </c>
      <c r="O407" s="55" cm="1">
        <f t="array" ref="O407">IFERROR(INDEX(Input_ForRateCalc[],MATCH($C407&amp;" - "&amp;O$333,Input_ForRateCalc[[Cost item]:[Cost item]],0),MATCH(Calc_TUV_Net_2[[#This Row],[Decision ref]:[Decision ref]],Input_ForRateCalc[#Headers],0)),"-")*TUProp_Days_2</f>
        <v>13.590399999999999</v>
      </c>
    </row>
    <row r="408" spans="3:15" outlineLevel="1" x14ac:dyDescent="0.25">
      <c r="C408" s="48" t="s">
        <v>211</v>
      </c>
      <c r="D408" s="71" t="str">
        <f>Calc_TU_values!$D$235</f>
        <v>VDO 2022 - Draft</v>
      </c>
      <c r="E408" s="18" t="s">
        <v>353</v>
      </c>
      <c r="F408" s="71" t="str">
        <f>INDEX(Inputs!$H$10:$Q$10,1,MATCH($D408,Inputs!$H$8:$Q$8,0))</f>
        <v>D-NextVDO_Input</v>
      </c>
      <c r="G408" s="47"/>
      <c r="H408" s="18" t="s">
        <v>44</v>
      </c>
      <c r="I408" s="18" t="s">
        <v>45</v>
      </c>
      <c r="J408" s="48" t="s">
        <v>31</v>
      </c>
      <c r="K408" s="55" cm="1">
        <f t="array" ref="K408">IFERROR(INDEX(Input_ForRateCalc[],MATCH($C408&amp;" - "&amp;K$333,Input_ForRateCalc[[Cost item]:[Cost item]],0),MATCH(Calc_TUV_Net_2[[#This Row],[Decision ref]:[Decision ref]],Input_ForRateCalc[#Headers],0)),"-")*TUProp_Days_2</f>
        <v>10.82027397260274</v>
      </c>
      <c r="L408" s="55" cm="1">
        <f t="array" ref="L408">IFERROR(INDEX(Input_ForRateCalc[],MATCH($C408&amp;" - "&amp;L$333,Input_ForRateCalc[[Cost item]:[Cost item]],0),MATCH(Calc_TUV_Net_2[[#This Row],[Decision ref]:[Decision ref]],Input_ForRateCalc[#Headers],0)),"-")*TUProp_Days_2</f>
        <v>10.089863013698629</v>
      </c>
      <c r="M408" s="55" cm="1">
        <f t="array" ref="M408">IFERROR(INDEX(Input_ForRateCalc[],MATCH($C408&amp;" - "&amp;M$333,Input_ForRateCalc[[Cost item]:[Cost item]],0),MATCH(Calc_TUV_Net_2[[#This Row],[Decision ref]:[Decision ref]],Input_ForRateCalc[#Headers],0)),"-")*TUProp_Days_2</f>
        <v>9.2048767123287671</v>
      </c>
      <c r="N408" s="55" cm="1">
        <f t="array" ref="N408">IFERROR(INDEX(Input_ForRateCalc[],MATCH($C408&amp;" - "&amp;N$333,Input_ForRateCalc[[Cost item]:[Cost item]],0),MATCH(Calc_TUV_Net_2[[#This Row],[Decision ref]:[Decision ref]],Input_ForRateCalc[#Headers],0)),"-")*TUProp_Days_2</f>
        <v>9.8520547945205479</v>
      </c>
      <c r="O408" s="55" cm="1">
        <f t="array" ref="O408">IFERROR(INDEX(Input_ForRateCalc[],MATCH($C408&amp;" - "&amp;O$333,Input_ForRateCalc[[Cost item]:[Cost item]],0),MATCH(Calc_TUV_Net_2[[#This Row],[Decision ref]:[Decision ref]],Input_ForRateCalc[#Headers],0)),"-")*TUProp_Days_2</f>
        <v>7.2905205479452055</v>
      </c>
    </row>
    <row r="409" spans="3:15" outlineLevel="1" x14ac:dyDescent="0.25">
      <c r="C409" s="48" t="s">
        <v>254</v>
      </c>
      <c r="D409" s="71" t="str">
        <f>Calc_TU_values!$D$235</f>
        <v>VDO 2022 - Draft</v>
      </c>
      <c r="E409" s="18" t="s">
        <v>353</v>
      </c>
      <c r="F409" s="71" t="str">
        <f>INDEX(Inputs!$H$10:$Q$10,1,MATCH($D409,Inputs!$H$8:$Q$8,0))</f>
        <v>D-NextVDO_Input</v>
      </c>
      <c r="G409" s="47"/>
      <c r="H409" s="18" t="s">
        <v>44</v>
      </c>
      <c r="I409" s="18" t="s">
        <v>45</v>
      </c>
      <c r="J409" s="48" t="s">
        <v>31</v>
      </c>
      <c r="K409" s="53">
        <f>IFERROR(SUM(K407:K408),"-")</f>
        <v>29.693753424657537</v>
      </c>
      <c r="L409" s="53">
        <f>IFERROR(SUM(L407:L408),"-")</f>
        <v>25.379063013698627</v>
      </c>
      <c r="M409" s="53">
        <f>IFERROR(SUM(M407:M408),"-")</f>
        <v>23.166936986301369</v>
      </c>
      <c r="N409" s="53">
        <f>IFERROR(SUM(N407:N408),"-")</f>
        <v>33.629054794520542</v>
      </c>
      <c r="O409" s="53">
        <f>IFERROR(SUM(O407:O408),"-")</f>
        <v>20.880920547945205</v>
      </c>
    </row>
    <row r="410" spans="3:15" outlineLevel="1" x14ac:dyDescent="0.25">
      <c r="C410" s="48" t="s">
        <v>301</v>
      </c>
      <c r="D410" s="71" t="str">
        <f>INDEX(Input_DecisionActual[[Actual]:[Actual]],MATCH(Calc_TU_values!$D$235,Input_DecisionActual[[VDO period]:[VDO period]],0),1)</f>
        <v>VDO 2021 - Final</v>
      </c>
      <c r="E410" s="18" t="s">
        <v>354</v>
      </c>
      <c r="F410" s="71" t="str">
        <f>IF($D410="-","-",INDEX(Inputs!$H$10:$Q$10,1,MATCH($D410,Inputs!$H$8:$Q$8,0)))</f>
        <v>F-CurrentVDO_Input</v>
      </c>
      <c r="G410" s="47"/>
      <c r="H410" s="18" t="s">
        <v>44</v>
      </c>
      <c r="I410" s="18" t="s">
        <v>45</v>
      </c>
      <c r="J410" s="48" t="s">
        <v>31</v>
      </c>
      <c r="K410" s="55" cm="1">
        <f t="array" ref="K410">IFERROR(INDEX(Input_ForRateCalc[],MATCH($C410&amp;" - "&amp;K$333,Input_ForRateCalc[[Cost item]:[Cost item]],0),MATCH(Calc_TUV_Net_2[[#This Row],[Decision ref]:[Decision ref]],Input_ForRateCalc[#Headers],0)),"-")*TUProp_Days_2</f>
        <v>18.005479452054793</v>
      </c>
      <c r="L410" s="55" cm="1">
        <f t="array" ref="L410">IFERROR(INDEX(Input_ForRateCalc[],MATCH($C410&amp;" - "&amp;L$333,Input_ForRateCalc[[Cost item]:[Cost item]],0),MATCH(Calc_TUV_Net_2[[#This Row],[Decision ref]:[Decision ref]],Input_ForRateCalc[#Headers],0)),"-")*TUProp_Days_2</f>
        <v>15.287671232876711</v>
      </c>
      <c r="M410" s="55" cm="1">
        <f t="array" ref="M410">IFERROR(INDEX(Input_ForRateCalc[],MATCH($C410&amp;" - "&amp;M$333,Input_ForRateCalc[[Cost item]:[Cost item]],0),MATCH(Calc_TUV_Net_2[[#This Row],[Decision ref]:[Decision ref]],Input_ForRateCalc[#Headers],0)),"-")*TUProp_Days_2</f>
        <v>11.725643835616438</v>
      </c>
      <c r="N410" s="55" cm="1">
        <f t="array" ref="N410">IFERROR(INDEX(Input_ForRateCalc[],MATCH($C410&amp;" - "&amp;N$333,Input_ForRateCalc[[Cost item]:[Cost item]],0),MATCH(Calc_TUV_Net_2[[#This Row],[Decision ref]:[Decision ref]],Input_ForRateCalc[#Headers],0)),"-")*TUProp_Days_2</f>
        <v>23.780821917808218</v>
      </c>
      <c r="O410" s="55" cm="1">
        <f t="array" ref="O410">IFERROR(INDEX(Input_ForRateCalc[],MATCH($C410&amp;" - "&amp;O$333,Input_ForRateCalc[[Cost item]:[Cost item]],0),MATCH(Calc_TUV_Net_2[[#This Row],[Decision ref]:[Decision ref]],Input_ForRateCalc[#Headers],0)),"-")*TUProp_Days_2</f>
        <v>10.167999999999999</v>
      </c>
    </row>
    <row r="411" spans="3:15" outlineLevel="1" x14ac:dyDescent="0.25">
      <c r="C411" s="48" t="s">
        <v>211</v>
      </c>
      <c r="D411" s="71" t="str">
        <f>INDEX(Input_DecisionActual[[Actual]:[Actual]],MATCH(Calc_TU_values!$D$235,Input_DecisionActual[[VDO period]:[VDO period]],0),1)</f>
        <v>VDO 2021 - Final</v>
      </c>
      <c r="E411" s="18" t="s">
        <v>354</v>
      </c>
      <c r="F411" s="71" t="str">
        <f>IF($D411="-","-",INDEX(Inputs!$H$10:$Q$10,1,MATCH($D411,Inputs!$H$8:$Q$8,0)))</f>
        <v>F-CurrentVDO_Input</v>
      </c>
      <c r="G411" s="47"/>
      <c r="H411" s="18" t="s">
        <v>44</v>
      </c>
      <c r="I411" s="18" t="s">
        <v>45</v>
      </c>
      <c r="J411" s="48" t="s">
        <v>31</v>
      </c>
      <c r="K411" s="55" cm="1">
        <f t="array" ref="K411">IFERROR(INDEX(Input_ForRateCalc[],MATCH($C411&amp;" - "&amp;K$333,Input_ForRateCalc[[Cost item]:[Cost item]],0),MATCH(Calc_TUV_Net_2[[#This Row],[Decision ref]:[Decision ref]],Input_ForRateCalc[#Headers],0)),"-")*TUProp_Days_2</f>
        <v>10.123835616438356</v>
      </c>
      <c r="L411" s="55" cm="1">
        <f t="array" ref="L411">IFERROR(INDEX(Input_ForRateCalc[],MATCH($C411&amp;" - "&amp;L$333,Input_ForRateCalc[[Cost item]:[Cost item]],0),MATCH(Calc_TUV_Net_2[[#This Row],[Decision ref]:[Decision ref]],Input_ForRateCalc[#Headers],0)),"-")*TUProp_Days_2</f>
        <v>11.176986301369862</v>
      </c>
      <c r="M411" s="55" cm="1">
        <f t="array" ref="M411">IFERROR(INDEX(Input_ForRateCalc[],MATCH($C411&amp;" - "&amp;M$333,Input_ForRateCalc[[Cost item]:[Cost item]],0),MATCH(Calc_TUV_Net_2[[#This Row],[Decision ref]:[Decision ref]],Input_ForRateCalc[#Headers],0)),"-")*TUProp_Days_2</f>
        <v>11.258520547945205</v>
      </c>
      <c r="N411" s="55" cm="1">
        <f t="array" ref="N411">IFERROR(INDEX(Input_ForRateCalc[],MATCH($C411&amp;" - "&amp;N$333,Input_ForRateCalc[[Cost item]:[Cost item]],0),MATCH(Calc_TUV_Net_2[[#This Row],[Decision ref]:[Decision ref]],Input_ForRateCalc[#Headers],0)),"-")*TUProp_Days_2</f>
        <v>11.126027397260273</v>
      </c>
      <c r="O411" s="55" cm="1">
        <f t="array" ref="O411">IFERROR(INDEX(Input_ForRateCalc[],MATCH($C411&amp;" - "&amp;O$333,Input_ForRateCalc[[Cost item]:[Cost item]],0),MATCH(Calc_TUV_Net_2[[#This Row],[Decision ref]:[Decision ref]],Input_ForRateCalc[#Headers],0)),"-")*TUProp_Days_2</f>
        <v>8.2927123287671236</v>
      </c>
    </row>
    <row r="412" spans="3:15" outlineLevel="1" x14ac:dyDescent="0.25">
      <c r="C412" s="48" t="s">
        <v>254</v>
      </c>
      <c r="D412" s="71" t="str">
        <f>INDEX(Input_DecisionActual[[Actual]:[Actual]],MATCH(Calc_TU_values!$D$235,Input_DecisionActual[[VDO period]:[VDO period]],0),1)</f>
        <v>VDO 2021 - Final</v>
      </c>
      <c r="E412" s="18" t="s">
        <v>354</v>
      </c>
      <c r="F412" s="71" t="str">
        <f>IF($D412="-","-",INDEX(Inputs!$H$10:$Q$10,1,MATCH($D412,Inputs!$H$8:$Q$8,0)))</f>
        <v>F-CurrentVDO_Input</v>
      </c>
      <c r="G412" s="47"/>
      <c r="H412" s="18" t="s">
        <v>44</v>
      </c>
      <c r="I412" s="18" t="s">
        <v>45</v>
      </c>
      <c r="J412" s="48" t="s">
        <v>31</v>
      </c>
      <c r="K412" s="54">
        <f>SUM(K410:K411)</f>
        <v>28.129315068493149</v>
      </c>
      <c r="L412" s="54">
        <f>SUM(L410:L411)</f>
        <v>26.464657534246573</v>
      </c>
      <c r="M412" s="54">
        <f>SUM(M410:M411)</f>
        <v>22.984164383561641</v>
      </c>
      <c r="N412" s="54">
        <f>SUM(N410:N411)</f>
        <v>34.906849315068492</v>
      </c>
      <c r="O412" s="54">
        <f>SUM(O410:O411)</f>
        <v>18.460712328767123</v>
      </c>
    </row>
    <row r="413" spans="3:15" outlineLevel="1" x14ac:dyDescent="0.25">
      <c r="C413" s="48" t="s">
        <v>255</v>
      </c>
      <c r="D413" s="18"/>
      <c r="E413" s="18"/>
      <c r="F413" s="18"/>
      <c r="G413" s="48"/>
      <c r="H413" s="18" t="s">
        <v>44</v>
      </c>
      <c r="I413" s="18" t="s">
        <v>45</v>
      </c>
      <c r="J413" s="48" t="s">
        <v>31</v>
      </c>
      <c r="K413" s="54">
        <f>IF(K412=0,"-",K409-K412)</f>
        <v>1.5644383561643878</v>
      </c>
      <c r="L413" s="54">
        <f t="shared" ref="L413:O413" si="149">IF(L412=0,"-",L409-L412)</f>
        <v>-1.0855945205479465</v>
      </c>
      <c r="M413" s="54">
        <f t="shared" si="149"/>
        <v>0.18277260273972828</v>
      </c>
      <c r="N413" s="54">
        <f t="shared" si="149"/>
        <v>-1.2777945205479497</v>
      </c>
      <c r="O413" s="54">
        <f t="shared" si="149"/>
        <v>2.4202082191780825</v>
      </c>
    </row>
    <row r="414" spans="3:15" outlineLevel="1" x14ac:dyDescent="0.25">
      <c r="C414" s="48" t="s">
        <v>296</v>
      </c>
      <c r="D414" s="18"/>
      <c r="E414" s="18"/>
      <c r="F414" s="18"/>
      <c r="G414" s="48"/>
      <c r="H414" s="18" t="s">
        <v>44</v>
      </c>
      <c r="I414" s="18" t="s">
        <v>45</v>
      </c>
      <c r="J414" s="48" t="s">
        <v>31</v>
      </c>
      <c r="K414" s="55" t="str">
        <f>IFERROR(IF($D$311="Yes",K413*(1+WACC_adj_2),""),"-")</f>
        <v/>
      </c>
      <c r="L414" s="55" t="str">
        <f>IFERROR(IF($D$311="Yes",L413*(1+WACC_adj_2),""),"-")</f>
        <v/>
      </c>
      <c r="M414" s="55" t="str">
        <f>IFERROR(IF($D$311="Yes",M413*(1+WACC_adj_2),""),"-")</f>
        <v/>
      </c>
      <c r="N414" s="55" t="str">
        <f>IFERROR(IF($D$311="Yes",N413*(1+WACC_adj_2),""),"-")</f>
        <v/>
      </c>
      <c r="O414" s="55" t="str">
        <f>IFERROR(IF($D$311="Yes",O413*(1+WACC_adj_2),""),"-")</f>
        <v/>
      </c>
    </row>
    <row r="415" spans="3:15" outlineLevel="1" x14ac:dyDescent="0.25">
      <c r="C415" s="48" t="s">
        <v>257</v>
      </c>
      <c r="D415" s="71" t="str">
        <f>INDEX(Input_DecisionActual[[Actual]:[Actual]],MATCH(Calc_TU_values!$D$235,Input_DecisionActual[[VDO period]:[VDO period]],0),1)</f>
        <v>VDO 2021 - Final</v>
      </c>
      <c r="E415" s="18" t="s">
        <v>354</v>
      </c>
      <c r="F415" s="71" t="str">
        <f>IF($D415="-","-",INDEX(Inputs!$H$10:$Q$10,1,MATCH($D415,Inputs!$H$8:$Q$8,0)))</f>
        <v>F-CurrentVDO_Input</v>
      </c>
      <c r="G415" s="48"/>
      <c r="H415" s="18" t="s">
        <v>44</v>
      </c>
      <c r="I415" s="18" t="s">
        <v>45</v>
      </c>
      <c r="J415" s="48" t="s">
        <v>31</v>
      </c>
      <c r="K415" s="55" cm="1">
        <f t="array" ref="K415">IFERROR(SUM(K413:K414)*(INDEX(Inputs!$H$11:$Q$125,MATCH("Retail operating margin",Input_ForRateCalc[[Cost item]:[Cost item]],0),MATCH(Calc_TUV_Net_2[[#This Row],[Decision ref]:[Decision ref]],Inputs!$H$10:$Q$10,0))),"-")</f>
        <v>9.4492076712329023E-2</v>
      </c>
      <c r="L415" s="55" cm="1">
        <f t="array" ref="L415">IFERROR(SUM(L413:L414)*(INDEX(Inputs!$H$11:$Q$125,MATCH("Retail operating margin",Input_ForRateCalc[[Cost item]:[Cost item]],0),MATCH(Calc_TUV_Net_2[[#This Row],[Decision ref]:[Decision ref]],Inputs!$H$10:$Q$10,0))),"-")</f>
        <v>-6.556990904109597E-2</v>
      </c>
      <c r="M415" s="55" cm="1">
        <f t="array" ref="M415">IFERROR(SUM(M413:M414)*(INDEX(Inputs!$H$11:$Q$125,MATCH("Retail operating margin",Input_ForRateCalc[[Cost item]:[Cost item]],0),MATCH(Calc_TUV_Net_2[[#This Row],[Decision ref]:[Decision ref]],Inputs!$H$10:$Q$10,0))),"-")</f>
        <v>1.1039465205479588E-2</v>
      </c>
      <c r="N415" s="55" cm="1">
        <f t="array" ref="N415">IFERROR(SUM(N413:N414)*(INDEX(Inputs!$H$11:$Q$125,MATCH("Retail operating margin",Input_ForRateCalc[[Cost item]:[Cost item]],0),MATCH(Calc_TUV_Net_2[[#This Row],[Decision ref]:[Decision ref]],Inputs!$H$10:$Q$10,0))),"-")</f>
        <v>-7.7178789041096166E-2</v>
      </c>
      <c r="O415" s="55" cm="1">
        <f t="array" ref="O415">IFERROR(SUM(O413:O414)*(INDEX(Inputs!$H$11:$Q$125,MATCH("Retail operating margin",Input_ForRateCalc[[Cost item]:[Cost item]],0),MATCH(Calc_TUV_Net_2[[#This Row],[Decision ref]:[Decision ref]],Inputs!$H$10:$Q$10,0))),"-")</f>
        <v>0.14618057643835619</v>
      </c>
    </row>
    <row r="416" spans="3:15" outlineLevel="1" x14ac:dyDescent="0.25">
      <c r="C416" s="48" t="s">
        <v>297</v>
      </c>
      <c r="D416" s="18"/>
      <c r="E416" s="18"/>
      <c r="F416" s="18"/>
      <c r="G416" s="48"/>
      <c r="H416" s="18" t="s">
        <v>44</v>
      </c>
      <c r="I416" s="18" t="s">
        <v>45</v>
      </c>
      <c r="J416" s="48" t="s">
        <v>31</v>
      </c>
      <c r="K416" s="55">
        <f>IF(K412=0,"-",SUM(K413:K415)*GST)</f>
        <v>0.16589304328767168</v>
      </c>
      <c r="L416" s="55">
        <f>IF(L412=0,"-",SUM(L413:L415)*GST)</f>
        <v>-0.11511644295890425</v>
      </c>
      <c r="M416" s="55">
        <f>IF(M412=0,"-",SUM(M413:M415)*GST)</f>
        <v>1.9381206794520787E-2</v>
      </c>
      <c r="N416" s="55">
        <f>IF(N412=0,"-",SUM(N413:N415)*GST)</f>
        <v>-0.13549733095890459</v>
      </c>
      <c r="O416" s="55">
        <f>IF(O412=0,"-",SUM(O413:O415)*GST)</f>
        <v>0.25663887956164388</v>
      </c>
    </row>
    <row r="417" spans="3:15" outlineLevel="1" x14ac:dyDescent="0.25">
      <c r="C417" s="18" t="s">
        <v>325</v>
      </c>
      <c r="D417" s="18"/>
      <c r="E417" s="18"/>
      <c r="F417" s="18"/>
      <c r="G417" s="48"/>
      <c r="H417" s="18" t="s">
        <v>44</v>
      </c>
      <c r="I417" s="18" t="s">
        <v>45</v>
      </c>
      <c r="J417" s="48" t="s">
        <v>31</v>
      </c>
      <c r="K417" s="55">
        <f>IF(K412=0,"-",SUM(K413:K416))</f>
        <v>1.8248234761643884</v>
      </c>
      <c r="L417" s="55">
        <f>IF(L412=0,"-",SUM(L413:L416))</f>
        <v>-1.2662808725479466</v>
      </c>
      <c r="M417" s="55">
        <f>IF(M412=0,"-",SUM(M413:M416))</f>
        <v>0.21319327473972866</v>
      </c>
      <c r="N417" s="55">
        <f>IF(N412=0,"-",SUM(N413:N416))</f>
        <v>-1.4904706405479504</v>
      </c>
      <c r="O417" s="55">
        <f>IF(O412=0,"-",SUM(O413:O416))</f>
        <v>2.823027675178083</v>
      </c>
    </row>
    <row r="418" spans="3:15" outlineLevel="1" x14ac:dyDescent="0.25">
      <c r="C418" s="48"/>
      <c r="D418" s="48"/>
      <c r="E418" s="48"/>
      <c r="F418" s="48"/>
      <c r="H418" s="48"/>
      <c r="I418" s="18"/>
      <c r="J418" s="18"/>
      <c r="K418" s="106"/>
      <c r="L418" s="106"/>
      <c r="M418" s="106"/>
      <c r="N418" s="106"/>
      <c r="O418" s="106"/>
    </row>
    <row r="419" spans="3:15" outlineLevel="1" x14ac:dyDescent="0.25">
      <c r="C419" s="46" t="s">
        <v>332</v>
      </c>
      <c r="D419" s="48"/>
      <c r="E419" s="48"/>
      <c r="F419" s="48"/>
      <c r="G419" s="57"/>
      <c r="H419" s="48"/>
      <c r="I419" s="18"/>
      <c r="J419" s="18"/>
      <c r="K419" s="106"/>
      <c r="L419" s="106"/>
      <c r="M419" s="106"/>
      <c r="N419" s="106"/>
      <c r="O419" s="106"/>
    </row>
    <row r="420" spans="3:15" outlineLevel="1" x14ac:dyDescent="0.25">
      <c r="C420" s="48" t="s">
        <v>318</v>
      </c>
      <c r="D420" s="71" t="str">
        <f>Calc_TU_values!$D$235</f>
        <v>VDO 2022 - Draft</v>
      </c>
      <c r="E420" s="18" t="s">
        <v>353</v>
      </c>
      <c r="F420" s="71" t="str">
        <f>INDEX(Inputs!$H$10:$Q$10,1,MATCH($D420,Inputs!$H$8:$Q$8,0))</f>
        <v>D-NextVDO_Input</v>
      </c>
      <c r="G420" s="48"/>
      <c r="H420" s="18" t="s">
        <v>66</v>
      </c>
      <c r="I420" s="18" t="s">
        <v>101</v>
      </c>
      <c r="J420" s="48" t="s">
        <v>31</v>
      </c>
      <c r="K420" s="55" cm="1">
        <f t="array" ref="K420">IFERROR(INDEX(Input_ForRateCalc[],MATCH($C420&amp;" - "&amp;K$333,Input_ForRateCalc[[Cost item]:[Cost item]],0),MATCH(Calc_TUV_Net_2[[#This Row],[Decision ref]:[Decision ref]],Input_ForRateCalc[#Headers],0)),"-")</f>
        <v>20.853200000000001</v>
      </c>
      <c r="L420" s="55" cm="1">
        <f t="array" ref="L420">IFERROR(INDEX(Input_ForRateCalc[],MATCH($C420&amp;" - "&amp;L$333,Input_ForRateCalc[[Cost item]:[Cost item]],0),MATCH(Calc_TUV_Net_2[[#This Row],[Decision ref]:[Decision ref]],Input_ForRateCalc[#Headers],0)),"-")</f>
        <v>15.94</v>
      </c>
      <c r="M420" s="55" cm="1">
        <f t="array" ref="M420">IFERROR(INDEX(Input_ForRateCalc[],MATCH($C420&amp;" - "&amp;M$333,Input_ForRateCalc[[Cost item]:[Cost item]],0),MATCH(Calc_TUV_Net_2[[#This Row],[Decision ref]:[Decision ref]],Input_ForRateCalc[#Headers],0)),"-")</f>
        <v>13.492000000000001</v>
      </c>
      <c r="N420" s="55" cm="1">
        <f t="array" ref="N420">IFERROR(INDEX(Input_ForRateCalc[],MATCH($C420&amp;" - "&amp;N$333,Input_ForRateCalc[[Cost item]:[Cost item]],0),MATCH(Calc_TUV_Net_2[[#This Row],[Decision ref]:[Decision ref]],Input_ForRateCalc[#Headers],0)),"-")</f>
        <v>15.87</v>
      </c>
      <c r="O420" s="55" cm="1">
        <f t="array" ref="O420">IFERROR(INDEX(Input_ForRateCalc[],MATCH($C420&amp;" - "&amp;O$333,Input_ForRateCalc[[Cost item]:[Cost item]],0),MATCH(Calc_TUV_Net_2[[#This Row],[Decision ref]:[Decision ref]],Input_ForRateCalc[#Headers],0)),"-")</f>
        <v>15.79</v>
      </c>
    </row>
    <row r="421" spans="3:15" outlineLevel="1" x14ac:dyDescent="0.25">
      <c r="C421" s="48" t="s">
        <v>319</v>
      </c>
      <c r="D421" s="71" t="str">
        <f>Calc_TU_values!$D$235</f>
        <v>VDO 2022 - Draft</v>
      </c>
      <c r="E421" s="18" t="s">
        <v>353</v>
      </c>
      <c r="F421" s="71" t="str">
        <f>INDEX(Inputs!$H$10:$Q$10,1,MATCH($D421,Inputs!$H$8:$Q$8,0))</f>
        <v>D-NextVDO_Input</v>
      </c>
      <c r="G421" s="57"/>
      <c r="H421" s="18" t="s">
        <v>66</v>
      </c>
      <c r="I421" s="18" t="s">
        <v>101</v>
      </c>
      <c r="J421" s="48" t="s">
        <v>31</v>
      </c>
      <c r="K421" s="55" cm="1">
        <f t="array" ref="K421">IFERROR(INDEX(Input_ForRateCalc[],MATCH($C421&amp;" - "&amp;K$333,Input_ForRateCalc[[Cost item]:[Cost item]],0),MATCH(Calc_TUV_Net_2[[#This Row],[Decision ref]:[Decision ref]],Input_ForRateCalc[#Headers],0)),"-")</f>
        <v>4.3418999999999999</v>
      </c>
      <c r="L421" s="55" cm="1">
        <f t="array" ref="L421">IFERROR(INDEX(Input_ForRateCalc[],MATCH($C421&amp;" - "&amp;L$333,Input_ForRateCalc[[Cost item]:[Cost item]],0),MATCH(Calc_TUV_Net_2[[#This Row],[Decision ref]:[Decision ref]],Input_ForRateCalc[#Headers],0)),"-")</f>
        <v>3.98</v>
      </c>
      <c r="M421" s="55" cm="1">
        <f t="array" ref="M421">IFERROR(INDEX(Input_ForRateCalc[],MATCH($C421&amp;" - "&amp;M$333,Input_ForRateCalc[[Cost item]:[Cost item]],0),MATCH(Calc_TUV_Net_2[[#This Row],[Decision ref]:[Decision ref]],Input_ForRateCalc[#Headers],0)),"-")</f>
        <v>3.89</v>
      </c>
      <c r="N421" s="55" cm="1">
        <f t="array" ref="N421">IFERROR(INDEX(Input_ForRateCalc[],MATCH($C421&amp;" - "&amp;N$333,Input_ForRateCalc[[Cost item]:[Cost item]],0),MATCH(Calc_TUV_Net_2[[#This Row],[Decision ref]:[Decision ref]],Input_ForRateCalc[#Headers],0)),"-")</f>
        <v>3.96</v>
      </c>
      <c r="O421" s="55" cm="1">
        <f t="array" ref="O421">IFERROR(INDEX(Input_ForRateCalc[],MATCH($C421&amp;" - "&amp;O$333,Input_ForRateCalc[[Cost item]:[Cost item]],0),MATCH(Calc_TUV_Net_2[[#This Row],[Decision ref]:[Decision ref]],Input_ForRateCalc[#Headers],0)),"-")</f>
        <v>3.95</v>
      </c>
    </row>
    <row r="422" spans="3:15" outlineLevel="1" x14ac:dyDescent="0.25">
      <c r="C422" s="48" t="s">
        <v>254</v>
      </c>
      <c r="D422" s="71" t="str">
        <f>Calc_TU_values!$D$235</f>
        <v>VDO 2022 - Draft</v>
      </c>
      <c r="E422" s="18" t="s">
        <v>353</v>
      </c>
      <c r="F422" s="71" t="str">
        <f>INDEX(Inputs!$H$10:$Q$10,1,MATCH($D422,Inputs!$H$8:$Q$8,0))</f>
        <v>D-NextVDO_Input</v>
      </c>
      <c r="G422" s="47"/>
      <c r="H422" s="18" t="s">
        <v>66</v>
      </c>
      <c r="I422" s="18" t="s">
        <v>101</v>
      </c>
      <c r="J422" s="48" t="s">
        <v>31</v>
      </c>
      <c r="K422" s="56">
        <f>SUMIFS(TUNet_Usage_Actual_2[Value],TUNet_Usage_Actual_2[Customer type],Calc_TUV_Net_2[[#This Row],[Customer type]],TUNet_Usage_Actual_2[Description],"Usage per customer")*SUM(
IFERROR(K420/100*SUMIFS(Input_TUNet_Props[F-NextVDO_Input],Input_TUNet_Props[Customer type],Calc_TUV_Net_2[[#This Row],[Customer type]],Input_TUNet_Props[Usage type],"Peak"),0),
IFERROR(K421/100*SUMIFS(Input_TUNet_Props[F-NextVDO_Input],Input_TUNet_Props[Customer type],Calc_TUV_Net_2[[#This Row],[Customer type]],Input_TUNet_Props[Usage type],"Off peak"),0))</f>
        <v>96.80433184289663</v>
      </c>
      <c r="L422" s="56">
        <f>SUMIFS(TUNet_Usage_Actual_2[Value],TUNet_Usage_Actual_2[Customer type],Calc_TUV_Net_2[[#This Row],[Customer type]],TUNet_Usage_Actual_2[Description],"Usage per customer")*SUM(
IFERROR(L420/100*SUMIFS(Input_TUNet_Props[F-NextVDO_Input],Input_TUNet_Props[Customer type],Calc_TUV_Net_2[[#This Row],[Customer type]],Input_TUNet_Props[Usage type],"Peak"),0),
IFERROR(L421/100*SUMIFS(Input_TUNet_Props[F-NextVDO_Input],Input_TUNet_Props[Customer type],Calc_TUV_Net_2[[#This Row],[Customer type]],Input_TUNet_Props[Usage type],"Off peak"),0))</f>
        <v>78.375820149274674</v>
      </c>
      <c r="M422" s="56">
        <f>SUMIFS(TUNet_Usage_Actual_2[Value],TUNet_Usage_Actual_2[Customer type],Calc_TUV_Net_2[[#This Row],[Customer type]],TUNet_Usage_Actual_2[Description],"Usage per customer")*SUM(
IFERROR(M420/100*SUMIFS(Input_TUNet_Props[F-NextVDO_Input],Input_TUNet_Props[Customer type],Calc_TUV_Net_2[[#This Row],[Customer type]],Input_TUNet_Props[Usage type],"Peak"),0),
IFERROR(M421/100*SUMIFS(Input_TUNet_Props[F-NextVDO_Input],Input_TUNet_Props[Customer type],Calc_TUV_Net_2[[#This Row],[Customer type]],Input_TUNet_Props[Usage type],"Off peak"),0))</f>
        <v>69.792131333561983</v>
      </c>
      <c r="N422" s="56">
        <f>SUMIFS(TUNet_Usage_Actual_2[Value],TUNet_Usage_Actual_2[Customer type],Calc_TUV_Net_2[[#This Row],[Customer type]],TUNet_Usage_Actual_2[Description],"Usage per customer")*SUM(
IFERROR(N420/100*SUMIFS(Input_TUNet_Props[F-NextVDO_Input],Input_TUNet_Props[Customer type],Calc_TUV_Net_2[[#This Row],[Customer type]],Input_TUNet_Props[Usage type],"Peak"),0),
IFERROR(N421/100*SUMIFS(Input_TUNet_Props[F-NextVDO_Input],Input_TUNet_Props[Customer type],Calc_TUV_Net_2[[#This Row],[Customer type]],Input_TUNet_Props[Usage type],"Off peak"),0))</f>
        <v>78.014928309509756</v>
      </c>
      <c r="O422" s="56">
        <f>SUMIFS(TUNet_Usage_Actual_2[Value],TUNet_Usage_Actual_2[Customer type],Calc_TUV_Net_2[[#This Row],[Customer type]],TUNet_Usage_Actual_2[Description],"Usage per customer")*SUM(
IFERROR(O420/100*SUMIFS(Input_TUNet_Props[F-NextVDO_Input],Input_TUNet_Props[Customer type],Calc_TUV_Net_2[[#This Row],[Customer type]],Input_TUNet_Props[Usage type],"Peak"),0),
IFERROR(O421/100*SUMIFS(Input_TUNet_Props[F-NextVDO_Input],Input_TUNet_Props[Customer type],Calc_TUV_Net_2[[#This Row],[Customer type]],Input_TUNet_Props[Usage type],"Off peak"),0))</f>
        <v>77.687653791805133</v>
      </c>
    </row>
    <row r="423" spans="3:15" outlineLevel="1" x14ac:dyDescent="0.25">
      <c r="C423" s="48" t="s">
        <v>305</v>
      </c>
      <c r="D423" s="71" t="str">
        <f>INDEX(Input_DecisionActual[[Actual]:[Actual]],MATCH(Calc_TU_values!$D$235,Input_DecisionActual[[VDO period]:[VDO period]],0),1)</f>
        <v>VDO 2021 - Final</v>
      </c>
      <c r="E423" s="18" t="s">
        <v>354</v>
      </c>
      <c r="F423" s="71" t="str">
        <f>IF($D423="-","-",INDEX(Inputs!$H$10:$Q$10,1,MATCH($D423,Inputs!$H$8:$Q$8,0)))</f>
        <v>F-CurrentVDO_Input</v>
      </c>
      <c r="G423" s="47"/>
      <c r="H423" s="18" t="s">
        <v>66</v>
      </c>
      <c r="I423" s="18" t="s">
        <v>45</v>
      </c>
      <c r="J423" s="48" t="s">
        <v>31</v>
      </c>
      <c r="K423" s="55" cm="1">
        <f t="array" ref="K423">IFERROR(INDEX(Input_ForRateCalc[],MATCH($C423&amp;" - "&amp;K$333,Input_ForRateCalc[[Cost item]:[Cost item]],0),MATCH(Calc_TUV_Net_2[[#This Row],[Decision ref]:[Decision ref]],Input_ForRateCalc[#Headers],0)),"-")</f>
        <v>10.535</v>
      </c>
      <c r="L423" s="55" t="str" cm="1">
        <f t="array" ref="L423">IFERROR(INDEX(Input_ForRateCalc[],MATCH($C423&amp;" - "&amp;L$333,Input_ForRateCalc[[Cost item]:[Cost item]],0),MATCH(Calc_TUV_Net_2[[#This Row],[Decision ref]:[Decision ref]],Input_ForRateCalc[#Headers],0)),"-")</f>
        <v>-</v>
      </c>
      <c r="M423" s="55" t="str" cm="1">
        <f t="array" ref="M423">IFERROR(INDEX(Input_ForRateCalc[],MATCH($C423&amp;" - "&amp;M$333,Input_ForRateCalc[[Cost item]:[Cost item]],0),MATCH(Calc_TUV_Net_2[[#This Row],[Decision ref]:[Decision ref]],Input_ForRateCalc[#Headers],0)),"-")</f>
        <v>-</v>
      </c>
      <c r="N423" s="55" t="str" cm="1">
        <f t="array" ref="N423">IFERROR(INDEX(Input_ForRateCalc[],MATCH($C423&amp;" - "&amp;N$333,Input_ForRateCalc[[Cost item]:[Cost item]],0),MATCH(Calc_TUV_Net_2[[#This Row],[Decision ref]:[Decision ref]],Input_ForRateCalc[#Headers],0)),"-")</f>
        <v>-</v>
      </c>
      <c r="O423" s="55" t="str" cm="1">
        <f t="array" ref="O423">IFERROR(INDEX(Input_ForRateCalc[],MATCH($C423&amp;" - "&amp;O$333,Input_ForRateCalc[[Cost item]:[Cost item]],0),MATCH(Calc_TUV_Net_2[[#This Row],[Decision ref]:[Decision ref]],Input_ForRateCalc[#Headers],0)),"-")</f>
        <v>-</v>
      </c>
    </row>
    <row r="424" spans="3:15" outlineLevel="1" x14ac:dyDescent="0.25">
      <c r="C424" s="48" t="s">
        <v>306</v>
      </c>
      <c r="D424" s="71" t="str">
        <f>INDEX(Input_DecisionActual[[Actual]:[Actual]],MATCH(Calc_TU_values!$D$235,Input_DecisionActual[[VDO period]:[VDO period]],0),1)</f>
        <v>VDO 2021 - Final</v>
      </c>
      <c r="E424" s="18" t="s">
        <v>354</v>
      </c>
      <c r="F424" s="71" t="str">
        <f>IF($D424="-","-",INDEX(Inputs!$H$10:$Q$10,1,MATCH($D424,Inputs!$H$8:$Q$8,0)))</f>
        <v>F-CurrentVDO_Input</v>
      </c>
      <c r="G424" s="47"/>
      <c r="H424" s="18" t="s">
        <v>66</v>
      </c>
      <c r="I424" s="18" t="s">
        <v>101</v>
      </c>
      <c r="J424" s="48" t="s">
        <v>31</v>
      </c>
      <c r="K424" s="55" cm="1">
        <f t="array" ref="K424">IFERROR(INDEX(Input_ForRateCalc[],MATCH($C424&amp;" - "&amp;K$333,Input_ForRateCalc[[Cost item]:[Cost item]],0),MATCH(Calc_TUV_Net_2[[#This Row],[Decision ref]:[Decision ref]],Input_ForRateCalc[#Headers],0)),"-")</f>
        <v>12.073700000000001</v>
      </c>
      <c r="L424" s="55" t="str" cm="1">
        <f t="array" ref="L424">IFERROR(INDEX(Input_ForRateCalc[],MATCH($C424&amp;" - "&amp;L$333,Input_ForRateCalc[[Cost item]:[Cost item]],0),MATCH(Calc_TUV_Net_2[[#This Row],[Decision ref]:[Decision ref]],Input_ForRateCalc[#Headers],0)),"-")</f>
        <v>-</v>
      </c>
      <c r="M424" s="55" t="str" cm="1">
        <f t="array" ref="M424">IFERROR(INDEX(Input_ForRateCalc[],MATCH($C424&amp;" - "&amp;M$333,Input_ForRateCalc[[Cost item]:[Cost item]],0),MATCH(Calc_TUV_Net_2[[#This Row],[Decision ref]:[Decision ref]],Input_ForRateCalc[#Headers],0)),"-")</f>
        <v>-</v>
      </c>
      <c r="N424" s="55" t="str" cm="1">
        <f t="array" ref="N424">IFERROR(INDEX(Input_ForRateCalc[],MATCH($C424&amp;" - "&amp;N$333,Input_ForRateCalc[[Cost item]:[Cost item]],0),MATCH(Calc_TUV_Net_2[[#This Row],[Decision ref]:[Decision ref]],Input_ForRateCalc[#Headers],0)),"-")</f>
        <v>-</v>
      </c>
      <c r="O424" s="55" t="str" cm="1">
        <f t="array" ref="O424">IFERROR(INDEX(Input_ForRateCalc[],MATCH($C424&amp;" - "&amp;O$333,Input_ForRateCalc[[Cost item]:[Cost item]],0),MATCH(Calc_TUV_Net_2[[#This Row],[Decision ref]:[Decision ref]],Input_ForRateCalc[#Headers],0)),"-")</f>
        <v>-</v>
      </c>
    </row>
    <row r="425" spans="3:15" outlineLevel="1" x14ac:dyDescent="0.25">
      <c r="C425" s="48" t="s">
        <v>307</v>
      </c>
      <c r="D425" s="71" t="str">
        <f>INDEX(Input_DecisionActual[[Actual]:[Actual]],MATCH(Calc_TU_values!$D$235,Input_DecisionActual[[VDO period]:[VDO period]],0),1)</f>
        <v>VDO 2021 - Final</v>
      </c>
      <c r="E425" s="18" t="s">
        <v>354</v>
      </c>
      <c r="F425" s="71" t="str">
        <f>IF($D425="-","-",INDEX(Inputs!$H$10:$Q$10,1,MATCH($D425,Inputs!$H$8:$Q$8,0)))</f>
        <v>F-CurrentVDO_Input</v>
      </c>
      <c r="G425" s="47"/>
      <c r="H425" s="18" t="s">
        <v>66</v>
      </c>
      <c r="I425" s="18" t="s">
        <v>101</v>
      </c>
      <c r="J425" s="48" t="s">
        <v>31</v>
      </c>
      <c r="K425" s="55" t="str" cm="1">
        <f t="array" ref="K425">IFERROR(INDEX(Input_ForRateCalc[],MATCH($C425&amp;" - "&amp;K$333,Input_ForRateCalc[[Cost item]:[Cost item]],0),MATCH(Calc_TUV_Net_2[[#This Row],[Decision ref]:[Decision ref]],Input_ForRateCalc[#Headers],0)),"-")</f>
        <v>-</v>
      </c>
      <c r="L425" s="55" cm="1">
        <f t="array" ref="L425">IFERROR(INDEX(Input_ForRateCalc[],MATCH($C425&amp;" - "&amp;L$333,Input_ForRateCalc[[Cost item]:[Cost item]],0),MATCH(Calc_TUV_Net_2[[#This Row],[Decision ref]:[Decision ref]],Input_ForRateCalc[#Headers],0)),"-")</f>
        <v>6.47</v>
      </c>
      <c r="M425" s="55" cm="1">
        <f t="array" ref="M425">IFERROR(INDEX(Input_ForRateCalc[],MATCH($C425&amp;" - "&amp;M$333,Input_ForRateCalc[[Cost item]:[Cost item]],0),MATCH(Calc_TUV_Net_2[[#This Row],[Decision ref]:[Decision ref]],Input_ForRateCalc[#Headers],0)),"-")</f>
        <v>7.4139999999999997</v>
      </c>
      <c r="N425" s="55" cm="1">
        <f t="array" ref="N425">IFERROR(INDEX(Input_ForRateCalc[],MATCH($C425&amp;" - "&amp;N$333,Input_ForRateCalc[[Cost item]:[Cost item]],0),MATCH(Calc_TUV_Net_2[[#This Row],[Decision ref]:[Decision ref]],Input_ForRateCalc[#Headers],0)),"-")</f>
        <v>6.74</v>
      </c>
      <c r="O425" s="55" cm="1">
        <f t="array" ref="O425">IFERROR(INDEX(Input_ForRateCalc[],MATCH($C425&amp;" - "&amp;O$333,Input_ForRateCalc[[Cost item]:[Cost item]],0),MATCH(Calc_TUV_Net_2[[#This Row],[Decision ref]:[Decision ref]],Input_ForRateCalc[#Headers],0)),"-")</f>
        <v>7.67</v>
      </c>
    </row>
    <row r="426" spans="3:15" outlineLevel="1" x14ac:dyDescent="0.25">
      <c r="C426" s="48" t="s">
        <v>254</v>
      </c>
      <c r="D426" s="71" t="str">
        <f>INDEX(Input_DecisionActual[[Actual]:[Actual]],MATCH(Calc_TU_values!$D$235,Input_DecisionActual[[VDO period]:[VDO period]],0),1)</f>
        <v>VDO 2021 - Final</v>
      </c>
      <c r="E426" s="18" t="s">
        <v>354</v>
      </c>
      <c r="F426" s="71" t="str">
        <f>IF($D426="-","-",INDEX(Inputs!$H$10:$Q$10,1,MATCH($D426,Inputs!$H$8:$Q$8,0)))</f>
        <v>F-CurrentVDO_Input</v>
      </c>
      <c r="G426" s="47"/>
      <c r="H426" s="18" t="s">
        <v>66</v>
      </c>
      <c r="I426" s="18" t="s">
        <v>101</v>
      </c>
      <c r="J426" s="48" t="s">
        <v>31</v>
      </c>
      <c r="K426" s="56">
        <f>SUM(
IFERROR(K423/100*SUMIFS(INDEX(TUNet_Usage_PerRate_2[],0,MATCH(K$333,TUNet_Usage_PerRate_2[#Headers],0)),TUNet_Usage_PerRate_2[Customer type],Calc_TUV_Net_2[[#This Row],[Customer type]],TUNet_Usage_PerRate_2[Description],"Usage per customer - Block 1"),0),
IFERROR(K424/100*SUMIFS(INDEX(TUNet_Usage_PerRate_2[],0,MATCH(K$333,TUNet_Usage_PerRate_2[#Headers],0)),TUNet_Usage_PerRate_2[Customer type],Calc_TUV_Net_2[[#This Row],[Customer type]],TUNet_Usage_PerRate_2[Description],"Usage per customer - Balance"),0),
IFERROR(K425/100*SUMIFS(INDEX(TUNet_Usage_PerRate_2[],0,MATCH(K$333,TUNet_Usage_PerRate_2[#Headers],0)),TUNet_Usage_PerRate_2[Customer type],Calc_TUV_Net_2[[#This Row],[Customer type]],TUNet_Usage_PerRate_2[Description],"Usage per customer - Single rate"),0))</f>
        <v>104.16426114858564</v>
      </c>
      <c r="L426" s="56">
        <f>SUM(
IFERROR(L423/100*SUMIFS(INDEX(TUNet_Usage_PerRate_2[],0,MATCH(L$333,TUNet_Usage_PerRate_2[#Headers],0)),TUNet_Usage_PerRate_2[Customer type],Calc_TUV_Net_2[[#This Row],[Customer type]],TUNet_Usage_PerRate_2[Description],"Usage per customer - Block 1"),0),
IFERROR(L424/100*SUMIFS(INDEX(TUNet_Usage_PerRate_2[],0,MATCH(L$333,TUNet_Usage_PerRate_2[#Headers],0)),TUNet_Usage_PerRate_2[Customer type],Calc_TUV_Net_2[[#This Row],[Customer type]],TUNet_Usage_PerRate_2[Description],"Usage per customer - Balance"),0),
IFERROR(L425/100*SUMIFS(INDEX(TUNet_Usage_PerRate_2[],0,MATCH(L$333,TUNet_Usage_PerRate_2[#Headers],0)),TUNet_Usage_PerRate_2[Customer type],Calc_TUV_Net_2[[#This Row],[Customer type]],TUNet_Usage_PerRate_2[Description],"Usage per customer - Single rate"),0))</f>
        <v>63.971786391205413</v>
      </c>
      <c r="M426" s="56">
        <f>SUM(
IFERROR(M423/100*SUMIFS(INDEX(TUNet_Usage_PerRate_2[],0,MATCH(M$333,TUNet_Usage_PerRate_2[#Headers],0)),TUNet_Usage_PerRate_2[Customer type],Calc_TUV_Net_2[[#This Row],[Customer type]],TUNet_Usage_PerRate_2[Description],"Usage per customer - Block 1"),0),
IFERROR(M424/100*SUMIFS(INDEX(TUNet_Usage_PerRate_2[],0,MATCH(M$333,TUNet_Usage_PerRate_2[#Headers],0)),TUNet_Usage_PerRate_2[Customer type],Calc_TUV_Net_2[[#This Row],[Customer type]],TUNet_Usage_PerRate_2[Description],"Usage per customer - Balance"),0),
IFERROR(M425/100*SUMIFS(INDEX(TUNet_Usage_PerRate_2[],0,MATCH(M$333,TUNet_Usage_PerRate_2[#Headers],0)),TUNet_Usage_PerRate_2[Customer type],Calc_TUV_Net_2[[#This Row],[Customer type]],TUNet_Usage_PerRate_2[Description],"Usage per customer - Single rate"),0))</f>
        <v>73.305536986769241</v>
      </c>
      <c r="N426" s="56">
        <f>SUM(
IFERROR(N423/100*SUMIFS(INDEX(TUNet_Usage_PerRate_2[],0,MATCH(N$333,TUNet_Usage_PerRate_2[#Headers],0)),TUNet_Usage_PerRate_2[Customer type],Calc_TUV_Net_2[[#This Row],[Customer type]],TUNet_Usage_PerRate_2[Description],"Usage per customer - Block 1"),0),
IFERROR(N424/100*SUMIFS(INDEX(TUNet_Usage_PerRate_2[],0,MATCH(N$333,TUNet_Usage_PerRate_2[#Headers],0)),TUNet_Usage_PerRate_2[Customer type],Calc_TUV_Net_2[[#This Row],[Customer type]],TUNet_Usage_PerRate_2[Description],"Usage per customer - Balance"),0),
IFERROR(N425/100*SUMIFS(INDEX(TUNet_Usage_PerRate_2[],0,MATCH(N$333,TUNet_Usage_PerRate_2[#Headers],0)),TUNet_Usage_PerRate_2[Customer type],Calc_TUV_Net_2[[#This Row],[Customer type]],TUNet_Usage_PerRate_2[Description],"Usage per customer - Single rate"),0))</f>
        <v>66.641397260699307</v>
      </c>
      <c r="O426" s="56">
        <f>SUM(
IFERROR(O423/100*SUMIFS(INDEX(TUNet_Usage_PerRate_2[],0,MATCH(O$333,TUNet_Usage_PerRate_2[#Headers],0)),TUNet_Usage_PerRate_2[Customer type],Calc_TUV_Net_2[[#This Row],[Customer type]],TUNet_Usage_PerRate_2[Description],"Usage per customer - Block 1"),0),
IFERROR(O424/100*SUMIFS(INDEX(TUNet_Usage_PerRate_2[],0,MATCH(O$333,TUNet_Usage_PerRate_2[#Headers],0)),TUNet_Usage_PerRate_2[Customer type],Calc_TUV_Net_2[[#This Row],[Customer type]],TUNet_Usage_PerRate_2[Description],"Usage per customer - Balance"),0),
IFERROR(O425/100*SUMIFS(INDEX(TUNet_Usage_PerRate_2[],0,MATCH(O$333,TUNet_Usage_PerRate_2[#Headers],0)),TUNet_Usage_PerRate_2[Customer type],Calc_TUV_Net_2[[#This Row],[Customer type]],TUNet_Usage_PerRate_2[Description],"Usage per customer - Single rate"),0))</f>
        <v>75.836723588956048</v>
      </c>
    </row>
    <row r="427" spans="3:15" outlineLevel="1" x14ac:dyDescent="0.25">
      <c r="C427" s="48" t="s">
        <v>255</v>
      </c>
      <c r="D427" s="48"/>
      <c r="E427" s="48"/>
      <c r="F427" s="48"/>
      <c r="G427" s="48"/>
      <c r="H427" s="18" t="s">
        <v>66</v>
      </c>
      <c r="I427" s="18" t="s">
        <v>45</v>
      </c>
      <c r="J427" s="48" t="s">
        <v>31</v>
      </c>
      <c r="K427" s="54">
        <f>IF(K426=0,"-",K422-K426)</f>
        <v>-7.3599293056890076</v>
      </c>
      <c r="L427" s="54">
        <f t="shared" ref="L427" si="150">IF(L426=0,"-",L422-L426)</f>
        <v>14.404033758069261</v>
      </c>
      <c r="M427" s="54">
        <f t="shared" ref="M427" si="151">IF(M426=0,"-",M422-M426)</f>
        <v>-3.5134056532072577</v>
      </c>
      <c r="N427" s="54">
        <f t="shared" ref="N427" si="152">IF(N426=0,"-",N422-N426)</f>
        <v>11.373531048810449</v>
      </c>
      <c r="O427" s="54">
        <f t="shared" ref="O427" si="153">IF(O426=0,"-",O422-O426)</f>
        <v>1.850930202849085</v>
      </c>
    </row>
    <row r="428" spans="3:15" outlineLevel="1" x14ac:dyDescent="0.25">
      <c r="C428" s="48" t="s">
        <v>296</v>
      </c>
      <c r="D428" s="48"/>
      <c r="E428" s="48"/>
      <c r="F428" s="48"/>
      <c r="G428" s="48"/>
      <c r="H428" s="18" t="s">
        <v>66</v>
      </c>
      <c r="I428" s="18" t="s">
        <v>45</v>
      </c>
      <c r="J428" s="48" t="s">
        <v>31</v>
      </c>
      <c r="K428" s="55" t="str">
        <f>IF($D$311="Yes",K427*(1+WACC_adj_2),"")</f>
        <v/>
      </c>
      <c r="L428" s="55" t="str">
        <f>IF($D$311="Yes",L427*(1+WACC_adj_2),"")</f>
        <v/>
      </c>
      <c r="M428" s="55" t="str">
        <f>IF($D$311="Yes",M427*(1+WACC_adj_2),"")</f>
        <v/>
      </c>
      <c r="N428" s="55" t="str">
        <f>IF($D$311="Yes",N427*(1+WACC_adj_2),"")</f>
        <v/>
      </c>
      <c r="O428" s="55" t="str">
        <f>IF($D$311="Yes",O427*(1+WACC_adj_2),"")</f>
        <v/>
      </c>
    </row>
    <row r="429" spans="3:15" outlineLevel="1" x14ac:dyDescent="0.25">
      <c r="C429" s="48" t="s">
        <v>257</v>
      </c>
      <c r="D429" s="71" t="str">
        <f>INDEX(Input_DecisionActual[[Actual]:[Actual]],MATCH(Calc_TU_values!$D$235,Input_DecisionActual[[VDO period]:[VDO period]],0),1)</f>
        <v>VDO 2021 - Final</v>
      </c>
      <c r="E429" s="18" t="s">
        <v>354</v>
      </c>
      <c r="F429" s="71" t="str">
        <f>IF($D429="-","-",INDEX(Inputs!$H$10:$Q$10,1,MATCH($D429,Inputs!$H$8:$Q$8,0)))</f>
        <v>F-CurrentVDO_Input</v>
      </c>
      <c r="G429" s="48"/>
      <c r="H429" s="18" t="s">
        <v>66</v>
      </c>
      <c r="I429" s="18" t="s">
        <v>45</v>
      </c>
      <c r="J429" s="48" t="s">
        <v>31</v>
      </c>
      <c r="K429" s="55" cm="1">
        <f t="array" ref="K429">IFERROR(SUM(K427:K428)*(INDEX(Inputs!$H$11:$Q$125,MATCH("Retail operating margin",Input_ForRateCalc[[Cost item]:[Cost item]],0),MATCH(Calc_TUV_Net_2[[#This Row],[Decision ref]:[Decision ref]],Inputs!$H$10:$Q$10,0))),"-")</f>
        <v>-0.44453973006361608</v>
      </c>
      <c r="L429" s="55" cm="1">
        <f t="array" ref="L429">IFERROR(SUM(L427:L428)*(INDEX(Inputs!$H$11:$Q$125,MATCH("Retail operating margin",Input_ForRateCalc[[Cost item]:[Cost item]],0),MATCH(Calc_TUV_Net_2[[#This Row],[Decision ref]:[Decision ref]],Inputs!$H$10:$Q$10,0))),"-")</f>
        <v>0.87000363898738342</v>
      </c>
      <c r="M429" s="55" cm="1">
        <f t="array" ref="M429">IFERROR(SUM(M427:M428)*(INDEX(Inputs!$H$11:$Q$125,MATCH("Retail operating margin",Input_ForRateCalc[[Cost item]:[Cost item]],0),MATCH(Calc_TUV_Net_2[[#This Row],[Decision ref]:[Decision ref]],Inputs!$H$10:$Q$10,0))),"-")</f>
        <v>-0.21220970145371837</v>
      </c>
      <c r="N429" s="55" cm="1">
        <f t="array" ref="N429">IFERROR(SUM(N427:N428)*(INDEX(Inputs!$H$11:$Q$125,MATCH("Retail operating margin",Input_ForRateCalc[[Cost item]:[Cost item]],0),MATCH(Calc_TUV_Net_2[[#This Row],[Decision ref]:[Decision ref]],Inputs!$H$10:$Q$10,0))),"-")</f>
        <v>0.6869612753481511</v>
      </c>
      <c r="O429" s="55" cm="1">
        <f t="array" ref="O429">IFERROR(SUM(O427:O428)*(INDEX(Inputs!$H$11:$Q$125,MATCH("Retail operating margin",Input_ForRateCalc[[Cost item]:[Cost item]],0),MATCH(Calc_TUV_Net_2[[#This Row],[Decision ref]:[Decision ref]],Inputs!$H$10:$Q$10,0))),"-")</f>
        <v>0.11179618425208473</v>
      </c>
    </row>
    <row r="430" spans="3:15" outlineLevel="1" x14ac:dyDescent="0.25">
      <c r="C430" s="48" t="s">
        <v>297</v>
      </c>
      <c r="D430" s="48"/>
      <c r="E430" s="48"/>
      <c r="F430" s="48"/>
      <c r="G430" s="48"/>
      <c r="H430" s="18" t="s">
        <v>66</v>
      </c>
      <c r="I430" s="18" t="s">
        <v>45</v>
      </c>
      <c r="J430" s="48" t="s">
        <v>31</v>
      </c>
      <c r="K430" s="55">
        <f>IF(K426=0,"-",SUM(K427:K429)*GST)</f>
        <v>-0.78044690357526247</v>
      </c>
      <c r="L430" s="55">
        <f>IF(L426=0,"-",SUM(L427:L429)*GST)</f>
        <v>1.5274037397056643</v>
      </c>
      <c r="M430" s="55">
        <f>IF(M426=0,"-",SUM(M427:M429)*GST)</f>
        <v>-0.3725615354660976</v>
      </c>
      <c r="N430" s="55">
        <f>IF(N426=0,"-",SUM(N427:N429)*GST)</f>
        <v>1.20604923241586</v>
      </c>
      <c r="O430" s="55">
        <f>IF(O426=0,"-",SUM(O427:O429)*GST)</f>
        <v>0.19627263871011699</v>
      </c>
    </row>
    <row r="431" spans="3:15" outlineLevel="1" x14ac:dyDescent="0.25">
      <c r="C431" s="18" t="s">
        <v>326</v>
      </c>
      <c r="D431" s="48"/>
      <c r="E431" s="48"/>
      <c r="F431" s="48"/>
      <c r="H431" s="18" t="s">
        <v>66</v>
      </c>
      <c r="I431" s="18" t="s">
        <v>45</v>
      </c>
      <c r="J431" s="48" t="s">
        <v>31</v>
      </c>
      <c r="K431" s="55">
        <f>IF(K426=0,"-",SUM(K427:K430))</f>
        <v>-8.5849159393278871</v>
      </c>
      <c r="L431" s="55">
        <f t="shared" ref="L431:O431" si="154">IF(L426=0,"-",SUM(L427:L430))</f>
        <v>16.801441136762307</v>
      </c>
      <c r="M431" s="55">
        <f t="shared" si="154"/>
        <v>-4.0981768901270739</v>
      </c>
      <c r="N431" s="55">
        <f t="shared" si="154"/>
        <v>13.26654155657446</v>
      </c>
      <c r="O431" s="55">
        <f t="shared" si="154"/>
        <v>2.1589990258112866</v>
      </c>
    </row>
    <row r="432" spans="3:15" outlineLevel="1" x14ac:dyDescent="0.25">
      <c r="C432" s="48"/>
      <c r="D432" s="48"/>
      <c r="E432" s="48"/>
      <c r="F432" s="48"/>
      <c r="G432" s="48"/>
      <c r="H432" s="18"/>
      <c r="I432" s="18"/>
      <c r="J432" s="48"/>
      <c r="K432" s="55"/>
      <c r="L432" s="55"/>
      <c r="M432" s="55"/>
      <c r="N432" s="55"/>
      <c r="O432" s="55"/>
    </row>
    <row r="433" spans="3:15" ht="15.75" outlineLevel="1" x14ac:dyDescent="0.25">
      <c r="C433" s="1" t="s">
        <v>316</v>
      </c>
      <c r="D433" s="48"/>
      <c r="E433" s="48"/>
      <c r="F433" s="48"/>
      <c r="G433" s="57" t="s">
        <v>395</v>
      </c>
      <c r="H433" s="48"/>
      <c r="I433" s="18"/>
      <c r="J433" s="18"/>
      <c r="K433" s="54"/>
      <c r="L433" s="18"/>
      <c r="M433" s="18"/>
      <c r="N433" s="18"/>
      <c r="O433" s="18"/>
    </row>
    <row r="434" spans="3:15" outlineLevel="1" x14ac:dyDescent="0.25">
      <c r="C434" s="46" t="s">
        <v>333</v>
      </c>
      <c r="D434" s="46"/>
      <c r="E434" s="46"/>
      <c r="F434" s="46"/>
      <c r="G434" s="57"/>
      <c r="H434" s="57"/>
      <c r="I434" s="18"/>
      <c r="J434" s="18"/>
      <c r="K434" s="54"/>
      <c r="L434" s="18"/>
      <c r="M434" s="18"/>
      <c r="N434" s="18"/>
      <c r="O434" s="18"/>
    </row>
    <row r="435" spans="3:15" outlineLevel="1" x14ac:dyDescent="0.25">
      <c r="C435" s="48" t="s">
        <v>320</v>
      </c>
      <c r="D435" s="71" t="str">
        <f>Calc_TU_values!$D$235</f>
        <v>VDO 2022 - Draft</v>
      </c>
      <c r="E435" s="18" t="s">
        <v>353</v>
      </c>
      <c r="F435" s="71" t="str">
        <f>INDEX(Inputs!$H$10:$Q$10,1,MATCH($D435,Inputs!$H$8:$Q$8,0))</f>
        <v>D-NextVDO_Input</v>
      </c>
      <c r="G435" s="47"/>
      <c r="H435" s="18" t="s">
        <v>44</v>
      </c>
      <c r="I435" s="18" t="s">
        <v>45</v>
      </c>
      <c r="J435" s="48" t="s">
        <v>32</v>
      </c>
      <c r="K435" s="55" cm="1">
        <f t="array" ref="K435">IFERROR(INDEX(Input_ForRateCalc[],MATCH($C435&amp;" - "&amp;K$333,Input_ForRateCalc[[Cost item]:[Cost item]],0),MATCH(Calc_TUV_Net_2[[#This Row],[Decision ref]:[Decision ref]],Input_ForRateCalc[#Headers],0)),"-")*TUProp_Days_2</f>
        <v>18.873479452054795</v>
      </c>
      <c r="L435" s="55" cm="1">
        <f t="array" ref="L435">IFERROR(INDEX(Input_ForRateCalc[],MATCH($C435&amp;" - "&amp;L$333,Input_ForRateCalc[[Cost item]:[Cost item]],0),MATCH(Calc_TUV_Net_2[[#This Row],[Decision ref]:[Decision ref]],Input_ForRateCalc[#Headers],0)),"-")*TUProp_Days_2</f>
        <v>27.180799999999998</v>
      </c>
      <c r="M435" s="55" cm="1">
        <f t="array" ref="M435">IFERROR(INDEX(Input_ForRateCalc[],MATCH($C435&amp;" - "&amp;M$333,Input_ForRateCalc[[Cost item]:[Cost item]],0),MATCH(Calc_TUV_Net_2[[#This Row],[Decision ref]:[Decision ref]],Input_ForRateCalc[#Headers],0)),"-")*TUProp_Days_2</f>
        <v>41.127912328767124</v>
      </c>
      <c r="N435" s="55" cm="1">
        <f t="array" ref="N435">IFERROR(INDEX(Input_ForRateCalc[],MATCH($C435&amp;" - "&amp;N$333,Input_ForRateCalc[[Cost item]:[Cost item]],0),MATCH(Calc_TUV_Net_2[[#This Row],[Decision ref]:[Decision ref]],Input_ForRateCalc[#Headers],0)),"-")*TUProp_Days_2</f>
        <v>30.572200000000002</v>
      </c>
      <c r="O435" s="55" cm="1">
        <f t="array" ref="O435">IFERROR(INDEX(Input_ForRateCalc[],MATCH($C435&amp;" - "&amp;O$333,Input_ForRateCalc[[Cost item]:[Cost item]],0),MATCH(Calc_TUV_Net_2[[#This Row],[Decision ref]:[Decision ref]],Input_ForRateCalc[#Headers],0)),"-")*TUProp_Days_2</f>
        <v>20.385599999999997</v>
      </c>
    </row>
    <row r="436" spans="3:15" outlineLevel="1" x14ac:dyDescent="0.25">
      <c r="C436" s="48" t="s">
        <v>211</v>
      </c>
      <c r="D436" s="71" t="str">
        <f>Calc_TU_values!$D$235</f>
        <v>VDO 2022 - Draft</v>
      </c>
      <c r="E436" s="18" t="s">
        <v>353</v>
      </c>
      <c r="F436" s="71" t="str">
        <f>INDEX(Inputs!$H$10:$Q$10,1,MATCH($D436,Inputs!$H$8:$Q$8,0))</f>
        <v>D-NextVDO_Input</v>
      </c>
      <c r="G436" s="47"/>
      <c r="H436" s="18" t="s">
        <v>44</v>
      </c>
      <c r="I436" s="18" t="s">
        <v>45</v>
      </c>
      <c r="J436" s="48" t="s">
        <v>32</v>
      </c>
      <c r="K436" s="55" cm="1">
        <f t="array" ref="K436">IFERROR(INDEX(Input_ForRateCalc[],MATCH($C436&amp;" - "&amp;K$333,Input_ForRateCalc[[Cost item]:[Cost item]],0),MATCH(Calc_TUV_Net_2[[#This Row],[Decision ref]:[Decision ref]],Input_ForRateCalc[#Headers],0)),"-")*TUProp_Days_2</f>
        <v>10.82027397260274</v>
      </c>
      <c r="L436" s="55" cm="1">
        <f t="array" ref="L436">IFERROR(INDEX(Input_ForRateCalc[],MATCH($C436&amp;" - "&amp;L$333,Input_ForRateCalc[[Cost item]:[Cost item]],0),MATCH(Calc_TUV_Net_2[[#This Row],[Decision ref]:[Decision ref]],Input_ForRateCalc[#Headers],0)),"-")*TUProp_Days_2</f>
        <v>10.089863013698629</v>
      </c>
      <c r="M436" s="55" cm="1">
        <f t="array" ref="M436">IFERROR(INDEX(Input_ForRateCalc[],MATCH($C436&amp;" - "&amp;M$333,Input_ForRateCalc[[Cost item]:[Cost item]],0),MATCH(Calc_TUV_Net_2[[#This Row],[Decision ref]:[Decision ref]],Input_ForRateCalc[#Headers],0)),"-")*TUProp_Days_2</f>
        <v>9.2048767123287671</v>
      </c>
      <c r="N436" s="55" cm="1">
        <f t="array" ref="N436">IFERROR(INDEX(Input_ForRateCalc[],MATCH($C436&amp;" - "&amp;N$333,Input_ForRateCalc[[Cost item]:[Cost item]],0),MATCH(Calc_TUV_Net_2[[#This Row],[Decision ref]:[Decision ref]],Input_ForRateCalc[#Headers],0)),"-")*TUProp_Days_2</f>
        <v>9.8520547945205479</v>
      </c>
      <c r="O436" s="55" cm="1">
        <f t="array" ref="O436">IFERROR(INDEX(Input_ForRateCalc[],MATCH($C436&amp;" - "&amp;O$333,Input_ForRateCalc[[Cost item]:[Cost item]],0),MATCH(Calc_TUV_Net_2[[#This Row],[Decision ref]:[Decision ref]],Input_ForRateCalc[#Headers],0)),"-")*TUProp_Days_2</f>
        <v>7.2905205479452055</v>
      </c>
    </row>
    <row r="437" spans="3:15" outlineLevel="1" x14ac:dyDescent="0.25">
      <c r="C437" s="48" t="s">
        <v>254</v>
      </c>
      <c r="D437" s="71" t="str">
        <f>Calc_TU_values!$D$235</f>
        <v>VDO 2022 - Draft</v>
      </c>
      <c r="E437" s="18" t="s">
        <v>353</v>
      </c>
      <c r="F437" s="71" t="str">
        <f>INDEX(Inputs!$H$10:$Q$10,1,MATCH($D437,Inputs!$H$8:$Q$8,0))</f>
        <v>D-NextVDO_Input</v>
      </c>
      <c r="G437" s="47"/>
      <c r="H437" s="18" t="s">
        <v>44</v>
      </c>
      <c r="I437" s="18" t="s">
        <v>45</v>
      </c>
      <c r="J437" s="48" t="s">
        <v>32</v>
      </c>
      <c r="K437" s="53">
        <f>IFERROR(SUM(K435:K436),"-")</f>
        <v>29.693753424657537</v>
      </c>
      <c r="L437" s="53">
        <f>IFERROR(SUM(L435:L436),"-")</f>
        <v>37.270663013698623</v>
      </c>
      <c r="M437" s="53">
        <f>IFERROR(SUM(M435:M436),"-")</f>
        <v>50.332789041095893</v>
      </c>
      <c r="N437" s="53">
        <f>IFERROR(SUM(N435:N436),"-")</f>
        <v>40.42425479452055</v>
      </c>
      <c r="O437" s="53">
        <f>IFERROR(SUM(O435:O436),"-")</f>
        <v>27.676120547945203</v>
      </c>
    </row>
    <row r="438" spans="3:15" outlineLevel="1" x14ac:dyDescent="0.25">
      <c r="C438" s="48" t="s">
        <v>309</v>
      </c>
      <c r="D438" s="71" t="str">
        <f>INDEX(Input_DecisionActual[[Actual]:[Actual]],MATCH(Calc_TU_values!$D$235,Input_DecisionActual[[VDO period]:[VDO period]],0),1)</f>
        <v>VDO 2021 - Final</v>
      </c>
      <c r="E438" s="18" t="s">
        <v>354</v>
      </c>
      <c r="F438" s="71" t="str">
        <f>IF($D438="-","-",INDEX(Inputs!$H$10:$Q$10,1,MATCH($D438,Inputs!$H$8:$Q$8,0)))</f>
        <v>F-CurrentVDO_Input</v>
      </c>
      <c r="G438" s="47"/>
      <c r="H438" s="18" t="s">
        <v>44</v>
      </c>
      <c r="I438" s="18" t="s">
        <v>45</v>
      </c>
      <c r="J438" s="48" t="s">
        <v>32</v>
      </c>
      <c r="K438" s="55" cm="1">
        <f t="array" ref="K438">IFERROR(INDEX(Input_ForRateCalc[],MATCH($C438&amp;" - "&amp;K$333,Input_ForRateCalc[[Cost item]:[Cost item]],0),MATCH(Calc_TUV_Net_2[[#This Row],[Decision ref]:[Decision ref]],Input_ForRateCalc[#Headers],0)),"-")*TUProp_Days_2</f>
        <v>18.005479452054793</v>
      </c>
      <c r="L438" s="55" cm="1">
        <f t="array" ref="L438">IFERROR(INDEX(Input_ForRateCalc[],MATCH($C438&amp;" - "&amp;L$333,Input_ForRateCalc[[Cost item]:[Cost item]],0),MATCH(Calc_TUV_Net_2[[#This Row],[Decision ref]:[Decision ref]],Input_ForRateCalc[#Headers],0)),"-")*TUProp_Days_2</f>
        <v>27.17808219178082</v>
      </c>
      <c r="M438" s="55" cm="1">
        <f t="array" ref="M438">IFERROR(INDEX(Input_ForRateCalc[],MATCH($C438&amp;" - "&amp;M$333,Input_ForRateCalc[[Cost item]:[Cost item]],0),MATCH(Calc_TUV_Net_2[[#This Row],[Decision ref]:[Decision ref]],Input_ForRateCalc[#Headers],0)),"-")*TUProp_Days_2</f>
        <v>20.169704109589041</v>
      </c>
      <c r="N438" s="55" cm="1">
        <f t="array" ref="N438">IFERROR(INDEX(Input_ForRateCalc[],MATCH($C438&amp;" - "&amp;N$333,Input_ForRateCalc[[Cost item]:[Cost item]],0),MATCH(Calc_TUV_Net_2[[#This Row],[Decision ref]:[Decision ref]],Input_ForRateCalc[#Headers],0)),"-")*TUProp_Days_2</f>
        <v>30.575342465753423</v>
      </c>
      <c r="O438" s="55" cm="1">
        <f t="array" ref="O438">IFERROR(INDEX(Input_ForRateCalc[],MATCH($C438&amp;" - "&amp;O$333,Input_ForRateCalc[[Cost item]:[Cost item]],0),MATCH(Calc_TUV_Net_2[[#This Row],[Decision ref]:[Decision ref]],Input_ForRateCalc[#Headers],0)),"-")*TUProp_Days_2</f>
        <v>13.565599999999998</v>
      </c>
    </row>
    <row r="439" spans="3:15" outlineLevel="1" x14ac:dyDescent="0.25">
      <c r="C439" s="48" t="s">
        <v>211</v>
      </c>
      <c r="D439" s="71" t="str">
        <f>INDEX(Input_DecisionActual[[Actual]:[Actual]],MATCH(Calc_TU_values!$D$235,Input_DecisionActual[[VDO period]:[VDO period]],0),1)</f>
        <v>VDO 2021 - Final</v>
      </c>
      <c r="E439" s="18" t="s">
        <v>354</v>
      </c>
      <c r="F439" s="71" t="str">
        <f>IF($D439="-","-",INDEX(Inputs!$H$10:$Q$10,1,MATCH($D439,Inputs!$H$8:$Q$8,0)))</f>
        <v>F-CurrentVDO_Input</v>
      </c>
      <c r="G439" s="47"/>
      <c r="H439" s="18" t="s">
        <v>44</v>
      </c>
      <c r="I439" s="18" t="s">
        <v>45</v>
      </c>
      <c r="J439" s="48" t="s">
        <v>32</v>
      </c>
      <c r="K439" s="55" cm="1">
        <f t="array" ref="K439">IFERROR(INDEX(Input_ForRateCalc[],MATCH($C439&amp;" - "&amp;K$333,Input_ForRateCalc[[Cost item]:[Cost item]],0),MATCH(Calc_TUV_Net_2[[#This Row],[Decision ref]:[Decision ref]],Input_ForRateCalc[#Headers],0)),"-")*TUProp_Days_2</f>
        <v>10.123835616438356</v>
      </c>
      <c r="L439" s="55" cm="1">
        <f t="array" ref="L439">IFERROR(INDEX(Input_ForRateCalc[],MATCH($C439&amp;" - "&amp;L$333,Input_ForRateCalc[[Cost item]:[Cost item]],0),MATCH(Calc_TUV_Net_2[[#This Row],[Decision ref]:[Decision ref]],Input_ForRateCalc[#Headers],0)),"-")*TUProp_Days_2</f>
        <v>11.176986301369862</v>
      </c>
      <c r="M439" s="55" cm="1">
        <f t="array" ref="M439">IFERROR(INDEX(Input_ForRateCalc[],MATCH($C439&amp;" - "&amp;M$333,Input_ForRateCalc[[Cost item]:[Cost item]],0),MATCH(Calc_TUV_Net_2[[#This Row],[Decision ref]:[Decision ref]],Input_ForRateCalc[#Headers],0)),"-")*TUProp_Days_2</f>
        <v>11.258520547945205</v>
      </c>
      <c r="N439" s="55" cm="1">
        <f t="array" ref="N439">IFERROR(INDEX(Input_ForRateCalc[],MATCH($C439&amp;" - "&amp;N$333,Input_ForRateCalc[[Cost item]:[Cost item]],0),MATCH(Calc_TUV_Net_2[[#This Row],[Decision ref]:[Decision ref]],Input_ForRateCalc[#Headers],0)),"-")*TUProp_Days_2</f>
        <v>11.126027397260273</v>
      </c>
      <c r="O439" s="55" cm="1">
        <f t="array" ref="O439">IFERROR(INDEX(Input_ForRateCalc[],MATCH($C439&amp;" - "&amp;O$333,Input_ForRateCalc[[Cost item]:[Cost item]],0),MATCH(Calc_TUV_Net_2[[#This Row],[Decision ref]:[Decision ref]],Input_ForRateCalc[#Headers],0)),"-")*TUProp_Days_2</f>
        <v>8.2927123287671236</v>
      </c>
    </row>
    <row r="440" spans="3:15" outlineLevel="1" x14ac:dyDescent="0.25">
      <c r="C440" s="48" t="s">
        <v>254</v>
      </c>
      <c r="D440" s="71" t="str">
        <f>INDEX(Input_DecisionActual[[Actual]:[Actual]],MATCH(Calc_TU_values!$D$235,Input_DecisionActual[[VDO period]:[VDO period]],0),1)</f>
        <v>VDO 2021 - Final</v>
      </c>
      <c r="E440" s="18" t="s">
        <v>354</v>
      </c>
      <c r="F440" s="71" t="str">
        <f>IF($D440="-","-",INDEX(Inputs!$H$10:$Q$10,1,MATCH($D440,Inputs!$H$8:$Q$8,0)))</f>
        <v>F-CurrentVDO_Input</v>
      </c>
      <c r="G440" s="47"/>
      <c r="H440" s="18" t="s">
        <v>44</v>
      </c>
      <c r="I440" s="18" t="s">
        <v>45</v>
      </c>
      <c r="J440" s="48" t="s">
        <v>32</v>
      </c>
      <c r="K440" s="54">
        <f>SUM(K438:K439)</f>
        <v>28.129315068493149</v>
      </c>
      <c r="L440" s="54">
        <f>SUM(L438:L439)</f>
        <v>38.355068493150682</v>
      </c>
      <c r="M440" s="54">
        <f>SUM(M438:M439)</f>
        <v>31.428224657534244</v>
      </c>
      <c r="N440" s="54">
        <f>SUM(N438:N439)</f>
        <v>41.701369863013696</v>
      </c>
      <c r="O440" s="54">
        <f>SUM(O438:O439)</f>
        <v>21.85831232876712</v>
      </c>
    </row>
    <row r="441" spans="3:15" outlineLevel="1" x14ac:dyDescent="0.25">
      <c r="C441" s="48" t="s">
        <v>255</v>
      </c>
      <c r="D441" s="18"/>
      <c r="E441" s="18"/>
      <c r="F441" s="18"/>
      <c r="G441" s="48"/>
      <c r="H441" s="18" t="s">
        <v>44</v>
      </c>
      <c r="I441" s="18" t="s">
        <v>45</v>
      </c>
      <c r="J441" s="48" t="s">
        <v>32</v>
      </c>
      <c r="K441" s="54">
        <f>IF(K440=0,"-",K437-K440)</f>
        <v>1.5644383561643878</v>
      </c>
      <c r="L441" s="54">
        <f t="shared" ref="L441:O441" si="155">IF(L440=0,"-",L437-L440)</f>
        <v>-1.0844054794520588</v>
      </c>
      <c r="M441" s="54">
        <f t="shared" si="155"/>
        <v>18.904564383561649</v>
      </c>
      <c r="N441" s="54">
        <f t="shared" si="155"/>
        <v>-1.2771150684931456</v>
      </c>
      <c r="O441" s="54">
        <f t="shared" si="155"/>
        <v>5.8178082191780831</v>
      </c>
    </row>
    <row r="442" spans="3:15" outlineLevel="1" x14ac:dyDescent="0.25">
      <c r="C442" s="48" t="s">
        <v>296</v>
      </c>
      <c r="D442" s="18"/>
      <c r="E442" s="18"/>
      <c r="F442" s="18"/>
      <c r="G442" s="48"/>
      <c r="H442" s="18" t="s">
        <v>44</v>
      </c>
      <c r="I442" s="18" t="s">
        <v>45</v>
      </c>
      <c r="J442" s="48" t="s">
        <v>32</v>
      </c>
      <c r="K442" s="55" t="str">
        <f>IFERROR(IF($D$311="Yes",K441*(1+WACC_adj_2),""),"-")</f>
        <v/>
      </c>
      <c r="L442" s="55" t="str">
        <f>IFERROR(IF($D$311="Yes",L441*(1+WACC_adj_2),""),"-")</f>
        <v/>
      </c>
      <c r="M442" s="55" t="str">
        <f>IFERROR(IF($D$311="Yes",M441*(1+WACC_adj_2),""),"-")</f>
        <v/>
      </c>
      <c r="N442" s="55" t="str">
        <f>IFERROR(IF($D$311="Yes",N441*(1+WACC_adj_2),""),"-")</f>
        <v/>
      </c>
      <c r="O442" s="55" t="str">
        <f>IFERROR(IF($D$311="Yes",O441*(1+WACC_adj_2),""),"-")</f>
        <v/>
      </c>
    </row>
    <row r="443" spans="3:15" outlineLevel="1" x14ac:dyDescent="0.25">
      <c r="C443" s="48" t="s">
        <v>257</v>
      </c>
      <c r="D443" s="71" t="str">
        <f>INDEX(Input_DecisionActual[[Actual]:[Actual]],MATCH(Calc_TU_values!$D$235,Input_DecisionActual[[VDO period]:[VDO period]],0),1)</f>
        <v>VDO 2021 - Final</v>
      </c>
      <c r="E443" s="18" t="s">
        <v>354</v>
      </c>
      <c r="F443" s="71" t="str">
        <f>IF($D443="-","-",INDEX(Inputs!$H$10:$Q$10,1,MATCH($D443,Inputs!$H$8:$Q$8,0)))</f>
        <v>F-CurrentVDO_Input</v>
      </c>
      <c r="G443" s="48"/>
      <c r="H443" s="18" t="s">
        <v>44</v>
      </c>
      <c r="I443" s="18" t="s">
        <v>45</v>
      </c>
      <c r="J443" s="48" t="s">
        <v>32</v>
      </c>
      <c r="K443" s="55" cm="1">
        <f t="array" ref="K443">IFERROR(SUM(K441:K442)*(INDEX(Inputs!$H$11:$Q$125,MATCH("Retail operating margin",Input_ForRateCalc[[Cost item]:[Cost item]],0),MATCH(Calc_TUV_Net_2[[#This Row],[Decision ref]:[Decision ref]],Inputs!$H$10:$Q$10,0))),"-")</f>
        <v>9.4492076712329023E-2</v>
      </c>
      <c r="L443" s="55" cm="1">
        <f t="array" ref="L443">IFERROR(SUM(L441:L442)*(INDEX(Inputs!$H$11:$Q$125,MATCH("Retail operating margin",Input_ForRateCalc[[Cost item]:[Cost item]],0),MATCH(Calc_TUV_Net_2[[#This Row],[Decision ref]:[Decision ref]],Inputs!$H$10:$Q$10,0))),"-")</f>
        <v>-6.5498090958904354E-2</v>
      </c>
      <c r="M443" s="55" cm="1">
        <f t="array" ref="M443">IFERROR(SUM(M441:M442)*(INDEX(Inputs!$H$11:$Q$125,MATCH("Retail operating margin",Input_ForRateCalc[[Cost item]:[Cost item]],0),MATCH(Calc_TUV_Net_2[[#This Row],[Decision ref]:[Decision ref]],Inputs!$H$10:$Q$10,0))),"-")</f>
        <v>1.1418356887671237</v>
      </c>
      <c r="N443" s="55" cm="1">
        <f t="array" ref="N443">IFERROR(SUM(N441:N442)*(INDEX(Inputs!$H$11:$Q$125,MATCH("Retail operating margin",Input_ForRateCalc[[Cost item]:[Cost item]],0),MATCH(Calc_TUV_Net_2[[#This Row],[Decision ref]:[Decision ref]],Inputs!$H$10:$Q$10,0))),"-")</f>
        <v>-7.7137750136985997E-2</v>
      </c>
      <c r="O443" s="55" cm="1">
        <f t="array" ref="O443">IFERROR(SUM(O441:O442)*(INDEX(Inputs!$H$11:$Q$125,MATCH("Retail operating margin",Input_ForRateCalc[[Cost item]:[Cost item]],0),MATCH(Calc_TUV_Net_2[[#This Row],[Decision ref]:[Decision ref]],Inputs!$H$10:$Q$10,0))),"-")</f>
        <v>0.35139561643835621</v>
      </c>
    </row>
    <row r="444" spans="3:15" outlineLevel="1" x14ac:dyDescent="0.25">
      <c r="C444" s="48" t="s">
        <v>297</v>
      </c>
      <c r="D444" s="18"/>
      <c r="E444" s="18"/>
      <c r="F444" s="18"/>
      <c r="G444" s="48"/>
      <c r="H444" s="18" t="s">
        <v>44</v>
      </c>
      <c r="I444" s="18" t="s">
        <v>45</v>
      </c>
      <c r="J444" s="48" t="s">
        <v>32</v>
      </c>
      <c r="K444" s="55">
        <f>IF(K440=0,"-",SUM(K441:K443)*GST)</f>
        <v>0.16589304328767168</v>
      </c>
      <c r="L444" s="55">
        <f>IF(L440=0,"-",SUM(L441:L443)*GST)</f>
        <v>-0.11499035704109631</v>
      </c>
      <c r="M444" s="55">
        <f>IF(M440=0,"-",SUM(M441:M443)*GST)</f>
        <v>2.0046400072328772</v>
      </c>
      <c r="N444" s="55">
        <f>IF(N440=0,"-",SUM(N441:N443)*GST)</f>
        <v>-0.13542528186301317</v>
      </c>
      <c r="O444" s="55">
        <f>IF(O440=0,"-",SUM(O441:O443)*GST)</f>
        <v>0.61692038356164403</v>
      </c>
    </row>
    <row r="445" spans="3:15" outlineLevel="1" x14ac:dyDescent="0.25">
      <c r="C445" s="18" t="s">
        <v>325</v>
      </c>
      <c r="D445" s="18"/>
      <c r="E445" s="18"/>
      <c r="F445" s="18"/>
      <c r="G445" s="48"/>
      <c r="H445" s="18" t="s">
        <v>44</v>
      </c>
      <c r="I445" s="18" t="s">
        <v>45</v>
      </c>
      <c r="J445" s="48" t="s">
        <v>32</v>
      </c>
      <c r="K445" s="55">
        <f>IF(K440=0,"-",SUM(K441:K444))</f>
        <v>1.8248234761643884</v>
      </c>
      <c r="L445" s="55">
        <f>IF(L440=0,"-",SUM(L441:L444))</f>
        <v>-1.2648939274520594</v>
      </c>
      <c r="M445" s="55">
        <f>IF(M440=0,"-",SUM(M441:M444))</f>
        <v>22.051040079561648</v>
      </c>
      <c r="N445" s="55">
        <f>IF(N440=0,"-",SUM(N441:N444))</f>
        <v>-1.489678100493145</v>
      </c>
      <c r="O445" s="55">
        <f>IF(O440=0,"-",SUM(O441:O444))</f>
        <v>6.7861242191780837</v>
      </c>
    </row>
    <row r="446" spans="3:15" outlineLevel="1" x14ac:dyDescent="0.25">
      <c r="C446" s="48"/>
      <c r="D446" s="48"/>
      <c r="E446" s="48"/>
      <c r="F446" s="48"/>
      <c r="H446" s="48"/>
      <c r="I446" s="18"/>
      <c r="J446" s="18"/>
      <c r="K446" s="106"/>
      <c r="L446" s="106"/>
      <c r="M446" s="106"/>
      <c r="N446" s="106"/>
      <c r="O446" s="106"/>
    </row>
    <row r="447" spans="3:15" outlineLevel="1" x14ac:dyDescent="0.25">
      <c r="C447" s="46" t="s">
        <v>334</v>
      </c>
      <c r="D447" s="48"/>
      <c r="E447" s="48"/>
      <c r="F447" s="48"/>
      <c r="G447" s="57"/>
      <c r="H447" s="48"/>
      <c r="I447" s="18"/>
      <c r="J447" s="18"/>
      <c r="K447" s="106"/>
      <c r="L447" s="106"/>
      <c r="M447" s="106"/>
      <c r="N447" s="106"/>
      <c r="O447" s="106"/>
    </row>
    <row r="448" spans="3:15" outlineLevel="1" x14ac:dyDescent="0.25">
      <c r="C448" s="48" t="s">
        <v>321</v>
      </c>
      <c r="D448" s="71" t="str">
        <f>Calc_TU_values!$D$235</f>
        <v>VDO 2022 - Draft</v>
      </c>
      <c r="E448" s="18" t="s">
        <v>353</v>
      </c>
      <c r="F448" s="71" t="str">
        <f>INDEX(Inputs!$H$10:$Q$10,1,MATCH($D448,Inputs!$H$8:$Q$8,0))</f>
        <v>D-NextVDO_Input</v>
      </c>
      <c r="G448" s="48"/>
      <c r="H448" s="18" t="s">
        <v>66</v>
      </c>
      <c r="I448" s="18" t="s">
        <v>101</v>
      </c>
      <c r="J448" s="48" t="s">
        <v>32</v>
      </c>
      <c r="K448" s="55" cm="1">
        <f t="array" ref="K448">IFERROR(INDEX(Input_ForRateCalc[],MATCH($C448&amp;" - "&amp;K$333,Input_ForRateCalc[[Cost item]:[Cost item]],0),MATCH(Calc_TUV_Net_2[[#This Row],[Decision ref]:[Decision ref]],Input_ForRateCalc[#Headers],0)),"-")</f>
        <v>17.508700000000001</v>
      </c>
      <c r="L448" s="55" cm="1">
        <f t="array" ref="L448">IFERROR(INDEX(Input_ForRateCalc[],MATCH($C448&amp;" - "&amp;L$333,Input_ForRateCalc[[Cost item]:[Cost item]],0),MATCH(Calc_TUV_Net_2[[#This Row],[Decision ref]:[Decision ref]],Input_ForRateCalc[#Headers],0)),"-")</f>
        <v>13.02</v>
      </c>
      <c r="M448" s="55" cm="1">
        <f t="array" ref="M448">IFERROR(INDEX(Input_ForRateCalc[],MATCH($C448&amp;" - "&amp;M$333,Input_ForRateCalc[[Cost item]:[Cost item]],0),MATCH(Calc_TUV_Net_2[[#This Row],[Decision ref]:[Decision ref]],Input_ForRateCalc[#Headers],0)),"-")</f>
        <v>14.331</v>
      </c>
      <c r="N448" s="55" cm="1">
        <f t="array" ref="N448">IFERROR(INDEX(Input_ForRateCalc[],MATCH($C448&amp;" - "&amp;N$333,Input_ForRateCalc[[Cost item]:[Cost item]],0),MATCH(Calc_TUV_Net_2[[#This Row],[Decision ref]:[Decision ref]],Input_ForRateCalc[#Headers],0)),"-")</f>
        <v>14.75</v>
      </c>
      <c r="O448" s="55" cm="1">
        <f t="array" ref="O448">IFERROR(INDEX(Input_ForRateCalc[],MATCH($C448&amp;" - "&amp;O$333,Input_ForRateCalc[[Cost item]:[Cost item]],0),MATCH(Calc_TUV_Net_2[[#This Row],[Decision ref]:[Decision ref]],Input_ForRateCalc[#Headers],0)),"-")</f>
        <v>13.99</v>
      </c>
    </row>
    <row r="449" spans="3:15" outlineLevel="1" x14ac:dyDescent="0.25">
      <c r="C449" s="48" t="s">
        <v>322</v>
      </c>
      <c r="D449" s="71" t="str">
        <f>Calc_TU_values!$D$235</f>
        <v>VDO 2022 - Draft</v>
      </c>
      <c r="E449" s="18" t="s">
        <v>353</v>
      </c>
      <c r="F449" s="71" t="str">
        <f>INDEX(Inputs!$H$10:$Q$10,1,MATCH($D449,Inputs!$H$8:$Q$8,0))</f>
        <v>D-NextVDO_Input</v>
      </c>
      <c r="G449" s="57"/>
      <c r="H449" s="18" t="s">
        <v>66</v>
      </c>
      <c r="I449" s="18" t="s">
        <v>101</v>
      </c>
      <c r="J449" s="48" t="s">
        <v>32</v>
      </c>
      <c r="K449" s="55" cm="1">
        <f t="array" ref="K449">IFERROR(INDEX(Input_ForRateCalc[],MATCH($C449&amp;" - "&amp;K$333,Input_ForRateCalc[[Cost item]:[Cost item]],0),MATCH(Calc_TUV_Net_2[[#This Row],[Decision ref]:[Decision ref]],Input_ForRateCalc[#Headers],0)),"-")</f>
        <v>4.2656000000000001</v>
      </c>
      <c r="L449" s="55" cm="1">
        <f t="array" ref="L449">IFERROR(INDEX(Input_ForRateCalc[],MATCH($C449&amp;" - "&amp;L$333,Input_ForRateCalc[[Cost item]:[Cost item]],0),MATCH(Calc_TUV_Net_2[[#This Row],[Decision ref]:[Decision ref]],Input_ForRateCalc[#Headers],0)),"-")</f>
        <v>2.89</v>
      </c>
      <c r="M449" s="55" cm="1">
        <f t="array" ref="M449">IFERROR(INDEX(Input_ForRateCalc[],MATCH($C449&amp;" - "&amp;M$333,Input_ForRateCalc[[Cost item]:[Cost item]],0),MATCH(Calc_TUV_Net_2[[#This Row],[Decision ref]:[Decision ref]],Input_ForRateCalc[#Headers],0)),"-")</f>
        <v>3.052</v>
      </c>
      <c r="N449" s="55" cm="1">
        <f t="array" ref="N449">IFERROR(INDEX(Input_ForRateCalc[],MATCH($C449&amp;" - "&amp;N$333,Input_ForRateCalc[[Cost item]:[Cost item]],0),MATCH(Calc_TUV_Net_2[[#This Row],[Decision ref]:[Decision ref]],Input_ForRateCalc[#Headers],0)),"-")</f>
        <v>3.28</v>
      </c>
      <c r="O449" s="55" cm="1">
        <f t="array" ref="O449">IFERROR(INDEX(Input_ForRateCalc[],MATCH($C449&amp;" - "&amp;O$333,Input_ForRateCalc[[Cost item]:[Cost item]],0),MATCH(Calc_TUV_Net_2[[#This Row],[Decision ref]:[Decision ref]],Input_ForRateCalc[#Headers],0)),"-")</f>
        <v>3.11</v>
      </c>
    </row>
    <row r="450" spans="3:15" outlineLevel="1" x14ac:dyDescent="0.25">
      <c r="C450" s="48" t="s">
        <v>254</v>
      </c>
      <c r="D450" s="71" t="str">
        <f>Calc_TU_values!$D$235</f>
        <v>VDO 2022 - Draft</v>
      </c>
      <c r="E450" s="18" t="s">
        <v>353</v>
      </c>
      <c r="F450" s="71" t="str">
        <f>INDEX(Inputs!$H$10:$Q$10,1,MATCH($D450,Inputs!$H$8:$Q$8,0))</f>
        <v>D-NextVDO_Input</v>
      </c>
      <c r="G450" s="47"/>
      <c r="H450" s="18" t="s">
        <v>66</v>
      </c>
      <c r="I450" s="18" t="s">
        <v>101</v>
      </c>
      <c r="J450" s="48" t="s">
        <v>32</v>
      </c>
      <c r="K450" s="56">
        <f>SUMIFS(TUNet_Usage_Actual_2[Value],TUNet_Usage_Actual_2[Customer type],Calc_TUV_Net_2[[#This Row],[Customer type]],TUNet_Usage_Actual_2[Description],"Usage per customer")*SUM(
IFERROR(K448/100*SUMIFS(Input_TUNet_Props[F-NextVDO_Input],Input_TUNet_Props[Customer type],Calc_TUV_Net_2[[#This Row],[Customer type]],Input_TUNet_Props[Usage type],"Peak"),0),
IFERROR(K449/100*SUMIFS(Input_TUNet_Props[F-NextVDO_Input],Input_TUNet_Props[Customer type],Calc_TUV_Net_2[[#This Row],[Customer type]],Input_TUNet_Props[Usage type],"Off peak"),0))</f>
        <v>129.3939235258419</v>
      </c>
      <c r="L450" s="56">
        <f>SUMIFS(TUNet_Usage_Actual_2[Value],TUNet_Usage_Actual_2[Customer type],Calc_TUV_Net_2[[#This Row],[Customer type]],TUNet_Usage_Actual_2[Description],"Usage per customer")*SUM(
IFERROR(L448/100*SUMIFS(Input_TUNet_Props[F-NextVDO_Input],Input_TUNet_Props[Customer type],Calc_TUV_Net_2[[#This Row],[Customer type]],Input_TUNet_Props[Usage type],"Peak"),0),
IFERROR(L449/100*SUMIFS(Input_TUNet_Props[F-NextVDO_Input],Input_TUNet_Props[Customer type],Calc_TUV_Net_2[[#This Row],[Customer type]],Input_TUNet_Props[Usage type],"Off peak"),0))</f>
        <v>94.490712141796024</v>
      </c>
      <c r="M450" s="56">
        <f>SUMIFS(TUNet_Usage_Actual_2[Value],TUNet_Usage_Actual_2[Customer type],Calc_TUV_Net_2[[#This Row],[Customer type]],TUNet_Usage_Actual_2[Description],"Usage per customer")*SUM(
IFERROR(M448/100*SUMIFS(Input_TUNet_Props[F-NextVDO_Input],Input_TUNet_Props[Customer type],Calc_TUV_Net_2[[#This Row],[Customer type]],Input_TUNet_Props[Usage type],"Peak"),0),
IFERROR(M449/100*SUMIFS(Input_TUNet_Props[F-NextVDO_Input],Input_TUNet_Props[Customer type],Calc_TUV_Net_2[[#This Row],[Customer type]],Input_TUNet_Props[Usage type],"Off peak"),0))</f>
        <v>103.21357031182079</v>
      </c>
      <c r="N450" s="56">
        <f>SUMIFS(TUNet_Usage_Actual_2[Value],TUNet_Usage_Actual_2[Customer type],Calc_TUV_Net_2[[#This Row],[Customer type]],TUNet_Usage_Actual_2[Description],"Usage per customer")*SUM(
IFERROR(N448/100*SUMIFS(Input_TUNet_Props[F-NextVDO_Input],Input_TUNet_Props[Customer type],Calc_TUV_Net_2[[#This Row],[Customer type]],Input_TUNet_Props[Usage type],"Peak"),0),
IFERROR(N449/100*SUMIFS(Input_TUNet_Props[F-NextVDO_Input],Input_TUNet_Props[Customer type],Calc_TUV_Net_2[[#This Row],[Customer type]],Input_TUNet_Props[Usage type],"Off peak"),0))</f>
        <v>107.08273619766825</v>
      </c>
      <c r="O450" s="56">
        <f>SUMIFS(TUNet_Usage_Actual_2[Value],TUNet_Usage_Actual_2[Customer type],Calc_TUV_Net_2[[#This Row],[Customer type]],TUNet_Usage_Actual_2[Description],"Usage per customer")*SUM(
IFERROR(O448/100*SUMIFS(Input_TUNet_Props[F-NextVDO_Input],Input_TUNet_Props[Customer type],Calc_TUV_Net_2[[#This Row],[Customer type]],Input_TUNet_Props[Usage type],"Peak"),0),
IFERROR(O449/100*SUMIFS(Input_TUNet_Props[F-NextVDO_Input],Input_TUNet_Props[Customer type],Calc_TUV_Net_2[[#This Row],[Customer type]],Input_TUNet_Props[Usage type],"Off peak"),0))</f>
        <v>101.55913764611948</v>
      </c>
    </row>
    <row r="451" spans="3:15" outlineLevel="1" x14ac:dyDescent="0.25">
      <c r="C451" s="48" t="s">
        <v>310</v>
      </c>
      <c r="D451" s="71" t="str">
        <f>INDEX(Input_DecisionActual[[Actual]:[Actual]],MATCH(Calc_TU_values!$D$235,Input_DecisionActual[[VDO period]:[VDO period]],0),1)</f>
        <v>VDO 2021 - Final</v>
      </c>
      <c r="E451" s="18" t="s">
        <v>354</v>
      </c>
      <c r="F451" s="71" t="str">
        <f>IF($D451="-","-",INDEX(Inputs!$H$10:$Q$10,1,MATCH($D451,Inputs!$H$8:$Q$8,0)))</f>
        <v>F-CurrentVDO_Input</v>
      </c>
      <c r="G451" s="47"/>
      <c r="H451" s="18" t="s">
        <v>66</v>
      </c>
      <c r="I451" s="18" t="s">
        <v>45</v>
      </c>
      <c r="J451" s="48" t="s">
        <v>32</v>
      </c>
      <c r="K451" s="55" cm="1">
        <f t="array" ref="K451">IFERROR(INDEX(Input_ForRateCalc[],MATCH($C451&amp;" - "&amp;K$333,Input_ForRateCalc[[Cost item]:[Cost item]],0),MATCH(Calc_TUV_Net_2[[#This Row],[Decision ref]:[Decision ref]],Input_ForRateCalc[#Headers],0)),"-")</f>
        <v>13.9602</v>
      </c>
      <c r="L451" s="55" t="str" cm="1">
        <f t="array" ref="L451">IFERROR(INDEX(Input_ForRateCalc[],MATCH($C451&amp;" - "&amp;L$333,Input_ForRateCalc[[Cost item]:[Cost item]],0),MATCH(Calc_TUV_Net_2[[#This Row],[Decision ref]:[Decision ref]],Input_ForRateCalc[#Headers],0)),"-")</f>
        <v>-</v>
      </c>
      <c r="M451" s="55" t="str" cm="1">
        <f t="array" ref="M451">IFERROR(INDEX(Input_ForRateCalc[],MATCH($C451&amp;" - "&amp;M$333,Input_ForRateCalc[[Cost item]:[Cost item]],0),MATCH(Calc_TUV_Net_2[[#This Row],[Decision ref]:[Decision ref]],Input_ForRateCalc[#Headers],0)),"-")</f>
        <v>-</v>
      </c>
      <c r="N451" s="55" t="str" cm="1">
        <f t="array" ref="N451">IFERROR(INDEX(Input_ForRateCalc[],MATCH($C451&amp;" - "&amp;N$333,Input_ForRateCalc[[Cost item]:[Cost item]],0),MATCH(Calc_TUV_Net_2[[#This Row],[Decision ref]:[Decision ref]],Input_ForRateCalc[#Headers],0)),"-")</f>
        <v>-</v>
      </c>
      <c r="O451" s="55" t="str" cm="1">
        <f t="array" ref="O451">IFERROR(INDEX(Input_ForRateCalc[],MATCH($C451&amp;" - "&amp;O$333,Input_ForRateCalc[[Cost item]:[Cost item]],0),MATCH(Calc_TUV_Net_2[[#This Row],[Decision ref]:[Decision ref]],Input_ForRateCalc[#Headers],0)),"-")</f>
        <v>-</v>
      </c>
    </row>
    <row r="452" spans="3:15" outlineLevel="1" x14ac:dyDescent="0.25">
      <c r="C452" s="48" t="s">
        <v>311</v>
      </c>
      <c r="D452" s="71" t="str">
        <f>INDEX(Input_DecisionActual[[Actual]:[Actual]],MATCH(Calc_TU_values!$D$235,Input_DecisionActual[[VDO period]:[VDO period]],0),1)</f>
        <v>VDO 2021 - Final</v>
      </c>
      <c r="E452" s="18" t="s">
        <v>354</v>
      </c>
      <c r="F452" s="71" t="str">
        <f>IF($D452="-","-",INDEX(Inputs!$H$10:$Q$10,1,MATCH($D452,Inputs!$H$8:$Q$8,0)))</f>
        <v>F-CurrentVDO_Input</v>
      </c>
      <c r="G452" s="47"/>
      <c r="H452" s="18" t="s">
        <v>66</v>
      </c>
      <c r="I452" s="18" t="s">
        <v>101</v>
      </c>
      <c r="J452" s="48" t="s">
        <v>32</v>
      </c>
      <c r="K452" s="55" cm="1">
        <f t="array" ref="K452">IFERROR(INDEX(Input_ForRateCalc[],MATCH($C452&amp;" - "&amp;K$333,Input_ForRateCalc[[Cost item]:[Cost item]],0),MATCH(Calc_TUV_Net_2[[#This Row],[Decision ref]:[Decision ref]],Input_ForRateCalc[#Headers],0)),"-")</f>
        <v>16.934899999999999</v>
      </c>
      <c r="L452" s="55" t="str" cm="1">
        <f t="array" ref="L452">IFERROR(INDEX(Input_ForRateCalc[],MATCH($C452&amp;" - "&amp;L$333,Input_ForRateCalc[[Cost item]:[Cost item]],0),MATCH(Calc_TUV_Net_2[[#This Row],[Decision ref]:[Decision ref]],Input_ForRateCalc[#Headers],0)),"-")</f>
        <v>-</v>
      </c>
      <c r="M452" s="55" t="str" cm="1">
        <f t="array" ref="M452">IFERROR(INDEX(Input_ForRateCalc[],MATCH($C452&amp;" - "&amp;M$333,Input_ForRateCalc[[Cost item]:[Cost item]],0),MATCH(Calc_TUV_Net_2[[#This Row],[Decision ref]:[Decision ref]],Input_ForRateCalc[#Headers],0)),"-")</f>
        <v>-</v>
      </c>
      <c r="N452" s="55" t="str" cm="1">
        <f t="array" ref="N452">IFERROR(INDEX(Input_ForRateCalc[],MATCH($C452&amp;" - "&amp;N$333,Input_ForRateCalc[[Cost item]:[Cost item]],0),MATCH(Calc_TUV_Net_2[[#This Row],[Decision ref]:[Decision ref]],Input_ForRateCalc[#Headers],0)),"-")</f>
        <v>-</v>
      </c>
      <c r="O452" s="55" t="str" cm="1">
        <f t="array" ref="O452">IFERROR(INDEX(Input_ForRateCalc[],MATCH($C452&amp;" - "&amp;O$333,Input_ForRateCalc[[Cost item]:[Cost item]],0),MATCH(Calc_TUV_Net_2[[#This Row],[Decision ref]:[Decision ref]],Input_ForRateCalc[#Headers],0)),"-")</f>
        <v>-</v>
      </c>
    </row>
    <row r="453" spans="3:15" outlineLevel="1" x14ac:dyDescent="0.25">
      <c r="C453" s="48" t="s">
        <v>312</v>
      </c>
      <c r="D453" s="71" t="str">
        <f>INDEX(Input_DecisionActual[[Actual]:[Actual]],MATCH(Calc_TU_values!$D$235,Input_DecisionActual[[VDO period]:[VDO period]],0),1)</f>
        <v>VDO 2021 - Final</v>
      </c>
      <c r="E453" s="18" t="s">
        <v>354</v>
      </c>
      <c r="F453" s="71" t="str">
        <f>IF($D453="-","-",INDEX(Inputs!$H$10:$Q$10,1,MATCH($D453,Inputs!$H$8:$Q$8,0)))</f>
        <v>F-CurrentVDO_Input</v>
      </c>
      <c r="G453" s="47"/>
      <c r="H453" s="18" t="s">
        <v>66</v>
      </c>
      <c r="I453" s="18" t="s">
        <v>101</v>
      </c>
      <c r="J453" s="48" t="s">
        <v>32</v>
      </c>
      <c r="K453" s="55" t="str" cm="1">
        <f t="array" ref="K453">IFERROR(INDEX(Input_ForRateCalc[],MATCH($C453&amp;" - "&amp;K$333,Input_ForRateCalc[[Cost item]:[Cost item]],0),MATCH(Calc_TUV_Net_2[[#This Row],[Decision ref]:[Decision ref]],Input_ForRateCalc[#Headers],0)),"-")</f>
        <v>-</v>
      </c>
      <c r="L453" s="55" cm="1">
        <f t="array" ref="L453">IFERROR(INDEX(Input_ForRateCalc[],MATCH($C453&amp;" - "&amp;L$333,Input_ForRateCalc[[Cost item]:[Cost item]],0),MATCH(Calc_TUV_Net_2[[#This Row],[Decision ref]:[Decision ref]],Input_ForRateCalc[#Headers],0)),"-")</f>
        <v>7.54</v>
      </c>
      <c r="M453" s="55" cm="1">
        <f t="array" ref="M453">IFERROR(INDEX(Input_ForRateCalc[],MATCH($C453&amp;" - "&amp;M$333,Input_ForRateCalc[[Cost item]:[Cost item]],0),MATCH(Calc_TUV_Net_2[[#This Row],[Decision ref]:[Decision ref]],Input_ForRateCalc[#Headers],0)),"-")</f>
        <v>9.3260000000000005</v>
      </c>
      <c r="N453" s="55" cm="1">
        <f t="array" ref="N453">IFERROR(INDEX(Input_ForRateCalc[],MATCH($C453&amp;" - "&amp;N$333,Input_ForRateCalc[[Cost item]:[Cost item]],0),MATCH(Calc_TUV_Net_2[[#This Row],[Decision ref]:[Decision ref]],Input_ForRateCalc[#Headers],0)),"-")</f>
        <v>8.44</v>
      </c>
      <c r="O453" s="55" cm="1">
        <f t="array" ref="O453">IFERROR(INDEX(Input_ForRateCalc[],MATCH($C453&amp;" - "&amp;O$333,Input_ForRateCalc[[Cost item]:[Cost item]],0),MATCH(Calc_TUV_Net_2[[#This Row],[Decision ref]:[Decision ref]],Input_ForRateCalc[#Headers],0)),"-")</f>
        <v>9.27</v>
      </c>
    </row>
    <row r="454" spans="3:15" outlineLevel="1" x14ac:dyDescent="0.25">
      <c r="C454" s="48" t="s">
        <v>254</v>
      </c>
      <c r="D454" s="71" t="str">
        <f>INDEX(Input_DecisionActual[[Actual]:[Actual]],MATCH(Calc_TU_values!$D$235,Input_DecisionActual[[VDO period]:[VDO period]],0),1)</f>
        <v>VDO 2021 - Final</v>
      </c>
      <c r="E454" s="18" t="s">
        <v>354</v>
      </c>
      <c r="F454" s="71" t="str">
        <f>IF($D454="-","-",INDEX(Inputs!$H$10:$Q$10,1,MATCH($D454,Inputs!$H$8:$Q$8,0)))</f>
        <v>F-CurrentVDO_Input</v>
      </c>
      <c r="G454" s="47"/>
      <c r="H454" s="18" t="s">
        <v>66</v>
      </c>
      <c r="I454" s="18" t="s">
        <v>101</v>
      </c>
      <c r="J454" s="48" t="s">
        <v>32</v>
      </c>
      <c r="K454" s="56">
        <f>SUM(
IFERROR(K451/100*SUMIFS(INDEX(TUNet_Usage_PerRate_2[],0,MATCH(K$333,TUNet_Usage_PerRate_2[#Headers],0)),TUNet_Usage_PerRate_2[Customer type],Calc_TUV_Net_2[[#This Row],[Customer type]],TUNet_Usage_PerRate_2[Description],"Usage per customer - Block 1"),0),
IFERROR(K452/100*SUMIFS(INDEX(TUNet_Usage_PerRate_2[],0,MATCH(K$333,TUNet_Usage_PerRate_2[#Headers],0)),TUNet_Usage_PerRate_2[Customer type],Calc_TUV_Net_2[[#This Row],[Customer type]],TUNet_Usage_PerRate_2[Description],"Usage per customer - Balance"),0),
IFERROR(K453/100*SUMIFS(INDEX(TUNet_Usage_PerRate_2[],0,MATCH(K$333,TUNet_Usage_PerRate_2[#Headers],0)),TUNet_Usage_PerRate_2[Customer type],Calc_TUV_Net_2[[#This Row],[Customer type]],TUNet_Usage_PerRate_2[Description],"Usage per customer - Single rate"),0))</f>
        <v>173.40798182666791</v>
      </c>
      <c r="L454" s="56">
        <f>SUM(
IFERROR(L451/100*SUMIFS(INDEX(TUNet_Usage_PerRate_2[],0,MATCH(L$333,TUNet_Usage_PerRate_2[#Headers],0)),TUNet_Usage_PerRate_2[Customer type],Calc_TUV_Net_2[[#This Row],[Customer type]],TUNet_Usage_PerRate_2[Description],"Usage per customer - Block 1"),0),
IFERROR(L452/100*SUMIFS(INDEX(TUNet_Usage_PerRate_2[],0,MATCH(L$333,TUNet_Usage_PerRate_2[#Headers],0)),TUNet_Usage_PerRate_2[Customer type],Calc_TUV_Net_2[[#This Row],[Customer type]],TUNet_Usage_PerRate_2[Description],"Usage per customer - Balance"),0),
IFERROR(L453/100*SUMIFS(INDEX(TUNet_Usage_PerRate_2[],0,MATCH(L$333,TUNet_Usage_PerRate_2[#Headers],0)),TUNet_Usage_PerRate_2[Customer type],Calc_TUV_Net_2[[#This Row],[Customer type]],TUNet_Usage_PerRate_2[Description],"Usage per customer - Single rate"),0))</f>
        <v>90.716473706551298</v>
      </c>
      <c r="M454" s="56">
        <f>SUM(
IFERROR(M451/100*SUMIFS(INDEX(TUNet_Usage_PerRate_2[],0,MATCH(M$333,TUNet_Usage_PerRate_2[#Headers],0)),TUNet_Usage_PerRate_2[Customer type],Calc_TUV_Net_2[[#This Row],[Customer type]],TUNet_Usage_PerRate_2[Description],"Usage per customer - Block 1"),0),
IFERROR(M452/100*SUMIFS(INDEX(TUNet_Usage_PerRate_2[],0,MATCH(M$333,TUNet_Usage_PerRate_2[#Headers],0)),TUNet_Usage_PerRate_2[Customer type],Calc_TUV_Net_2[[#This Row],[Customer type]],TUNet_Usage_PerRate_2[Description],"Usage per customer - Balance"),0),
IFERROR(M453/100*SUMIFS(INDEX(TUNet_Usage_PerRate_2[],0,MATCH(M$333,TUNet_Usage_PerRate_2[#Headers],0)),TUNet_Usage_PerRate_2[Customer type],Calc_TUV_Net_2[[#This Row],[Customer type]],TUNet_Usage_PerRate_2[Description],"Usage per customer - Single rate"),0))</f>
        <v>112.20448723969464</v>
      </c>
      <c r="N454" s="56">
        <f>SUM(
IFERROR(N451/100*SUMIFS(INDEX(TUNet_Usage_PerRate_2[],0,MATCH(N$333,TUNet_Usage_PerRate_2[#Headers],0)),TUNet_Usage_PerRate_2[Customer type],Calc_TUV_Net_2[[#This Row],[Customer type]],TUNet_Usage_PerRate_2[Description],"Usage per customer - Block 1"),0),
IFERROR(N452/100*SUMIFS(INDEX(TUNet_Usage_PerRate_2[],0,MATCH(N$333,TUNet_Usage_PerRate_2[#Headers],0)),TUNet_Usage_PerRate_2[Customer type],Calc_TUV_Net_2[[#This Row],[Customer type]],TUNet_Usage_PerRate_2[Description],"Usage per customer - Balance"),0),
IFERROR(N453/100*SUMIFS(INDEX(TUNet_Usage_PerRate_2[],0,MATCH(N$333,TUNet_Usage_PerRate_2[#Headers],0)),TUNet_Usage_PerRate_2[Customer type],Calc_TUV_Net_2[[#This Row],[Customer type]],TUNet_Usage_PerRate_2[Description],"Usage per customer - Single rate"),0))</f>
        <v>101.54470001104681</v>
      </c>
      <c r="O454" s="56">
        <f>SUM(
IFERROR(O451/100*SUMIFS(INDEX(TUNet_Usage_PerRate_2[],0,MATCH(O$333,TUNet_Usage_PerRate_2[#Headers],0)),TUNet_Usage_PerRate_2[Customer type],Calc_TUV_Net_2[[#This Row],[Customer type]],TUNet_Usage_PerRate_2[Description],"Usage per customer - Block 1"),0),
IFERROR(O452/100*SUMIFS(INDEX(TUNet_Usage_PerRate_2[],0,MATCH(O$333,TUNet_Usage_PerRate_2[#Headers],0)),TUNet_Usage_PerRate_2[Customer type],Calc_TUV_Net_2[[#This Row],[Customer type]],TUNet_Usage_PerRate_2[Description],"Usage per customer - Balance"),0),
IFERROR(O453/100*SUMIFS(INDEX(TUNet_Usage_PerRate_2[],0,MATCH(O$333,TUNet_Usage_PerRate_2[#Headers],0)),TUNet_Usage_PerRate_2[Customer type],Calc_TUV_Net_2[[#This Row],[Customer type]],TUNet_Usage_PerRate_2[Description],"Usage per customer - Single rate"),0))</f>
        <v>111.53073093630378</v>
      </c>
    </row>
    <row r="455" spans="3:15" outlineLevel="1" x14ac:dyDescent="0.25">
      <c r="C455" s="48" t="s">
        <v>255</v>
      </c>
      <c r="D455" s="48"/>
      <c r="E455" s="48"/>
      <c r="F455" s="48"/>
      <c r="G455" s="48"/>
      <c r="H455" s="18" t="s">
        <v>66</v>
      </c>
      <c r="I455" s="18" t="s">
        <v>45</v>
      </c>
      <c r="J455" s="48" t="s">
        <v>32</v>
      </c>
      <c r="K455" s="54">
        <f>IF(K454=0,"-",K450-K454)</f>
        <v>-44.014058300826008</v>
      </c>
      <c r="L455" s="54">
        <f t="shared" ref="L455:O455" si="156">IF(L454=0,"-",L450-L454)</f>
        <v>3.774238435244726</v>
      </c>
      <c r="M455" s="54">
        <f t="shared" si="156"/>
        <v>-8.9909169278738545</v>
      </c>
      <c r="N455" s="54">
        <f t="shared" si="156"/>
        <v>5.53803618662144</v>
      </c>
      <c r="O455" s="54">
        <f t="shared" si="156"/>
        <v>-9.9715932901843018</v>
      </c>
    </row>
    <row r="456" spans="3:15" outlineLevel="1" x14ac:dyDescent="0.25">
      <c r="C456" s="48" t="s">
        <v>296</v>
      </c>
      <c r="D456" s="48"/>
      <c r="E456" s="48"/>
      <c r="F456" s="48"/>
      <c r="G456" s="48"/>
      <c r="H456" s="18" t="s">
        <v>66</v>
      </c>
      <c r="I456" s="18" t="s">
        <v>45</v>
      </c>
      <c r="J456" s="48" t="s">
        <v>32</v>
      </c>
      <c r="K456" s="55" t="str">
        <f>IF($D$311="Yes",K455*(1+WACC_adj_2),"")</f>
        <v/>
      </c>
      <c r="L456" s="55" t="str">
        <f>IF($D$311="Yes",L455*(1+WACC_adj_2),"")</f>
        <v/>
      </c>
      <c r="M456" s="55" t="str">
        <f>IF($D$311="Yes",M455*(1+WACC_adj_2),"")</f>
        <v/>
      </c>
      <c r="N456" s="55" t="str">
        <f>IF($D$311="Yes",N455*(1+WACC_adj_2),"")</f>
        <v/>
      </c>
      <c r="O456" s="55" t="str">
        <f>IF($D$311="Yes",O455*(1+WACC_adj_2),"")</f>
        <v/>
      </c>
    </row>
    <row r="457" spans="3:15" outlineLevel="1" x14ac:dyDescent="0.25">
      <c r="C457" s="48" t="s">
        <v>257</v>
      </c>
      <c r="D457" s="71" t="str">
        <f>INDEX(Input_DecisionActual[[Actual]:[Actual]],MATCH(Calc_TU_values!$D$235,Input_DecisionActual[[VDO period]:[VDO period]],0),1)</f>
        <v>VDO 2021 - Final</v>
      </c>
      <c r="E457" s="18" t="s">
        <v>354</v>
      </c>
      <c r="F457" s="71" t="str">
        <f>IF($D457="-","-",INDEX(Inputs!$H$10:$Q$10,1,MATCH($D457,Inputs!$H$8:$Q$8,0)))</f>
        <v>F-CurrentVDO_Input</v>
      </c>
      <c r="G457" s="48"/>
      <c r="H457" s="18" t="s">
        <v>66</v>
      </c>
      <c r="I457" s="18" t="s">
        <v>45</v>
      </c>
      <c r="J457" s="48" t="s">
        <v>32</v>
      </c>
      <c r="K457" s="55" cm="1">
        <f t="array" ref="K457">IFERROR(SUM(K455:K456)*(INDEX(Inputs!$H$11:$Q$125,MATCH("Retail operating margin",Input_ForRateCalc[[Cost item]:[Cost item]],0),MATCH(Calc_TUV_Net_2[[#This Row],[Decision ref]:[Decision ref]],Inputs!$H$10:$Q$10,0))),"-")</f>
        <v>-2.6584491213698911</v>
      </c>
      <c r="L457" s="55" cm="1">
        <f t="array" ref="L457">IFERROR(SUM(L455:L456)*(INDEX(Inputs!$H$11:$Q$125,MATCH("Retail operating margin",Input_ForRateCalc[[Cost item]:[Cost item]],0),MATCH(Calc_TUV_Net_2[[#This Row],[Decision ref]:[Decision ref]],Inputs!$H$10:$Q$10,0))),"-")</f>
        <v>0.22796400148878146</v>
      </c>
      <c r="M457" s="55" cm="1">
        <f t="array" ref="M457">IFERROR(SUM(M455:M456)*(INDEX(Inputs!$H$11:$Q$125,MATCH("Retail operating margin",Input_ForRateCalc[[Cost item]:[Cost item]],0),MATCH(Calc_TUV_Net_2[[#This Row],[Decision ref]:[Decision ref]],Inputs!$H$10:$Q$10,0))),"-")</f>
        <v>-0.54305138244358087</v>
      </c>
      <c r="N457" s="55" cm="1">
        <f t="array" ref="N457">IFERROR(SUM(N455:N456)*(INDEX(Inputs!$H$11:$Q$125,MATCH("Retail operating margin",Input_ForRateCalc[[Cost item]:[Cost item]],0),MATCH(Calc_TUV_Net_2[[#This Row],[Decision ref]:[Decision ref]],Inputs!$H$10:$Q$10,0))),"-")</f>
        <v>0.33449738567193499</v>
      </c>
      <c r="O457" s="55" cm="1">
        <f t="array" ref="O457">IFERROR(SUM(O455:O456)*(INDEX(Inputs!$H$11:$Q$125,MATCH("Retail operating margin",Input_ForRateCalc[[Cost item]:[Cost item]],0),MATCH(Calc_TUV_Net_2[[#This Row],[Decision ref]:[Decision ref]],Inputs!$H$10:$Q$10,0))),"-")</f>
        <v>-0.60228423472713188</v>
      </c>
    </row>
    <row r="458" spans="3:15" outlineLevel="1" x14ac:dyDescent="0.25">
      <c r="C458" s="48" t="s">
        <v>297</v>
      </c>
      <c r="D458" s="48"/>
      <c r="E458" s="48"/>
      <c r="F458" s="48"/>
      <c r="G458" s="48"/>
      <c r="H458" s="18" t="s">
        <v>66</v>
      </c>
      <c r="I458" s="18" t="s">
        <v>45</v>
      </c>
      <c r="J458" s="48" t="s">
        <v>32</v>
      </c>
      <c r="K458" s="55">
        <f>IF(K454=0,"-",SUM(K455:K457)*GST)</f>
        <v>-4.6672507422195899</v>
      </c>
      <c r="L458" s="55">
        <f>IF(L454=0,"-",SUM(L455:L457)*GST)</f>
        <v>0.4002202436733508</v>
      </c>
      <c r="M458" s="55">
        <f>IF(M454=0,"-",SUM(M455:M457)*GST)</f>
        <v>-0.95339683103174355</v>
      </c>
      <c r="N458" s="55">
        <f>IF(N454=0,"-",SUM(N455:N457)*GST)</f>
        <v>0.58725335722933758</v>
      </c>
      <c r="O458" s="55">
        <f>IF(O454=0,"-",SUM(O455:O457)*GST)</f>
        <v>-1.0573877524911433</v>
      </c>
    </row>
    <row r="459" spans="3:15" outlineLevel="1" x14ac:dyDescent="0.25">
      <c r="C459" s="18" t="s">
        <v>326</v>
      </c>
      <c r="D459" s="48"/>
      <c r="E459" s="48"/>
      <c r="F459" s="48"/>
      <c r="H459" s="18" t="s">
        <v>66</v>
      </c>
      <c r="I459" s="18" t="s">
        <v>45</v>
      </c>
      <c r="J459" s="48" t="s">
        <v>32</v>
      </c>
      <c r="K459" s="55">
        <f>IF(K454=0,"-",SUM(K455:K458))</f>
        <v>-51.339758164415485</v>
      </c>
      <c r="L459" s="55">
        <f t="shared" ref="L459" si="157">IF(L454=0,"-",SUM(L455:L458))</f>
        <v>4.4024226804068585</v>
      </c>
      <c r="M459" s="55">
        <f t="shared" ref="M459" si="158">IF(M454=0,"-",SUM(M455:M458))</f>
        <v>-10.48736514134918</v>
      </c>
      <c r="N459" s="55">
        <f t="shared" ref="N459" si="159">IF(N454=0,"-",SUM(N455:N458))</f>
        <v>6.4597869295227124</v>
      </c>
      <c r="O459" s="55">
        <f t="shared" ref="O459" si="160">IF(O454=0,"-",SUM(O455:O458))</f>
        <v>-11.631265277402576</v>
      </c>
    </row>
    <row r="460" spans="3:15" outlineLevel="1" x14ac:dyDescent="0.25">
      <c r="C460" s="46"/>
      <c r="D460" s="46"/>
      <c r="E460" s="46"/>
      <c r="F460" s="46"/>
      <c r="G460" s="57"/>
      <c r="H460" s="57"/>
      <c r="I460" s="48"/>
      <c r="J460" s="48"/>
      <c r="K460" s="55"/>
      <c r="L460" s="48"/>
      <c r="M460" s="48"/>
      <c r="N460" s="48"/>
      <c r="O460" s="48"/>
    </row>
    <row r="461" spans="3:15" outlineLevel="1" x14ac:dyDescent="0.25"/>
    <row r="462" spans="3:15" outlineLevel="1" x14ac:dyDescent="0.25"/>
    <row r="463" spans="3:15" outlineLevel="1" x14ac:dyDescent="0.25"/>
    <row r="464" spans="3:15" outlineLevel="1" x14ac:dyDescent="0.25"/>
    <row r="465" outlineLevel="1" x14ac:dyDescent="0.25"/>
    <row r="466" outlineLevel="1" x14ac:dyDescent="0.25"/>
    <row r="467" outlineLevel="1" x14ac:dyDescent="0.25"/>
    <row r="468" outlineLevel="1" x14ac:dyDescent="0.25"/>
    <row r="469" outlineLevel="1" x14ac:dyDescent="0.25"/>
  </sheetData>
  <sheetProtection algorithmName="SHA-512" hashValue="OB2R4GTK+VU8dJrnqCLqosnOhnUrfAktsHpeX1v8UYQ2eYHnKN+AaeG8AOuRKYITujygcSx7HBkZ8KpTc1UlnA==" saltValue="vorL+dRuKfDYtYSFVAarYw==" spinCount="100000" sheet="1" objects="1" scenarios="1"/>
  <mergeCells count="1">
    <mergeCell ref="A2:A3"/>
  </mergeCells>
  <phoneticPr fontId="30" type="noConversion"/>
  <dataValidations disablePrompts="1" count="2">
    <dataValidation type="list" allowBlank="1" showInputMessage="1" showErrorMessage="1" sqref="G460:I460 G376:I376 G17:G23 G261:G267 H17:I17 G31:G37 H31:I31 H261:I261 G45:G51 H45:I45 G275:G281 D311 G391:G397 G403:I404 H406:I406 H275:I275 D81 G247:G253 G337:G342 G419 G377:G382 G389 G230:I230 G449:G454 H247:I247 G405:G412 G434:I434 G435:G440 D11 G375 G433 G335 G447 G421:G426 G336:I336 G351:G357 G349 G146:I146 G161:G167 G173:I174 H176:I176 G107:G112 G189 G147:G152 G159 G219:G224 G145 G204:I204 G205:G210 G119 G134 G175:G182 G105 G217 G191:G196 G106:I106 G121:G127 G364 G203 D241" xr:uid="{1AE6ACDE-CA28-4EF7-9893-0F6188807EA2}">
      <formula1>"Yes,No"</formula1>
    </dataValidation>
    <dataValidation type="list" allowBlank="1" showInputMessage="1" showErrorMessage="1" sqref="I16:I57 I104:I230 I293:I304 I62:I73 I246:I287 I334:I460 H276:H287 H248:H260 H262:H274 H18:H30 H32:H44 H377:H402 H46:H57 H205:H229 H407:H432 H435:H459 H337:H374 H147:H172 H177:H202 H107:H144 J276:J287 J248:J260 J262:J274 J18:J30 J32:J44 J337:J374 J46:J57 E58:G58 E231:G231 J377:J402 J407:J432 J435:J459 J293 J299 J296 J302 J177:J202 I10:J12 J205:J229 J107:J144 J147:J172 J75:J76 I240:J242" xr:uid="{E815EA05-8F41-4BAC-860A-D30B0531C615}">
      <formula1>#REF!</formula1>
    </dataValidation>
  </dataValidations>
  <pageMargins left="0.7" right="0.7" top="0.75" bottom="0.75" header="0.3" footer="0.3"/>
  <pageSetup paperSize="9" orientation="portrait" r:id="rId1"/>
  <ignoredErrors>
    <ignoredError sqref="K345:K347 K369:K373 K359:O362 L358:O358" calculatedColumn="1"/>
  </ignoredErrors>
  <tableParts count="8">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6CEB-3301-4A59-8593-A05FFA1D9B81}">
  <sheetPr>
    <tabColor rgb="FF236192"/>
    <outlinePr summaryBelow="0"/>
  </sheetPr>
  <dimension ref="A1:V238"/>
  <sheetViews>
    <sheetView showGridLines="0" topLeftCell="B1" zoomScale="70" zoomScaleNormal="70" workbookViewId="0">
      <pane ySplit="3" topLeftCell="A121" activePane="bottomLeft" state="frozen"/>
      <selection pane="bottomLeft" activeCell="C2" sqref="C2"/>
    </sheetView>
  </sheetViews>
  <sheetFormatPr defaultColWidth="9.140625" defaultRowHeight="15" outlineLevelRow="1" outlineLevelCol="1" x14ac:dyDescent="0.25"/>
  <cols>
    <col min="1" max="1" width="100.7109375" hidden="1" customWidth="1" outlineLevel="1" collapsed="1"/>
    <col min="2" max="2" width="10.7109375" style="6" customWidth="1" collapsed="1"/>
    <col min="3" max="3" width="50.7109375" customWidth="1"/>
    <col min="4" max="12" width="20.7109375" customWidth="1"/>
  </cols>
  <sheetData>
    <row r="1" spans="1:12" ht="15" customHeight="1" x14ac:dyDescent="0.25">
      <c r="A1" s="1" t="s">
        <v>16</v>
      </c>
      <c r="B1" s="16"/>
      <c r="C1" s="17"/>
      <c r="D1" s="100" t="s">
        <v>200</v>
      </c>
      <c r="E1" s="82"/>
      <c r="F1" s="17"/>
      <c r="G1" s="17"/>
      <c r="H1" s="17"/>
      <c r="I1" s="17"/>
      <c r="J1" s="17"/>
      <c r="K1" s="17"/>
      <c r="L1" s="17"/>
    </row>
    <row r="2" spans="1:12" s="4" customFormat="1" ht="50.1" customHeight="1" x14ac:dyDescent="0.25">
      <c r="A2" s="183" t="s">
        <v>17</v>
      </c>
      <c r="B2" s="19"/>
      <c r="C2" s="19" t="str">
        <f>Disclaimer!$B$1</f>
        <v>VDO calculation model</v>
      </c>
      <c r="D2" s="170" t="str">
        <f>$D$5</f>
        <v>VDO 2021 - Variation final</v>
      </c>
      <c r="E2" s="170" t="str">
        <f>$D$123</f>
        <v>VDO 2022 - Draft</v>
      </c>
      <c r="F2" s="19"/>
      <c r="G2" s="19"/>
      <c r="H2" s="19"/>
      <c r="I2" s="19"/>
      <c r="J2" s="19"/>
      <c r="K2" s="19"/>
      <c r="L2" s="19"/>
    </row>
    <row r="3" spans="1:12" s="4" customFormat="1" ht="30" customHeight="1" x14ac:dyDescent="0.25">
      <c r="A3" s="184"/>
      <c r="B3" s="21">
        <f ca="1">_xlfn.SHEET()</f>
        <v>9</v>
      </c>
      <c r="C3" s="20" t="s">
        <v>358</v>
      </c>
      <c r="D3" s="81">
        <f>SUM($H$36:$L$40,$H$88:$L$120)</f>
        <v>0</v>
      </c>
      <c r="E3" s="81">
        <f>SUM($H$154:$L$158,$H$206:$L$238)</f>
        <v>0</v>
      </c>
      <c r="F3" s="20"/>
      <c r="G3" s="20"/>
      <c r="H3" s="20"/>
      <c r="I3" s="20"/>
      <c r="J3" s="20"/>
      <c r="K3" s="20"/>
      <c r="L3" s="20"/>
    </row>
    <row r="4" spans="1:12" x14ac:dyDescent="0.25">
      <c r="B4"/>
    </row>
    <row r="5" spans="1:12" ht="15.75" x14ac:dyDescent="0.25">
      <c r="B5"/>
      <c r="C5" s="43" t="s">
        <v>36</v>
      </c>
      <c r="D5" s="32" t="str">
        <f>Calc_Rates!$D$5</f>
        <v>VDO 2021 - Variation final</v>
      </c>
    </row>
    <row r="6" spans="1:12" x14ac:dyDescent="0.25">
      <c r="B6"/>
    </row>
    <row r="7" spans="1:12" ht="16.5" thickBot="1" x14ac:dyDescent="0.3">
      <c r="B7" s="7">
        <f ca="1">MAX(B$3:B6)+0.1</f>
        <v>9.1</v>
      </c>
      <c r="C7" s="22" t="s">
        <v>357</v>
      </c>
      <c r="D7" s="22"/>
      <c r="E7" s="22"/>
      <c r="F7" s="22"/>
      <c r="G7" s="22"/>
      <c r="H7" s="22"/>
      <c r="I7" s="22"/>
      <c r="J7" s="22"/>
      <c r="K7" s="22"/>
      <c r="L7" s="22"/>
    </row>
    <row r="8" spans="1:12" ht="15.75" outlineLevel="1" x14ac:dyDescent="0.25">
      <c r="C8" s="23"/>
    </row>
    <row r="9" spans="1:12" ht="15.75" outlineLevel="1" x14ac:dyDescent="0.25">
      <c r="C9" s="23" t="s">
        <v>413</v>
      </c>
    </row>
    <row r="10" spans="1:12" ht="15.75" outlineLevel="1" x14ac:dyDescent="0.25">
      <c r="C10" s="111" t="s">
        <v>24</v>
      </c>
      <c r="D10" s="111" t="s">
        <v>37</v>
      </c>
      <c r="E10" s="111" t="s">
        <v>38</v>
      </c>
      <c r="F10" s="111" t="s">
        <v>30</v>
      </c>
      <c r="G10" s="111" t="s">
        <v>23</v>
      </c>
      <c r="H10" s="112" t="s">
        <v>204</v>
      </c>
      <c r="I10" s="112" t="s">
        <v>205</v>
      </c>
      <c r="J10" s="112" t="s">
        <v>206</v>
      </c>
      <c r="K10" s="112" t="s">
        <v>207</v>
      </c>
      <c r="L10" s="112" t="s">
        <v>208</v>
      </c>
    </row>
    <row r="11" spans="1:12" outlineLevel="1" x14ac:dyDescent="0.25">
      <c r="C11" s="18" t="str">
        <f>IF(COUNTIFS(Calc_TUV_Net_1[Pass through (Yes/No)],"Yes",Calc_TUV_Net_1[Cost item],"Anytime - "&amp;Calc_TUV_NetGroup_1[[#This Row],[Customer type]])=1,"Anytime - supply","-")</f>
        <v>-</v>
      </c>
      <c r="D11" s="18" t="s">
        <v>44</v>
      </c>
      <c r="E11" s="116" t="s">
        <v>45</v>
      </c>
      <c r="F11" s="18" t="s">
        <v>31</v>
      </c>
      <c r="G11" s="18" t="s">
        <v>57</v>
      </c>
      <c r="H11" s="121">
        <f>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1" s="121" cm="1">
        <f t="array" ref="I11">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1" s="121" cm="1">
        <f t="array" ref="J11">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1" s="121" cm="1">
        <f t="array" ref="K11">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1" s="121" cm="1">
        <f t="array" ref="L11">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2" spans="1:12" outlineLevel="1" x14ac:dyDescent="0.25">
      <c r="C12" s="18" t="str">
        <f>IF(COUNTIFS(Calc_TUV_Net_1[Pass through (Yes/No)],"Yes",Calc_TUV_Net_1[Cost item],"Anytime - "&amp;Calc_TUV_NetGroup_1[[#This Row],[Customer type]])=1,"Anytime - usage","-")</f>
        <v>-</v>
      </c>
      <c r="D12" s="18" t="s">
        <v>66</v>
      </c>
      <c r="E12" s="116" t="s">
        <v>45</v>
      </c>
      <c r="F12" s="18" t="s">
        <v>31</v>
      </c>
      <c r="G12" s="18" t="s">
        <v>57</v>
      </c>
      <c r="H12" s="121" cm="1">
        <f t="array" ref="H12">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2" s="121" cm="1">
        <f t="array" ref="I12">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2" s="121" cm="1">
        <f t="array" ref="J12">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2" s="121" cm="1">
        <f t="array" ref="K12">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2" s="121" cm="1">
        <f t="array" ref="L12">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3" spans="1:12" outlineLevel="1" x14ac:dyDescent="0.25">
      <c r="C13" s="18" t="str">
        <f>IF(COUNTIFS(Calc_TUV_Net_1[Pass through (Yes/No)],"Yes",Calc_TUV_Net_1[Cost item],"Anytime - "&amp;Calc_TUV_NetGroup_1[[#This Row],[Customer type]])=1,"Anytime - supply","-")</f>
        <v>-</v>
      </c>
      <c r="D13" s="18" t="s">
        <v>44</v>
      </c>
      <c r="E13" s="116" t="s">
        <v>45</v>
      </c>
      <c r="F13" s="18" t="s">
        <v>32</v>
      </c>
      <c r="G13" s="18" t="s">
        <v>57</v>
      </c>
      <c r="H13" s="121" cm="1">
        <f t="array" ref="H13">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3" s="121" cm="1">
        <f t="array" ref="I13">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3" s="121" cm="1">
        <f t="array" ref="J13">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3" s="121" cm="1">
        <f t="array" ref="K13">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3" s="121" cm="1">
        <f t="array" ref="L13">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4" spans="1:12" outlineLevel="1" x14ac:dyDescent="0.25">
      <c r="C14" s="18" t="str">
        <f>IF(COUNTIFS(Calc_TUV_Net_1[Pass through (Yes/No)],"Yes",Calc_TUV_Net_1[Cost item],"Anytime - "&amp;Calc_TUV_NetGroup_1[[#This Row],[Customer type]])=1,"Anytime - usage","-")</f>
        <v>-</v>
      </c>
      <c r="D14" s="18" t="s">
        <v>66</v>
      </c>
      <c r="E14" s="116" t="s">
        <v>45</v>
      </c>
      <c r="F14" s="18" t="s">
        <v>32</v>
      </c>
      <c r="G14" s="18" t="s">
        <v>57</v>
      </c>
      <c r="H14" s="121" cm="1">
        <f t="array" ref="H14">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4" s="121" cm="1">
        <f t="array" ref="I14">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4" s="121" cm="1">
        <f t="array" ref="J14">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4" s="121" cm="1">
        <f t="array" ref="K14">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4" s="121" cm="1">
        <f t="array" ref="L14">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5" spans="1:12" outlineLevel="1" x14ac:dyDescent="0.25">
      <c r="C15" s="18" t="str">
        <f>IF(COUNTIFS(Calc_TUV_Net_1[Pass through (Yes/No)],"Yes",Calc_TUV_Net_1[Cost item],"Controlled load cost - "&amp;Calc_TUV_NetGroup_1[[#This Row],[Customer type]])=1,"Controlled load - usage","-")</f>
        <v>-</v>
      </c>
      <c r="D15" s="18" t="s">
        <v>66</v>
      </c>
      <c r="E15" s="116" t="s">
        <v>45</v>
      </c>
      <c r="F15" s="18" t="s">
        <v>31</v>
      </c>
      <c r="G15" s="18" t="s">
        <v>57</v>
      </c>
      <c r="H15" s="121" cm="1">
        <f t="array" ref="H15">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5" s="121" cm="1">
        <f t="array" ref="I15">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5" s="121" cm="1">
        <f t="array" ref="J15">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5" s="121" cm="1">
        <f t="array" ref="K15">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5" s="121" cm="1">
        <f t="array" ref="L15">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6" spans="1:12" outlineLevel="1" x14ac:dyDescent="0.25">
      <c r="C16" s="18" t="str">
        <f>IF(COUNTIFS(Calc_TUV_Net_1[Pass through (Yes/No)],"Yes",Calc_TUV_Net_1[Cost item],"TOU - "&amp;Calc_TUV_NetGroup_1[[#This Row],[Customer type]])=1,"TOU - supply","-")</f>
        <v>-</v>
      </c>
      <c r="D16" s="18" t="s">
        <v>44</v>
      </c>
      <c r="E16" s="116" t="s">
        <v>45</v>
      </c>
      <c r="F16" s="18" t="s">
        <v>31</v>
      </c>
      <c r="G16" s="18" t="s">
        <v>57</v>
      </c>
      <c r="H16" s="121" cm="1">
        <f t="array" ref="H16">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6" s="121" cm="1">
        <f t="array" ref="I16">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6" s="121" cm="1">
        <f t="array" ref="J16">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6" s="121" cm="1">
        <f t="array" ref="K16">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6" s="121" cm="1">
        <f t="array" ref="L16">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7" spans="3:12" outlineLevel="1" x14ac:dyDescent="0.25">
      <c r="C17" s="18" t="str">
        <f>IF(COUNTIFS(Calc_TUV_Net_1[Pass through (Yes/No)],"Yes",Calc_TUV_Net_1[Cost item],"TOU - "&amp;Calc_TUV_NetGroup_1[[#This Row],[Customer type]])=1,"TOU - usage","-")</f>
        <v>-</v>
      </c>
      <c r="D17" s="18" t="s">
        <v>66</v>
      </c>
      <c r="E17" s="116" t="s">
        <v>45</v>
      </c>
      <c r="F17" s="18" t="s">
        <v>31</v>
      </c>
      <c r="G17" s="18" t="s">
        <v>57</v>
      </c>
      <c r="H17" s="121" cm="1">
        <f t="array" ref="H17">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7" s="121" cm="1">
        <f t="array" ref="I17">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7" s="121" cm="1">
        <f t="array" ref="J17">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7" s="121" cm="1">
        <f t="array" ref="K17">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7" s="121" cm="1">
        <f t="array" ref="L17">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8" spans="3:12" outlineLevel="1" x14ac:dyDescent="0.25">
      <c r="C18" s="18" t="str">
        <f>IF(COUNTIFS(Calc_TUV_Net_1[Pass through (Yes/No)],"Yes",Calc_TUV_Net_1[Cost item],"TOU - "&amp;Calc_TUV_NetGroup_1[[#This Row],[Customer type]])=1,"TOU - supply","-")</f>
        <v>-</v>
      </c>
      <c r="D18" s="18" t="s">
        <v>44</v>
      </c>
      <c r="E18" s="116" t="s">
        <v>45</v>
      </c>
      <c r="F18" s="18" t="s">
        <v>32</v>
      </c>
      <c r="G18" s="18" t="s">
        <v>57</v>
      </c>
      <c r="H18" s="121" cm="1">
        <f t="array" ref="H18">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8" s="121" cm="1">
        <f t="array" ref="I18">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8" s="121" cm="1">
        <f t="array" ref="J18">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8" s="121" cm="1">
        <f t="array" ref="K18">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8" s="121" cm="1">
        <f t="array" ref="L18">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9" spans="3:12" outlineLevel="1" x14ac:dyDescent="0.25">
      <c r="C19" s="18" t="str">
        <f>IF(COUNTIFS(Calc_TUV_Net_1[Pass through (Yes/No)],"Yes",Calc_TUV_Net_1[Cost item],"TOU - "&amp;Calc_TUV_NetGroup_1[[#This Row],[Customer type]])=1,"TOU - usage","-")</f>
        <v>-</v>
      </c>
      <c r="D19" s="18" t="s">
        <v>66</v>
      </c>
      <c r="E19" s="116" t="s">
        <v>45</v>
      </c>
      <c r="F19" s="18" t="s">
        <v>32</v>
      </c>
      <c r="G19" s="18" t="s">
        <v>57</v>
      </c>
      <c r="H19" s="121" cm="1">
        <f t="array" ref="H19">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9" s="121" cm="1">
        <f t="array" ref="I19">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9" s="121" cm="1">
        <f t="array" ref="J19">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9" s="121" cm="1">
        <f t="array" ref="K19">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9" s="121" cm="1">
        <f t="array" ref="L19">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20" spans="3:12" ht="15.75" outlineLevel="1" x14ac:dyDescent="0.25">
      <c r="C20" s="23"/>
    </row>
    <row r="21" spans="3:12" ht="15.75" outlineLevel="1" x14ac:dyDescent="0.25">
      <c r="C21" s="43" t="s">
        <v>343</v>
      </c>
      <c r="D21" s="71" t="str">
        <f>INDEX(Inputs!$H$10:$Q$10,1,MATCH($D$5,Inputs!$H$8:$Q$8,0))</f>
        <v>VF-CurrentVDO_Input</v>
      </c>
      <c r="E21" s="156" t="str">
        <f>INDEX(Input_TUNet_Dates[[F-CurrentVDO_Input]:[F-NextVDO_Input]],MATCH(Calc_TU_rates!C21,Input_TUNet_Dates[Item],0),MATCH(Calc_TU_rates!D21,Input_TUNet_Dates[[#Headers],[F-CurrentVDO_Input]:[F-NextVDO_Input]],0))</f>
        <v>-</v>
      </c>
    </row>
    <row r="22" spans="3:12" ht="15.75" outlineLevel="1" x14ac:dyDescent="0.25">
      <c r="C22" s="43" t="s">
        <v>344</v>
      </c>
      <c r="D22" s="71" t="str">
        <f>INDEX(Inputs!$H$10:$Q$10,1,MATCH($D$5,Inputs!$H$8:$Q$8,0))</f>
        <v>VF-CurrentVDO_Input</v>
      </c>
      <c r="E22" s="156" t="str">
        <f>INDEX(Input_TUNet_Dates[[F-CurrentVDO_Input]:[F-NextVDO_Input]],MATCH(Calc_TU_rates!C22,Input_TUNet_Dates[Item],0),MATCH(Calc_TU_rates!D22,Input_TUNet_Dates[[#Headers],[F-CurrentVDO_Input]:[F-NextVDO_Input]],0))</f>
        <v>-</v>
      </c>
    </row>
    <row r="23" spans="3:12" ht="15.75" outlineLevel="1" x14ac:dyDescent="0.25">
      <c r="C23" s="23"/>
    </row>
    <row r="24" spans="3:12" ht="15.75" outlineLevel="1" x14ac:dyDescent="0.25">
      <c r="C24" s="43" t="s">
        <v>399</v>
      </c>
      <c r="E24" s="176" t="str">
        <f>IFERROR(_xlfn.DAYS(E22,E21)+1,"-")</f>
        <v>-</v>
      </c>
    </row>
    <row r="25" spans="3:12" ht="15.75" outlineLevel="1" x14ac:dyDescent="0.25">
      <c r="C25" s="23"/>
    </row>
    <row r="26" spans="3:12" ht="15.75" outlineLevel="1" x14ac:dyDescent="0.25">
      <c r="C26" s="23" t="s">
        <v>414</v>
      </c>
    </row>
    <row r="27" spans="3:12" ht="15.75" outlineLevel="1" x14ac:dyDescent="0.25">
      <c r="C27" s="34" t="s">
        <v>308</v>
      </c>
      <c r="D27" s="111" t="s">
        <v>37</v>
      </c>
      <c r="E27" s="111" t="s">
        <v>38</v>
      </c>
      <c r="F27" s="111" t="s">
        <v>30</v>
      </c>
      <c r="G27" s="111" t="s">
        <v>23</v>
      </c>
      <c r="H27" s="112" t="s">
        <v>204</v>
      </c>
      <c r="I27" s="112" t="s">
        <v>205</v>
      </c>
      <c r="J27" s="112" t="s">
        <v>206</v>
      </c>
      <c r="K27" s="112" t="s">
        <v>207</v>
      </c>
      <c r="L27" s="112" t="s">
        <v>208</v>
      </c>
    </row>
    <row r="28" spans="3:12" outlineLevel="1" collapsed="1" x14ac:dyDescent="0.25">
      <c r="C28" s="18" t="s">
        <v>345</v>
      </c>
      <c r="D28" s="18" t="s">
        <v>44</v>
      </c>
      <c r="E28" s="116" t="s">
        <v>45</v>
      </c>
      <c r="F28" s="18" t="s">
        <v>31</v>
      </c>
      <c r="G28" s="18" t="s">
        <v>57</v>
      </c>
      <c r="H28" s="123" t="str" cm="1">
        <f t="array" ref="H28">IFERROR(
(SUMIFS(Calc_TUV_NetGroup_1[Ausnet],
Calc_TUV_NetGroup_1[Cost item],Calc_TUR_Net_1[[#This Row],[Rate type]]&amp;" - supply",
Calc_TUV_NetGroup_1[Customer type],Calc_TUR_Net_1[[#This Row],[Customer type]],
Calc_TUV_NetGroup_1[Cost element],Calc_TUR_Net_1[[#This Row],[Cost element]])+
SUMIFS(Calc_TUV_NetGroup_1[Ausnet],
Calc_TUV_NetGroup_1[Cost item],Calc_TUR_Net_1[[#This Row],[Rate type]]&amp;" - usage",
Calc_TUV_NetGroup_1[Customer type],Calc_TUR_Net_1[[#This Row],[Customer type]],
Calc_TUV_NetGroup_1[Cost element],Calc_TUR_Net_1[[#This Row],[Cost element]]))
/$E$24,"-")</f>
        <v>-</v>
      </c>
      <c r="I28" s="123" t="str" cm="1">
        <f t="array" ref="I28">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28" s="123" t="str" cm="1">
        <f t="array" ref="J28">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28" s="123" t="str" cm="1">
        <f t="array" ref="K28">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28" s="123" t="str" cm="1">
        <f t="array" ref="L28">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29" spans="3:12" outlineLevel="1" x14ac:dyDescent="0.25">
      <c r="C29" s="18" t="s">
        <v>345</v>
      </c>
      <c r="D29" s="18" t="s">
        <v>44</v>
      </c>
      <c r="E29" s="116" t="s">
        <v>45</v>
      </c>
      <c r="F29" s="18" t="s">
        <v>32</v>
      </c>
      <c r="G29" s="18" t="s">
        <v>57</v>
      </c>
      <c r="H29" s="123" t="str" cm="1">
        <f t="array" ref="H29">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29" s="123" t="str" cm="1">
        <f t="array" ref="I29">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29" s="123" t="str" cm="1">
        <f t="array" ref="J29">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29" s="123" t="str" cm="1">
        <f t="array" ref="K29">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29" s="123" t="str" cm="1">
        <f t="array" ref="L29">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0" spans="3:12" outlineLevel="1" x14ac:dyDescent="0.25">
      <c r="C30" s="18" t="s">
        <v>223</v>
      </c>
      <c r="D30" s="18" t="s">
        <v>44</v>
      </c>
      <c r="E30" s="116" t="s">
        <v>45</v>
      </c>
      <c r="F30" s="18" t="s">
        <v>31</v>
      </c>
      <c r="G30" s="18" t="s">
        <v>57</v>
      </c>
      <c r="H30" s="123" t="str" cm="1">
        <f t="array" ref="H30">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30" s="123" t="str" cm="1">
        <f t="array" ref="I30">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30" s="123" t="str" cm="1">
        <f t="array" ref="J30">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30" s="123" t="str" cm="1">
        <f t="array" ref="K30">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30" s="123" t="str" cm="1">
        <f t="array" ref="L30">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1" spans="3:12" outlineLevel="1" x14ac:dyDescent="0.25">
      <c r="C31" s="18" t="s">
        <v>346</v>
      </c>
      <c r="D31" s="18" t="s">
        <v>44</v>
      </c>
      <c r="E31" s="116" t="s">
        <v>45</v>
      </c>
      <c r="F31" s="18" t="s">
        <v>31</v>
      </c>
      <c r="G31" s="18" t="s">
        <v>57</v>
      </c>
      <c r="H31" s="123" t="str" cm="1">
        <f t="array" ref="H31">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31" s="123" t="str" cm="1">
        <f t="array" ref="I31">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31" s="123" t="str" cm="1">
        <f t="array" ref="J31">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31" s="123" t="str" cm="1">
        <f t="array" ref="K31">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31" s="123" t="str" cm="1">
        <f t="array" ref="L31">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2" spans="3:12" outlineLevel="1" x14ac:dyDescent="0.25">
      <c r="C32" s="18" t="s">
        <v>346</v>
      </c>
      <c r="D32" s="18" t="s">
        <v>44</v>
      </c>
      <c r="E32" s="116" t="s">
        <v>45</v>
      </c>
      <c r="F32" s="18" t="s">
        <v>32</v>
      </c>
      <c r="G32" s="18" t="s">
        <v>57</v>
      </c>
      <c r="H32" s="123" t="str" cm="1">
        <f t="array" ref="H32">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32" s="123" t="str" cm="1">
        <f t="array" ref="I32">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32" s="123" t="str" cm="1">
        <f t="array" ref="J32">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32" s="123" t="str" cm="1">
        <f t="array" ref="K32">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32" s="123" t="str" cm="1">
        <f t="array" ref="L32">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3" spans="2:12" outlineLevel="1" x14ac:dyDescent="0.25">
      <c r="C33" s="115"/>
      <c r="D33" s="115"/>
      <c r="E33" s="117"/>
      <c r="F33" s="115"/>
      <c r="G33" s="115"/>
      <c r="H33" s="115"/>
      <c r="I33" s="115"/>
      <c r="J33" s="115"/>
      <c r="K33" s="115"/>
      <c r="L33" s="115"/>
    </row>
    <row r="34" spans="2:12" ht="15.75" outlineLevel="1" x14ac:dyDescent="0.25">
      <c r="C34" s="23" t="s">
        <v>15</v>
      </c>
    </row>
    <row r="35" spans="2:12" ht="15.75" outlineLevel="1" x14ac:dyDescent="0.25">
      <c r="C35" s="110" t="s">
        <v>308</v>
      </c>
      <c r="D35" s="110" t="s">
        <v>37</v>
      </c>
      <c r="E35" s="110" t="s">
        <v>38</v>
      </c>
      <c r="F35" s="110" t="s">
        <v>30</v>
      </c>
      <c r="G35" s="127" t="s">
        <v>23</v>
      </c>
      <c r="H35" s="126" t="s">
        <v>204</v>
      </c>
      <c r="I35" s="126" t="s">
        <v>205</v>
      </c>
      <c r="J35" s="126" t="s">
        <v>206</v>
      </c>
      <c r="K35" s="126" t="s">
        <v>207</v>
      </c>
      <c r="L35" s="126" t="s">
        <v>208</v>
      </c>
    </row>
    <row r="36" spans="2:12" ht="15.75" outlineLevel="1" x14ac:dyDescent="0.25">
      <c r="C36" s="18" t="s">
        <v>345</v>
      </c>
      <c r="D36" s="18" t="s">
        <v>44</v>
      </c>
      <c r="E36" s="116" t="s">
        <v>45</v>
      </c>
      <c r="F36" s="18" t="s">
        <v>31</v>
      </c>
      <c r="G36" s="18" t="s">
        <v>57</v>
      </c>
      <c r="H36" s="79" t="str">
        <f>IF(H28="-","-",
IF(H28=
(SUMIFS(Calc_TUV_Net_1[Ausnet],Calc_TUV_Net_1[[Cost item]:[Cost item]],Calc_TU_rates!$C36&amp;" - supply cost true up",Calc_TUV_Net_1[[Customer type]:[Customer type]],Calc_TU_rates!$F36)+
SUMIFS(Calc_TUV_Net_1[Ausnet],Calc_TUV_Net_1[[Cost item]:[Cost item]],Calc_TU_rates!$C36&amp;" - usage cost true up",Calc_TUV_Net_1[[Customer type]:[Customer type]],Calc_TU_rates!$F36))/Calc_TU_rates!$E$24,0,1))</f>
        <v>-</v>
      </c>
      <c r="I36" s="79" t="str">
        <f>IF(I28="-","-",
IF(I28=
(SUMIFS(Calc_TUV_Net_1[Citipower],Calc_TUV_Net_1[[Cost item]:[Cost item]],Calc_TU_rates!$C36&amp;" - supply cost true up",Calc_TUV_Net_1[[Customer type]:[Customer type]],Calc_TU_rates!$F36)+
SUMIFS(Calc_TUV_Net_1[Citipower],Calc_TUV_Net_1[[Cost item]:[Cost item]],Calc_TU_rates!$C36&amp;" - usage cost true up",Calc_TUV_Net_1[[Customer type]:[Customer type]],Calc_TU_rates!$F36))/Calc_TU_rates!$E$24,0,1))</f>
        <v>-</v>
      </c>
      <c r="J36" s="79" t="str">
        <f>IF(J28="-","-",
IF(J28=
(SUMIFS(Calc_TUV_Net_1[Jemena],Calc_TUV_Net_1[[Cost item]:[Cost item]],Calc_TU_rates!$C36&amp;" - supply cost true up",Calc_TUV_Net_1[[Customer type]:[Customer type]],Calc_TU_rates!$F36)+
SUMIFS(Calc_TUV_Net_1[Jemena],Calc_TUV_Net_1[[Cost item]:[Cost item]],Calc_TU_rates!$C36&amp;" - usage cost true up",Calc_TUV_Net_1[[Customer type]:[Customer type]],Calc_TU_rates!$F36))/Calc_TU_rates!$E$24,0,1))</f>
        <v>-</v>
      </c>
      <c r="K36" s="79" t="str">
        <f>IF(K28="-","-",
IF(K28=
(SUMIFS(Calc_TUV_Net_1[Powercor],Calc_TUV_Net_1[[Cost item]:[Cost item]],Calc_TU_rates!$C36&amp;" - supply cost true up",Calc_TUV_Net_1[[Customer type]:[Customer type]],Calc_TU_rates!$F36)+
SUMIFS(Calc_TUV_Net_1[Powercor],Calc_TUV_Net_1[[Cost item]:[Cost item]],Calc_TU_rates!$C36&amp;" - usage cost true up",Calc_TUV_Net_1[[Customer type]:[Customer type]],Calc_TU_rates!$F36))/Calc_TU_rates!$E$24,0,1))</f>
        <v>-</v>
      </c>
      <c r="L36" s="79" t="str">
        <f>IF(L28="-","-",
IF(L28=
(SUMIFS(Calc_TUV_Net_1[United Energy],Calc_TUV_Net_1[[Cost item]:[Cost item]],Calc_TU_rates!$C36&amp;" - supply cost true up",Calc_TUV_Net_1[[Customer type]:[Customer type]],Calc_TU_rates!$F36)+
SUMIFS(Calc_TUV_Net_1[United Energy],Calc_TUV_Net_1[[Cost item]:[Cost item]],Calc_TU_rates!$C36&amp;" - usage cost true up",Calc_TUV_Net_1[[Customer type]:[Customer type]],Calc_TU_rates!$F36))/Calc_TU_rates!$E$24,0,1))</f>
        <v>-</v>
      </c>
    </row>
    <row r="37" spans="2:12" ht="15.75" outlineLevel="1" x14ac:dyDescent="0.25">
      <c r="C37" s="18" t="s">
        <v>345</v>
      </c>
      <c r="D37" s="18" t="s">
        <v>44</v>
      </c>
      <c r="E37" s="116" t="s">
        <v>45</v>
      </c>
      <c r="F37" s="18" t="s">
        <v>32</v>
      </c>
      <c r="G37" s="18" t="s">
        <v>57</v>
      </c>
      <c r="H37" s="79" t="str">
        <f>IF(H29="-","-",
IF(H29=
(SUMIFS(Calc_TUV_Net_1[Ausnet],Calc_TUV_Net_1[[Cost item]:[Cost item]],Calc_TU_rates!$C37&amp;" - supply cost true up",Calc_TUV_Net_1[[Customer type]:[Customer type]],Calc_TU_rates!$F37)+
SUMIFS(Calc_TUV_Net_1[Ausnet],Calc_TUV_Net_1[[Cost item]:[Cost item]],Calc_TU_rates!$C37&amp;" - usage cost true up",Calc_TUV_Net_1[[Customer type]:[Customer type]],Calc_TU_rates!$F37))/Calc_TU_rates!$E$24,0,1))</f>
        <v>-</v>
      </c>
      <c r="I37" s="79" t="str">
        <f>IF(I29="-","-",
IF(I29=
(SUMIFS(Calc_TUV_Net_1[Citipower],Calc_TUV_Net_1[[Cost item]:[Cost item]],Calc_TU_rates!$C37&amp;" - supply cost true up",Calc_TUV_Net_1[[Customer type]:[Customer type]],Calc_TU_rates!$F37)+
SUMIFS(Calc_TUV_Net_1[Citipower],Calc_TUV_Net_1[[Cost item]:[Cost item]],Calc_TU_rates!$C37&amp;" - usage cost true up",Calc_TUV_Net_1[[Customer type]:[Customer type]],Calc_TU_rates!$F37))/Calc_TU_rates!$E$24,0,1))</f>
        <v>-</v>
      </c>
      <c r="J37" s="79" t="str">
        <f>IF(J29="-","-",
IF(J29=
(SUMIFS(Calc_TUV_Net_1[Jemena],Calc_TUV_Net_1[[Cost item]:[Cost item]],Calc_TU_rates!$C37&amp;" - supply cost true up",Calc_TUV_Net_1[[Customer type]:[Customer type]],Calc_TU_rates!$F37)+
SUMIFS(Calc_TUV_Net_1[Jemena],Calc_TUV_Net_1[[Cost item]:[Cost item]],Calc_TU_rates!$C37&amp;" - usage cost true up",Calc_TUV_Net_1[[Customer type]:[Customer type]],Calc_TU_rates!$F37))/Calc_TU_rates!$E$24,0,1))</f>
        <v>-</v>
      </c>
      <c r="K37" s="79" t="str">
        <f>IF(K29="-","-",
IF(K29=
(SUMIFS(Calc_TUV_Net_1[Powercor],Calc_TUV_Net_1[[Cost item]:[Cost item]],Calc_TU_rates!$C37&amp;" - supply cost true up",Calc_TUV_Net_1[[Customer type]:[Customer type]],Calc_TU_rates!$F37)+
SUMIFS(Calc_TUV_Net_1[Powercor],Calc_TUV_Net_1[[Cost item]:[Cost item]],Calc_TU_rates!$C37&amp;" - usage cost true up",Calc_TUV_Net_1[[Customer type]:[Customer type]],Calc_TU_rates!$F37))/Calc_TU_rates!$E$24,0,1))</f>
        <v>-</v>
      </c>
      <c r="L37" s="79" t="str">
        <f>IF(L29="-","-",
IF(L29=
(SUMIFS(Calc_TUV_Net_1[United Energy],Calc_TUV_Net_1[[Cost item]:[Cost item]],Calc_TU_rates!$C37&amp;" - supply cost true up",Calc_TUV_Net_1[[Customer type]:[Customer type]],Calc_TU_rates!$F37)+
SUMIFS(Calc_TUV_Net_1[United Energy],Calc_TUV_Net_1[[Cost item]:[Cost item]],Calc_TU_rates!$C37&amp;" - usage cost true up",Calc_TUV_Net_1[[Customer type]:[Customer type]],Calc_TU_rates!$F37))/Calc_TU_rates!$E$24,0,1))</f>
        <v>-</v>
      </c>
    </row>
    <row r="38" spans="2:12" ht="15.75" outlineLevel="1" x14ac:dyDescent="0.25">
      <c r="C38" s="18" t="s">
        <v>223</v>
      </c>
      <c r="D38" s="18" t="s">
        <v>44</v>
      </c>
      <c r="E38" s="116" t="s">
        <v>45</v>
      </c>
      <c r="F38" s="18" t="s">
        <v>31</v>
      </c>
      <c r="G38" s="18" t="s">
        <v>57</v>
      </c>
      <c r="H38" s="79" t="str">
        <f>IF(H30="-","-",
IF(H30=
(SUMIFS(Calc_TUV_Net_1[Ausnet],Calc_TUV_Net_1[[Cost item]:[Cost item]],Calc_TU_rates!$C38&amp;" - supply cost true up",Calc_TUV_Net_1[[Customer type]:[Customer type]],Calc_TU_rates!$F38)+
SUMIFS(Calc_TUV_Net_1[Ausnet],Calc_TUV_Net_1[[Cost item]:[Cost item]],Calc_TU_rates!$C38&amp;" - usage cost true up",Calc_TUV_Net_1[[Customer type]:[Customer type]],Calc_TU_rates!$F38))/Calc_TU_rates!$E$24,0,1))</f>
        <v>-</v>
      </c>
      <c r="I38" s="79" t="str">
        <f>IF(I30="-","-",
IF(I30=
(SUMIFS(Calc_TUV_Net_1[Citipower],Calc_TUV_Net_1[[Cost item]:[Cost item]],Calc_TU_rates!$C38&amp;" - supply cost true up",Calc_TUV_Net_1[[Customer type]:[Customer type]],Calc_TU_rates!$F38)+
SUMIFS(Calc_TUV_Net_1[Citipower],Calc_TUV_Net_1[[Cost item]:[Cost item]],Calc_TU_rates!$C38&amp;" - usage cost true up",Calc_TUV_Net_1[[Customer type]:[Customer type]],Calc_TU_rates!$F38))/Calc_TU_rates!$E$24,0,1))</f>
        <v>-</v>
      </c>
      <c r="J38" s="79" t="str">
        <f>IF(J30="-","-",
IF(J30=
(SUMIFS(Calc_TUV_Net_1[Jemena],Calc_TUV_Net_1[[Cost item]:[Cost item]],Calc_TU_rates!$C38&amp;" - supply cost true up",Calc_TUV_Net_1[[Customer type]:[Customer type]],Calc_TU_rates!$F38)+
SUMIFS(Calc_TUV_Net_1[Jemena],Calc_TUV_Net_1[[Cost item]:[Cost item]],Calc_TU_rates!$C38&amp;" - usage cost true up",Calc_TUV_Net_1[[Customer type]:[Customer type]],Calc_TU_rates!$F38))/Calc_TU_rates!$E$24,0,1))</f>
        <v>-</v>
      </c>
      <c r="K38" s="79" t="str">
        <f>IF(K30="-","-",
IF(K30=
(SUMIFS(Calc_TUV_Net_1[Powercor],Calc_TUV_Net_1[[Cost item]:[Cost item]],Calc_TU_rates!$C38&amp;" - supply cost true up",Calc_TUV_Net_1[[Customer type]:[Customer type]],Calc_TU_rates!$F38)+
SUMIFS(Calc_TUV_Net_1[Powercor],Calc_TUV_Net_1[[Cost item]:[Cost item]],Calc_TU_rates!$C38&amp;" - usage cost true up",Calc_TUV_Net_1[[Customer type]:[Customer type]],Calc_TU_rates!$F38))/Calc_TU_rates!$E$24,0,1))</f>
        <v>-</v>
      </c>
      <c r="L38" s="79" t="str">
        <f>IF(L30="-","-",
IF(L30=
(SUMIFS(Calc_TUV_Net_1[United Energy],Calc_TUV_Net_1[[Cost item]:[Cost item]],Calc_TU_rates!$C38&amp;" - supply cost true up",Calc_TUV_Net_1[[Customer type]:[Customer type]],Calc_TU_rates!$F38)+
SUMIFS(Calc_TUV_Net_1[United Energy],Calc_TUV_Net_1[[Cost item]:[Cost item]],Calc_TU_rates!$C38&amp;" - usage cost true up",Calc_TUV_Net_1[[Customer type]:[Customer type]],Calc_TU_rates!$F38))/Calc_TU_rates!$E$24,0,1))</f>
        <v>-</v>
      </c>
    </row>
    <row r="39" spans="2:12" ht="15.75" outlineLevel="1" x14ac:dyDescent="0.25">
      <c r="C39" s="18" t="s">
        <v>346</v>
      </c>
      <c r="D39" s="18" t="s">
        <v>44</v>
      </c>
      <c r="E39" s="116" t="s">
        <v>45</v>
      </c>
      <c r="F39" s="18" t="s">
        <v>31</v>
      </c>
      <c r="G39" s="18" t="s">
        <v>57</v>
      </c>
      <c r="H39" s="79" t="str">
        <f>IF(H31="-","-",
IF(H31=
(SUMIFS(Calc_TUV_Net_1[Ausnet],Calc_TUV_Net_1[[Cost item]:[Cost item]],Calc_TU_rates!$C39&amp;" - supply cost true up",Calc_TUV_Net_1[[Customer type]:[Customer type]],Calc_TU_rates!$F39)+
SUMIFS(Calc_TUV_Net_1[Ausnet],Calc_TUV_Net_1[[Cost item]:[Cost item]],Calc_TU_rates!$C39&amp;" - usage cost true up",Calc_TUV_Net_1[[Customer type]:[Customer type]],Calc_TU_rates!$F39))/Calc_TU_rates!$E$24,0,1))</f>
        <v>-</v>
      </c>
      <c r="I39" s="79" t="str">
        <f>IF(I31="-","-",
IF(I31=
(SUMIFS(Calc_TUV_Net_1[Citipower],Calc_TUV_Net_1[[Cost item]:[Cost item]],Calc_TU_rates!$C39&amp;" - supply cost true up",Calc_TUV_Net_1[[Customer type]:[Customer type]],Calc_TU_rates!$F39)+
SUMIFS(Calc_TUV_Net_1[Citipower],Calc_TUV_Net_1[[Cost item]:[Cost item]],Calc_TU_rates!$C39&amp;" - usage cost true up",Calc_TUV_Net_1[[Customer type]:[Customer type]],Calc_TU_rates!$F39))/Calc_TU_rates!$E$24,0,1))</f>
        <v>-</v>
      </c>
      <c r="J39" s="79" t="str">
        <f>IF(J31="-","-",
IF(J31=
(SUMIFS(Calc_TUV_Net_1[Jemena],Calc_TUV_Net_1[[Cost item]:[Cost item]],Calc_TU_rates!$C39&amp;" - supply cost true up",Calc_TUV_Net_1[[Customer type]:[Customer type]],Calc_TU_rates!$F39)+
SUMIFS(Calc_TUV_Net_1[Jemena],Calc_TUV_Net_1[[Cost item]:[Cost item]],Calc_TU_rates!$C39&amp;" - usage cost true up",Calc_TUV_Net_1[[Customer type]:[Customer type]],Calc_TU_rates!$F39))/Calc_TU_rates!$E$24,0,1))</f>
        <v>-</v>
      </c>
      <c r="K39" s="79" t="str">
        <f>IF(K31="-","-",
IF(K31=
(SUMIFS(Calc_TUV_Net_1[Powercor],Calc_TUV_Net_1[[Cost item]:[Cost item]],Calc_TU_rates!$C39&amp;" - supply cost true up",Calc_TUV_Net_1[[Customer type]:[Customer type]],Calc_TU_rates!$F39)+
SUMIFS(Calc_TUV_Net_1[Powercor],Calc_TUV_Net_1[[Cost item]:[Cost item]],Calc_TU_rates!$C39&amp;" - usage cost true up",Calc_TUV_Net_1[[Customer type]:[Customer type]],Calc_TU_rates!$F39))/Calc_TU_rates!$E$24,0,1))</f>
        <v>-</v>
      </c>
      <c r="L39" s="79" t="str">
        <f>IF(L31="-","-",
IF(L31=
(SUMIFS(Calc_TUV_Net_1[United Energy],Calc_TUV_Net_1[[Cost item]:[Cost item]],Calc_TU_rates!$C39&amp;" - supply cost true up",Calc_TUV_Net_1[[Customer type]:[Customer type]],Calc_TU_rates!$F39)+
SUMIFS(Calc_TUV_Net_1[United Energy],Calc_TUV_Net_1[[Cost item]:[Cost item]],Calc_TU_rates!$C39&amp;" - usage cost true up",Calc_TUV_Net_1[[Customer type]:[Customer type]],Calc_TU_rates!$F39))/Calc_TU_rates!$E$24,0,1))</f>
        <v>-</v>
      </c>
    </row>
    <row r="40" spans="2:12" ht="15.75" outlineLevel="1" x14ac:dyDescent="0.25">
      <c r="C40" s="128" t="s">
        <v>346</v>
      </c>
      <c r="D40" s="128" t="s">
        <v>44</v>
      </c>
      <c r="E40" s="128" t="s">
        <v>45</v>
      </c>
      <c r="F40" s="128" t="s">
        <v>32</v>
      </c>
      <c r="G40" s="128" t="s">
        <v>57</v>
      </c>
      <c r="H40" s="79" t="str">
        <f>IF(H32="-","-",
IF(H32=
(SUMIFS(Calc_TUV_Net_1[Ausnet],Calc_TUV_Net_1[[Cost item]:[Cost item]],Calc_TU_rates!$C40&amp;" - supply cost true up",Calc_TUV_Net_1[[Customer type]:[Customer type]],Calc_TU_rates!$F40)+
SUMIFS(Calc_TUV_Net_1[Ausnet],Calc_TUV_Net_1[[Cost item]:[Cost item]],Calc_TU_rates!$C40&amp;" - usage cost true up",Calc_TUV_Net_1[[Customer type]:[Customer type]],Calc_TU_rates!$F40))/Calc_TU_rates!$E$24,0,1))</f>
        <v>-</v>
      </c>
      <c r="I40" s="79" t="str">
        <f>IF(I32="-","-",
IF(I32=
(SUMIFS(Calc_TUV_Net_1[Citipower],Calc_TUV_Net_1[[Cost item]:[Cost item]],Calc_TU_rates!$C40&amp;" - supply cost true up",Calc_TUV_Net_1[[Customer type]:[Customer type]],Calc_TU_rates!$F40)+
SUMIFS(Calc_TUV_Net_1[Citipower],Calc_TUV_Net_1[[Cost item]:[Cost item]],Calc_TU_rates!$C40&amp;" - usage cost true up",Calc_TUV_Net_1[[Customer type]:[Customer type]],Calc_TU_rates!$F40))/Calc_TU_rates!$E$24,0,1))</f>
        <v>-</v>
      </c>
      <c r="J40" s="79" t="str">
        <f>IF(J32="-","-",
IF(J32=
(SUMIFS(Calc_TUV_Net_1[Jemena],Calc_TUV_Net_1[[Cost item]:[Cost item]],Calc_TU_rates!$C40&amp;" - supply cost true up",Calc_TUV_Net_1[[Customer type]:[Customer type]],Calc_TU_rates!$F40)+
SUMIFS(Calc_TUV_Net_1[Jemena],Calc_TUV_Net_1[[Cost item]:[Cost item]],Calc_TU_rates!$C40&amp;" - usage cost true up",Calc_TUV_Net_1[[Customer type]:[Customer type]],Calc_TU_rates!$F40))/Calc_TU_rates!$E$24,0,1))</f>
        <v>-</v>
      </c>
      <c r="K40" s="79" t="str">
        <f>IF(K32="-","-",
IF(K32=
(SUMIFS(Calc_TUV_Net_1[Powercor],Calc_TUV_Net_1[[Cost item]:[Cost item]],Calc_TU_rates!$C40&amp;" - supply cost true up",Calc_TUV_Net_1[[Customer type]:[Customer type]],Calc_TU_rates!$F40)+
SUMIFS(Calc_TUV_Net_1[Powercor],Calc_TUV_Net_1[[Cost item]:[Cost item]],Calc_TU_rates!$C40&amp;" - usage cost true up",Calc_TUV_Net_1[[Customer type]:[Customer type]],Calc_TU_rates!$F40))/Calc_TU_rates!$E$24,0,1))</f>
        <v>-</v>
      </c>
      <c r="L40" s="79" t="str">
        <f>IF(L32="-","-",
IF(L32=
(SUMIFS(Calc_TUV_Net_1[United Energy],Calc_TUV_Net_1[[Cost item]:[Cost item]],Calc_TU_rates!$C40&amp;" - supply cost true up",Calc_TUV_Net_1[[Customer type]:[Customer type]],Calc_TU_rates!$F40)+
SUMIFS(Calc_TUV_Net_1[United Energy],Calc_TUV_Net_1[[Cost item]:[Cost item]],Calc_TU_rates!$C40&amp;" - usage cost true up",Calc_TUV_Net_1[[Customer type]:[Customer type]],Calc_TU_rates!$F40))/Calc_TU_rates!$E$24,0,1))</f>
        <v>-</v>
      </c>
    </row>
    <row r="42" spans="2:12" ht="16.5" thickBot="1" x14ac:dyDescent="0.3">
      <c r="B42" s="7">
        <f ca="1">MAX(B$3:B41)+0.1</f>
        <v>9.1999999999999993</v>
      </c>
      <c r="C42" s="22" t="s">
        <v>359</v>
      </c>
      <c r="D42" s="22"/>
      <c r="E42" s="22"/>
      <c r="F42" s="22"/>
      <c r="G42" s="22"/>
      <c r="H42" s="22"/>
      <c r="I42" s="22"/>
      <c r="J42" s="22"/>
      <c r="K42" s="22"/>
      <c r="L42" s="22"/>
    </row>
    <row r="43" spans="2:12" outlineLevel="1" x14ac:dyDescent="0.25"/>
    <row r="44" spans="2:12" ht="15.75" outlineLevel="1" x14ac:dyDescent="0.25">
      <c r="C44" s="23" t="s">
        <v>410</v>
      </c>
    </row>
    <row r="45" spans="2:12" ht="15.75" outlineLevel="1" x14ac:dyDescent="0.25">
      <c r="C45" s="34" t="s">
        <v>24</v>
      </c>
      <c r="D45" s="34" t="s">
        <v>37</v>
      </c>
      <c r="E45" s="34" t="s">
        <v>38</v>
      </c>
      <c r="F45" s="34" t="s">
        <v>30</v>
      </c>
      <c r="G45" s="34" t="s">
        <v>23</v>
      </c>
      <c r="H45" s="49" t="s">
        <v>204</v>
      </c>
      <c r="I45" s="49" t="s">
        <v>205</v>
      </c>
      <c r="J45" s="49" t="s">
        <v>206</v>
      </c>
      <c r="K45" s="49" t="s">
        <v>207</v>
      </c>
      <c r="L45" s="49" t="s">
        <v>208</v>
      </c>
    </row>
    <row r="46" spans="2:12" outlineLevel="1" x14ac:dyDescent="0.25">
      <c r="C46" s="48" t="str">
        <f>IF(COUNTIFS(Calc_TUV_Env_1[Pass through (Yes/No)],"Yes",Calc_TUV_Env_1[Cost item],"Large-scale renewable energy target (LRET)")=1,"LRET True Up","-")</f>
        <v>-</v>
      </c>
      <c r="D46" s="48" t="s">
        <v>66</v>
      </c>
      <c r="E46" s="48" t="s">
        <v>218</v>
      </c>
      <c r="F46" s="48" t="s">
        <v>46</v>
      </c>
      <c r="G46" s="48" t="s">
        <v>87</v>
      </c>
      <c r="H46" s="131" cm="1">
        <f t="array" ref="H46">IFERROR(SUMIFS(INDEX(Calc_TUV_Env_1[[Ausnet]:[United Energy]],0,MATCH(Calc_TUV_EnvGroup_1[[#Headers],[Ausnet]],Calc_TUV_Env_1[[#Headers],[Ausnet]:[United Energy]],0)),
Calc_TUV_Env_1[Cost item],Calc_TUV_EnvGroup_1[[#This Row],[Cost item]],
Calc_TUV_Env_1[Customer type],Calc_TUV_EnvGroup_1[[#This Row],[Customer type]]),"-")</f>
        <v>0</v>
      </c>
      <c r="I46" s="131" cm="1">
        <f t="array" ref="I46">IFERROR(SUMIFS(INDEX(Calc_TUV_Env_1[[Ausnet]:[United Energy]],0,MATCH(Calc_TUV_EnvGroup_1[[#Headers],[Citipower]],Calc_TUV_Env_1[[#Headers],[Ausnet]:[United Energy]],0)),
Calc_TUV_Env_1[Cost item],Calc_TUV_EnvGroup_1[[#This Row],[Cost item]],
Calc_TUV_Env_1[Customer type],Calc_TUV_EnvGroup_1[[#This Row],[Customer type]]),"-")</f>
        <v>0</v>
      </c>
      <c r="J46" s="131" cm="1">
        <f t="array" ref="J46">IFERROR(SUMIFS(INDEX(Calc_TUV_Env_1[[Ausnet]:[United Energy]],0,MATCH(Calc_TUV_EnvGroup_1[[#Headers],[Jemena]],Calc_TUV_Env_1[[#Headers],[Ausnet]:[United Energy]],0)),
Calc_TUV_Env_1[Cost item],Calc_TUV_EnvGroup_1[[#This Row],[Cost item]],
Calc_TUV_Env_1[Customer type],Calc_TUV_EnvGroup_1[[#This Row],[Customer type]]),"-")</f>
        <v>0</v>
      </c>
      <c r="K46" s="131" cm="1">
        <f t="array" ref="K46">IFERROR(SUMIFS(INDEX(Calc_TUV_Env_1[[Ausnet]:[United Energy]],0,MATCH(Calc_TUV_EnvGroup_1[[#Headers],[Powercor]],Calc_TUV_Env_1[[#Headers],[Ausnet]:[United Energy]],0)),
Calc_TUV_Env_1[Cost item],Calc_TUV_EnvGroup_1[[#This Row],[Cost item]],
Calc_TUV_Env_1[Customer type],Calc_TUV_EnvGroup_1[[#This Row],[Customer type]]),"-")</f>
        <v>0</v>
      </c>
      <c r="L46" s="131" cm="1">
        <f t="array" ref="L46">IFERROR(SUMIFS(INDEX(Calc_TUV_Env_1[[Ausnet]:[United Energy]],0,MATCH(Calc_TUV_EnvGroup_1[[#Headers],[United Energy]],Calc_TUV_Env_1[[#Headers],[Ausnet]:[United Energy]],0)),
Calc_TUV_Env_1[Cost item],Calc_TUV_EnvGroup_1[[#This Row],[Cost item]],
Calc_TUV_Env_1[Customer type],Calc_TUV_EnvGroup_1[[#This Row],[Customer type]]),"-")</f>
        <v>0</v>
      </c>
    </row>
    <row r="47" spans="2:12" outlineLevel="1" x14ac:dyDescent="0.25">
      <c r="C47" s="48" t="str">
        <f>IF(COUNTIFS(Calc_TUV_Env_1[Pass through (Yes/No)],"Yes",Calc_TUV_Env_1[Cost item],"Small-scale renewable energy scheme (SRES)")=1,"SRES True Up","-")</f>
        <v>-</v>
      </c>
      <c r="D47" s="48" t="s">
        <v>66</v>
      </c>
      <c r="E47" s="48" t="s">
        <v>218</v>
      </c>
      <c r="F47" s="48" t="s">
        <v>46</v>
      </c>
      <c r="G47" s="48" t="s">
        <v>87</v>
      </c>
      <c r="H47" s="131" cm="1">
        <f t="array" ref="H47">IFERROR(SUMIFS(INDEX(Calc_TUV_Env_1[[Ausnet]:[United Energy]],0,MATCH(Calc_TUV_EnvGroup_1[[#Headers],[Ausnet]],Calc_TUV_Env_1[[#Headers],[Ausnet]:[United Energy]],0)),
Calc_TUV_Env_1[Cost item],Calc_TUV_EnvGroup_1[[#This Row],[Cost item]],
Calc_TUV_Env_1[Customer type],Calc_TUV_EnvGroup_1[[#This Row],[Customer type]]),"-")</f>
        <v>0</v>
      </c>
      <c r="I47" s="131" cm="1">
        <f t="array" ref="I47">IFERROR(SUMIFS(INDEX(Calc_TUV_Env_1[[Ausnet]:[United Energy]],0,MATCH(Calc_TUV_EnvGroup_1[[#Headers],[Citipower]],Calc_TUV_Env_1[[#Headers],[Ausnet]:[United Energy]],0)),
Calc_TUV_Env_1[Cost item],Calc_TUV_EnvGroup_1[[#This Row],[Cost item]],
Calc_TUV_Env_1[Customer type],Calc_TUV_EnvGroup_1[[#This Row],[Customer type]]),"-")</f>
        <v>0</v>
      </c>
      <c r="J47" s="131" cm="1">
        <f t="array" ref="J47">IFERROR(SUMIFS(INDEX(Calc_TUV_Env_1[[Ausnet]:[United Energy]],0,MATCH(Calc_TUV_EnvGroup_1[[#Headers],[Jemena]],Calc_TUV_Env_1[[#Headers],[Ausnet]:[United Energy]],0)),
Calc_TUV_Env_1[Cost item],Calc_TUV_EnvGroup_1[[#This Row],[Cost item]],
Calc_TUV_Env_1[Customer type],Calc_TUV_EnvGroup_1[[#This Row],[Customer type]]),"-")</f>
        <v>0</v>
      </c>
      <c r="K47" s="131" cm="1">
        <f t="array" ref="K47">IFERROR(SUMIFS(INDEX(Calc_TUV_Env_1[[Ausnet]:[United Energy]],0,MATCH(Calc_TUV_EnvGroup_1[[#Headers],[Powercor]],Calc_TUV_Env_1[[#Headers],[Ausnet]:[United Energy]],0)),
Calc_TUV_Env_1[Cost item],Calc_TUV_EnvGroup_1[[#This Row],[Cost item]],
Calc_TUV_Env_1[Customer type],Calc_TUV_EnvGroup_1[[#This Row],[Customer type]]),"-")</f>
        <v>0</v>
      </c>
      <c r="L47" s="131" cm="1">
        <f t="array" ref="L47">IFERROR(SUMIFS(INDEX(Calc_TUV_Env_1[[Ausnet]:[United Energy]],0,MATCH(Calc_TUV_EnvGroup_1[[#Headers],[United Energy]],Calc_TUV_Env_1[[#Headers],[Ausnet]:[United Energy]],0)),
Calc_TUV_Env_1[Cost item],Calc_TUV_EnvGroup_1[[#This Row],[Cost item]],
Calc_TUV_Env_1[Customer type],Calc_TUV_EnvGroup_1[[#This Row],[Customer type]]),"-")</f>
        <v>0</v>
      </c>
    </row>
    <row r="48" spans="2:12" outlineLevel="1" x14ac:dyDescent="0.25">
      <c r="C48" s="48" t="str">
        <f>IF(COUNTIFS(Calc_TUV_Env_1[Pass through (Yes/No)],"Yes",Calc_TUV_Env_1[Cost item],"Victorian energy upgrades (VEU)")=1,"VEU True Up","-")</f>
        <v>-</v>
      </c>
      <c r="D48" s="48" t="s">
        <v>66</v>
      </c>
      <c r="E48" s="48" t="s">
        <v>218</v>
      </c>
      <c r="F48" s="48" t="s">
        <v>46</v>
      </c>
      <c r="G48" s="48" t="s">
        <v>87</v>
      </c>
      <c r="H48" s="131" cm="1">
        <f t="array" ref="H48">IFERROR(SUMIFS(INDEX(Calc_TUV_Env_1[[Ausnet]:[United Energy]],0,MATCH(Calc_TUV_EnvGroup_1[[#Headers],[Ausnet]],Calc_TUV_Env_1[[#Headers],[Ausnet]:[United Energy]],0)),
Calc_TUV_Env_1[Cost item],Calc_TUV_EnvGroup_1[[#This Row],[Cost item]],
Calc_TUV_Env_1[Customer type],Calc_TUV_EnvGroup_1[[#This Row],[Customer type]]),"-")</f>
        <v>0</v>
      </c>
      <c r="I48" s="131" cm="1">
        <f t="array" ref="I48">IFERROR(SUMIFS(INDEX(Calc_TUV_Env_1[[Ausnet]:[United Energy]],0,MATCH(Calc_TUV_EnvGroup_1[[#Headers],[Citipower]],Calc_TUV_Env_1[[#Headers],[Ausnet]:[United Energy]],0)),
Calc_TUV_Env_1[Cost item],Calc_TUV_EnvGroup_1[[#This Row],[Cost item]],
Calc_TUV_Env_1[Customer type],Calc_TUV_EnvGroup_1[[#This Row],[Customer type]]),"-")</f>
        <v>0</v>
      </c>
      <c r="J48" s="131" cm="1">
        <f t="array" ref="J48">IFERROR(SUMIFS(INDEX(Calc_TUV_Env_1[[Ausnet]:[United Energy]],0,MATCH(Calc_TUV_EnvGroup_1[[#Headers],[Jemena]],Calc_TUV_Env_1[[#Headers],[Ausnet]:[United Energy]],0)),
Calc_TUV_Env_1[Cost item],Calc_TUV_EnvGroup_1[[#This Row],[Cost item]],
Calc_TUV_Env_1[Customer type],Calc_TUV_EnvGroup_1[[#This Row],[Customer type]]),"-")</f>
        <v>0</v>
      </c>
      <c r="K48" s="131" cm="1">
        <f t="array" ref="K48">IFERROR(SUMIFS(INDEX(Calc_TUV_Env_1[[Ausnet]:[United Energy]],0,MATCH(Calc_TUV_EnvGroup_1[[#Headers],[Powercor]],Calc_TUV_Env_1[[#Headers],[Ausnet]:[United Energy]],0)),
Calc_TUV_Env_1[Cost item],Calc_TUV_EnvGroup_1[[#This Row],[Cost item]],
Calc_TUV_Env_1[Customer type],Calc_TUV_EnvGroup_1[[#This Row],[Customer type]]),"-")</f>
        <v>0</v>
      </c>
      <c r="L48" s="131" cm="1">
        <f t="array" ref="L48">IFERROR(SUMIFS(INDEX(Calc_TUV_Env_1[[Ausnet]:[United Energy]],0,MATCH(Calc_TUV_EnvGroup_1[[#Headers],[United Energy]],Calc_TUV_Env_1[[#Headers],[Ausnet]:[United Energy]],0)),
Calc_TUV_Env_1[Cost item],Calc_TUV_EnvGroup_1[[#This Row],[Cost item]],
Calc_TUV_Env_1[Customer type],Calc_TUV_EnvGroup_1[[#This Row],[Customer type]]),"-")</f>
        <v>0</v>
      </c>
    </row>
    <row r="49" spans="3:12" outlineLevel="1" x14ac:dyDescent="0.25"/>
    <row r="50" spans="3:12" ht="15.75" outlineLevel="1" x14ac:dyDescent="0.25">
      <c r="C50" s="23" t="s">
        <v>409</v>
      </c>
    </row>
    <row r="51" spans="3:12" ht="15.75" outlineLevel="1" x14ac:dyDescent="0.25">
      <c r="C51" s="34" t="s">
        <v>308</v>
      </c>
      <c r="D51" s="111" t="s">
        <v>249</v>
      </c>
      <c r="E51" s="111" t="s">
        <v>38</v>
      </c>
      <c r="F51" s="111" t="s">
        <v>30</v>
      </c>
      <c r="G51" s="111" t="s">
        <v>23</v>
      </c>
      <c r="H51" s="112" t="s">
        <v>204</v>
      </c>
      <c r="I51" s="112" t="s">
        <v>205</v>
      </c>
      <c r="J51" s="112" t="s">
        <v>206</v>
      </c>
      <c r="K51" s="112" t="s">
        <v>207</v>
      </c>
      <c r="L51" s="112" t="s">
        <v>208</v>
      </c>
    </row>
    <row r="52" spans="3:12" outlineLevel="1" x14ac:dyDescent="0.25">
      <c r="C52" s="18" t="s">
        <v>338</v>
      </c>
      <c r="D52" s="18" t="s">
        <v>363</v>
      </c>
      <c r="E52" s="116" t="s">
        <v>218</v>
      </c>
      <c r="F52" s="18" t="s">
        <v>31</v>
      </c>
      <c r="G52" s="18" t="s">
        <v>87</v>
      </c>
      <c r="H52" s="133" t="str" cm="1">
        <f t="array" ref="H52">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v>
      </c>
      <c r="I52" s="133" cm="1">
        <f t="array" ref="I52">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52" s="133" cm="1">
        <f t="array" ref="J52">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52" s="133" cm="1">
        <f t="array" ref="K52">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52" s="133" cm="1">
        <f t="array" ref="L52">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53" spans="3:12" outlineLevel="1" x14ac:dyDescent="0.25">
      <c r="C53" s="18" t="s">
        <v>338</v>
      </c>
      <c r="D53" s="18" t="s">
        <v>363</v>
      </c>
      <c r="E53" s="116" t="s">
        <v>218</v>
      </c>
      <c r="F53" s="18" t="s">
        <v>32</v>
      </c>
      <c r="G53" s="18" t="s">
        <v>87</v>
      </c>
      <c r="H53" s="133" t="str" cm="1">
        <f t="array" ref="H53">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v>
      </c>
      <c r="I53" s="133" cm="1">
        <f t="array" ref="I53">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53" s="133" cm="1">
        <f t="array" ref="J53">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53" s="133" cm="1">
        <f t="array" ref="K53">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53" s="133" cm="1">
        <f t="array" ref="L53">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54" spans="3:12" outlineLevel="1" x14ac:dyDescent="0.25">
      <c r="C54" s="18" t="s">
        <v>157</v>
      </c>
      <c r="D54" s="18" t="s">
        <v>363</v>
      </c>
      <c r="E54" s="116" t="s">
        <v>218</v>
      </c>
      <c r="F54" s="18" t="s">
        <v>31</v>
      </c>
      <c r="G54" s="18" t="s">
        <v>87</v>
      </c>
      <c r="H54" s="133" cm="1">
        <f t="array" ref="H54">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54" s="133" t="str" cm="1">
        <f t="array" ref="I54">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v>
      </c>
      <c r="J54" s="133" t="str" cm="1">
        <f t="array" ref="J54">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v>
      </c>
      <c r="K54" s="133" t="str" cm="1">
        <f t="array" ref="K54">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v>
      </c>
      <c r="L54" s="133" t="str" cm="1">
        <f t="array" ref="L54">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v>
      </c>
    </row>
    <row r="55" spans="3:12" outlineLevel="1" x14ac:dyDescent="0.25">
      <c r="C55" s="18" t="s">
        <v>157</v>
      </c>
      <c r="D55" s="18" t="s">
        <v>363</v>
      </c>
      <c r="E55" s="116" t="s">
        <v>218</v>
      </c>
      <c r="F55" s="18" t="s">
        <v>32</v>
      </c>
      <c r="G55" s="18" t="s">
        <v>87</v>
      </c>
      <c r="H55" s="133" cm="1">
        <f t="array" ref="H55">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55" s="133" t="str" cm="1">
        <f t="array" ref="I55">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v>
      </c>
      <c r="J55" s="133" t="str" cm="1">
        <f t="array" ref="J55">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v>
      </c>
      <c r="K55" s="133" t="str" cm="1">
        <f t="array" ref="K55">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v>
      </c>
      <c r="L55" s="133" t="str" cm="1">
        <f t="array" ref="L55">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v>
      </c>
    </row>
    <row r="56" spans="3:12" outlineLevel="1" x14ac:dyDescent="0.25">
      <c r="C56" s="18" t="s">
        <v>164</v>
      </c>
      <c r="D56" s="18" t="s">
        <v>363</v>
      </c>
      <c r="E56" s="116" t="s">
        <v>218</v>
      </c>
      <c r="F56" s="18" t="s">
        <v>31</v>
      </c>
      <c r="G56" s="18" t="s">
        <v>87</v>
      </c>
      <c r="H56" s="133" cm="1">
        <f t="array" ref="H56">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56" s="133" t="str" cm="1">
        <f t="array" ref="I56">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v>
      </c>
      <c r="J56" s="133" t="str" cm="1">
        <f t="array" ref="J56">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v>
      </c>
      <c r="K56" s="133" t="str" cm="1">
        <f t="array" ref="K56">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v>
      </c>
      <c r="L56" s="133" t="str" cm="1">
        <f t="array" ref="L56">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v>
      </c>
    </row>
    <row r="57" spans="3:12" outlineLevel="1" x14ac:dyDescent="0.25">
      <c r="C57" s="18" t="s">
        <v>164</v>
      </c>
      <c r="D57" s="18" t="s">
        <v>363</v>
      </c>
      <c r="E57" s="116" t="s">
        <v>218</v>
      </c>
      <c r="F57" s="18" t="s">
        <v>32</v>
      </c>
      <c r="G57" s="18" t="s">
        <v>87</v>
      </c>
      <c r="H57" s="133" cm="1">
        <f t="array" ref="H57">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57" s="133" t="str" cm="1">
        <f t="array" ref="I57">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v>
      </c>
      <c r="J57" s="133" t="str" cm="1">
        <f t="array" ref="J57">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v>
      </c>
      <c r="K57" s="133" t="str" cm="1">
        <f t="array" ref="K57">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v>
      </c>
      <c r="L57" s="133" t="str" cm="1">
        <f t="array" ref="L57">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v>
      </c>
    </row>
    <row r="58" spans="3:12" outlineLevel="1" x14ac:dyDescent="0.25">
      <c r="C58" s="18" t="s">
        <v>223</v>
      </c>
      <c r="D58" s="18" t="s">
        <v>363</v>
      </c>
      <c r="E58" s="116" t="s">
        <v>218</v>
      </c>
      <c r="F58" s="18" t="s">
        <v>31</v>
      </c>
      <c r="G58" s="18" t="s">
        <v>87</v>
      </c>
      <c r="H58" s="133" cm="1">
        <f t="array" ref="H58">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58" s="133" cm="1">
        <f t="array" ref="I58">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58" s="133" cm="1">
        <f t="array" ref="J58">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58" s="133" cm="1">
        <f t="array" ref="K58">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58" s="133" cm="1">
        <f t="array" ref="L58">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59" spans="3:12" outlineLevel="1" x14ac:dyDescent="0.25">
      <c r="C59" s="18" t="s">
        <v>166</v>
      </c>
      <c r="D59" s="18" t="s">
        <v>363</v>
      </c>
      <c r="E59" s="116" t="s">
        <v>218</v>
      </c>
      <c r="F59" s="18" t="s">
        <v>31</v>
      </c>
      <c r="G59" s="18" t="s">
        <v>87</v>
      </c>
      <c r="H59" s="133" cm="1">
        <f t="array" ref="H59">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59" s="133" cm="1">
        <f t="array" ref="I59">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59" s="133" cm="1">
        <f t="array" ref="J59">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59" s="133" cm="1">
        <f t="array" ref="K59">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59" s="133" cm="1">
        <f t="array" ref="L59">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60" spans="3:12" outlineLevel="1" x14ac:dyDescent="0.25">
      <c r="C60" s="18" t="s">
        <v>166</v>
      </c>
      <c r="D60" s="18" t="s">
        <v>363</v>
      </c>
      <c r="E60" s="116" t="s">
        <v>218</v>
      </c>
      <c r="F60" s="18" t="s">
        <v>32</v>
      </c>
      <c r="G60" s="18" t="s">
        <v>87</v>
      </c>
      <c r="H60" s="133" cm="1">
        <f t="array" ref="H60">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60" s="133" cm="1">
        <f t="array" ref="I60">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60" s="133" cm="1">
        <f t="array" ref="J60">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60" s="133" cm="1">
        <f t="array" ref="K60">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60" s="133" cm="1">
        <f t="array" ref="L60">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61" spans="3:12" outlineLevel="1" x14ac:dyDescent="0.25">
      <c r="C61" s="18" t="s">
        <v>370</v>
      </c>
      <c r="D61" s="18" t="s">
        <v>363</v>
      </c>
      <c r="E61" s="116" t="s">
        <v>218</v>
      </c>
      <c r="F61" s="18" t="s">
        <v>31</v>
      </c>
      <c r="G61" s="18" t="s">
        <v>87</v>
      </c>
      <c r="H61" s="133" cm="1">
        <f t="array" ref="H61">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61" s="133" cm="1">
        <f t="array" ref="I61">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61" s="133" cm="1">
        <f t="array" ref="J61">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61" s="133" cm="1">
        <f t="array" ref="K61">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61" s="133" cm="1">
        <f t="array" ref="L61">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62" spans="3:12" outlineLevel="1" x14ac:dyDescent="0.25">
      <c r="C62" s="18" t="s">
        <v>370</v>
      </c>
      <c r="D62" s="18" t="s">
        <v>363</v>
      </c>
      <c r="E62" s="116" t="s">
        <v>218</v>
      </c>
      <c r="F62" s="18" t="s">
        <v>32</v>
      </c>
      <c r="G62" s="18" t="s">
        <v>87</v>
      </c>
      <c r="H62" s="133" cm="1">
        <f t="array" ref="H62">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62" s="133" cm="1">
        <f t="array" ref="I62">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62" s="133" cm="1">
        <f t="array" ref="J62">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62" s="133" cm="1">
        <f t="array" ref="K62">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62" s="133" cm="1">
        <f t="array" ref="L62">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63" spans="3:12" outlineLevel="1" x14ac:dyDescent="0.25">
      <c r="C63" s="18" t="s">
        <v>338</v>
      </c>
      <c r="D63" s="18" t="s">
        <v>364</v>
      </c>
      <c r="E63" s="116" t="s">
        <v>218</v>
      </c>
      <c r="F63" s="18" t="s">
        <v>31</v>
      </c>
      <c r="G63" s="18" t="s">
        <v>87</v>
      </c>
      <c r="H63" s="133" t="str" cm="1">
        <f t="array" ref="H63">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v>
      </c>
      <c r="I63" s="133" cm="1">
        <f t="array" ref="I63">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63" s="133" cm="1">
        <f t="array" ref="J63">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63" s="133" cm="1">
        <f t="array" ref="K63">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63" s="133" cm="1">
        <f t="array" ref="L63">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64" spans="3:12" outlineLevel="1" x14ac:dyDescent="0.25">
      <c r="C64" s="18" t="s">
        <v>338</v>
      </c>
      <c r="D64" s="18" t="s">
        <v>364</v>
      </c>
      <c r="E64" s="116" t="s">
        <v>218</v>
      </c>
      <c r="F64" s="18" t="s">
        <v>32</v>
      </c>
      <c r="G64" s="18" t="s">
        <v>87</v>
      </c>
      <c r="H64" s="133" t="str" cm="1">
        <f t="array" ref="H64">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v>
      </c>
      <c r="I64" s="133" cm="1">
        <f t="array" ref="I64">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64" s="133" cm="1">
        <f t="array" ref="J64">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64" s="133" cm="1">
        <f t="array" ref="K64">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64" s="133" cm="1">
        <f t="array" ref="L64">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65" spans="3:12" outlineLevel="1" x14ac:dyDescent="0.25">
      <c r="C65" s="18" t="s">
        <v>157</v>
      </c>
      <c r="D65" s="18" t="s">
        <v>364</v>
      </c>
      <c r="E65" s="116" t="s">
        <v>218</v>
      </c>
      <c r="F65" s="18" t="s">
        <v>31</v>
      </c>
      <c r="G65" s="18" t="s">
        <v>87</v>
      </c>
      <c r="H65" s="133" cm="1">
        <f t="array" ref="H65">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65" s="133" t="str" cm="1">
        <f t="array" ref="I65">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v>
      </c>
      <c r="J65" s="133" t="str" cm="1">
        <f t="array" ref="J65">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v>
      </c>
      <c r="K65" s="133" t="str" cm="1">
        <f t="array" ref="K65">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v>
      </c>
      <c r="L65" s="133" t="str" cm="1">
        <f t="array" ref="L65">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v>
      </c>
    </row>
    <row r="66" spans="3:12" outlineLevel="1" x14ac:dyDescent="0.25">
      <c r="C66" s="18" t="s">
        <v>157</v>
      </c>
      <c r="D66" s="18" t="s">
        <v>364</v>
      </c>
      <c r="E66" s="116" t="s">
        <v>218</v>
      </c>
      <c r="F66" s="18" t="s">
        <v>32</v>
      </c>
      <c r="G66" s="18" t="s">
        <v>87</v>
      </c>
      <c r="H66" s="133" cm="1">
        <f t="array" ref="H66">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66" s="133" t="str" cm="1">
        <f t="array" ref="I66">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v>
      </c>
      <c r="J66" s="133" t="str" cm="1">
        <f t="array" ref="J66">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v>
      </c>
      <c r="K66" s="133" t="str" cm="1">
        <f t="array" ref="K66">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v>
      </c>
      <c r="L66" s="133" t="str" cm="1">
        <f t="array" ref="L66">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v>
      </c>
    </row>
    <row r="67" spans="3:12" outlineLevel="1" x14ac:dyDescent="0.25">
      <c r="C67" s="18" t="s">
        <v>164</v>
      </c>
      <c r="D67" s="18" t="s">
        <v>364</v>
      </c>
      <c r="E67" s="116" t="s">
        <v>218</v>
      </c>
      <c r="F67" s="18" t="s">
        <v>31</v>
      </c>
      <c r="G67" s="18" t="s">
        <v>87</v>
      </c>
      <c r="H67" s="133" cm="1">
        <f t="array" ref="H67">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67" s="133" t="str" cm="1">
        <f t="array" ref="I67">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v>
      </c>
      <c r="J67" s="133" t="str" cm="1">
        <f t="array" ref="J67">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v>
      </c>
      <c r="K67" s="133" t="str" cm="1">
        <f t="array" ref="K67">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v>
      </c>
      <c r="L67" s="133" t="str" cm="1">
        <f t="array" ref="L67">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v>
      </c>
    </row>
    <row r="68" spans="3:12" outlineLevel="1" x14ac:dyDescent="0.25">
      <c r="C68" s="18" t="s">
        <v>164</v>
      </c>
      <c r="D68" s="18" t="s">
        <v>364</v>
      </c>
      <c r="E68" s="116" t="s">
        <v>218</v>
      </c>
      <c r="F68" s="18" t="s">
        <v>32</v>
      </c>
      <c r="G68" s="18" t="s">
        <v>87</v>
      </c>
      <c r="H68" s="133" cm="1">
        <f t="array" ref="H68">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68" s="133" t="str" cm="1">
        <f t="array" ref="I68">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v>
      </c>
      <c r="J68" s="133" t="str" cm="1">
        <f t="array" ref="J68">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v>
      </c>
      <c r="K68" s="133" t="str" cm="1">
        <f t="array" ref="K68">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v>
      </c>
      <c r="L68" s="133" t="str" cm="1">
        <f t="array" ref="L68">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v>
      </c>
    </row>
    <row r="69" spans="3:12" outlineLevel="1" x14ac:dyDescent="0.25">
      <c r="C69" s="18" t="s">
        <v>223</v>
      </c>
      <c r="D69" s="18" t="s">
        <v>364</v>
      </c>
      <c r="E69" s="116" t="s">
        <v>218</v>
      </c>
      <c r="F69" s="18" t="s">
        <v>31</v>
      </c>
      <c r="G69" s="18" t="s">
        <v>87</v>
      </c>
      <c r="H69" s="133" cm="1">
        <f t="array" ref="H69">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69" s="133" cm="1">
        <f t="array" ref="I69">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69" s="133" cm="1">
        <f t="array" ref="J69">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69" s="133" cm="1">
        <f t="array" ref="K69">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69" s="133" cm="1">
        <f t="array" ref="L69">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70" spans="3:12" outlineLevel="1" x14ac:dyDescent="0.25">
      <c r="C70" s="18" t="s">
        <v>166</v>
      </c>
      <c r="D70" s="18" t="s">
        <v>364</v>
      </c>
      <c r="E70" s="116" t="s">
        <v>218</v>
      </c>
      <c r="F70" s="18" t="s">
        <v>31</v>
      </c>
      <c r="G70" s="18" t="s">
        <v>87</v>
      </c>
      <c r="H70" s="133" cm="1">
        <f t="array" ref="H70">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70" s="133" cm="1">
        <f t="array" ref="I70">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70" s="133" cm="1">
        <f t="array" ref="J70">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70" s="133" cm="1">
        <f t="array" ref="K70">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70" s="133" cm="1">
        <f t="array" ref="L70">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71" spans="3:12" outlineLevel="1" x14ac:dyDescent="0.25">
      <c r="C71" s="18" t="s">
        <v>166</v>
      </c>
      <c r="D71" s="18" t="s">
        <v>364</v>
      </c>
      <c r="E71" s="116" t="s">
        <v>218</v>
      </c>
      <c r="F71" s="18" t="s">
        <v>32</v>
      </c>
      <c r="G71" s="18" t="s">
        <v>87</v>
      </c>
      <c r="H71" s="133" cm="1">
        <f t="array" ref="H71">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71" s="133" cm="1">
        <f t="array" ref="I71">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71" s="133" cm="1">
        <f t="array" ref="J71">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71" s="133" cm="1">
        <f t="array" ref="K71">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71" s="133" cm="1">
        <f t="array" ref="L71">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72" spans="3:12" outlineLevel="1" x14ac:dyDescent="0.25">
      <c r="C72" s="18" t="s">
        <v>370</v>
      </c>
      <c r="D72" s="18" t="s">
        <v>364</v>
      </c>
      <c r="E72" s="116" t="s">
        <v>218</v>
      </c>
      <c r="F72" s="18" t="s">
        <v>31</v>
      </c>
      <c r="G72" s="18" t="s">
        <v>87</v>
      </c>
      <c r="H72" s="133" cm="1">
        <f t="array" ref="H72">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72" s="133" cm="1">
        <f t="array" ref="I72">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72" s="133" cm="1">
        <f t="array" ref="J72">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72" s="133" cm="1">
        <f t="array" ref="K72">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72" s="133" cm="1">
        <f t="array" ref="L72">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73" spans="3:12" outlineLevel="1" x14ac:dyDescent="0.25">
      <c r="C73" s="18" t="s">
        <v>370</v>
      </c>
      <c r="D73" s="18" t="s">
        <v>364</v>
      </c>
      <c r="E73" s="116" t="s">
        <v>218</v>
      </c>
      <c r="F73" s="18" t="s">
        <v>32</v>
      </c>
      <c r="G73" s="18" t="s">
        <v>87</v>
      </c>
      <c r="H73" s="133" cm="1">
        <f t="array" ref="H73">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73" s="133" cm="1">
        <f t="array" ref="I73">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73" s="133" cm="1">
        <f t="array" ref="J73">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73" s="133" cm="1">
        <f t="array" ref="K73">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73" s="133" cm="1">
        <f t="array" ref="L73">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74" spans="3:12" outlineLevel="1" x14ac:dyDescent="0.25">
      <c r="C74" s="18" t="s">
        <v>338</v>
      </c>
      <c r="D74" s="18" t="s">
        <v>365</v>
      </c>
      <c r="E74" s="116" t="s">
        <v>218</v>
      </c>
      <c r="F74" s="18" t="s">
        <v>31</v>
      </c>
      <c r="G74" s="18" t="s">
        <v>87</v>
      </c>
      <c r="H74" s="133" t="str" cm="1">
        <f t="array" ref="H74">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v>
      </c>
      <c r="I74" s="133" cm="1">
        <f t="array" ref="I74">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74" s="133" cm="1">
        <f t="array" ref="J74">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74" s="133" cm="1">
        <f t="array" ref="K74">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74" s="133" cm="1">
        <f t="array" ref="L74">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75" spans="3:12" outlineLevel="1" x14ac:dyDescent="0.25">
      <c r="C75" s="18" t="s">
        <v>338</v>
      </c>
      <c r="D75" s="18" t="s">
        <v>365</v>
      </c>
      <c r="E75" s="116" t="s">
        <v>218</v>
      </c>
      <c r="F75" s="18" t="s">
        <v>32</v>
      </c>
      <c r="G75" s="18" t="s">
        <v>87</v>
      </c>
      <c r="H75" s="133" t="str" cm="1">
        <f t="array" ref="H75">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v>
      </c>
      <c r="I75" s="133" cm="1">
        <f t="array" ref="I75">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75" s="133" cm="1">
        <f t="array" ref="J75">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75" s="133" cm="1">
        <f t="array" ref="K75">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75" s="133" cm="1">
        <f t="array" ref="L75">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76" spans="3:12" outlineLevel="1" x14ac:dyDescent="0.25">
      <c r="C76" s="18" t="s">
        <v>157</v>
      </c>
      <c r="D76" s="18" t="s">
        <v>365</v>
      </c>
      <c r="E76" s="116" t="s">
        <v>218</v>
      </c>
      <c r="F76" s="18" t="s">
        <v>31</v>
      </c>
      <c r="G76" s="18" t="s">
        <v>87</v>
      </c>
      <c r="H76" s="133" cm="1">
        <f t="array" ref="H76">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76" s="133" t="str" cm="1">
        <f t="array" ref="I76">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v>
      </c>
      <c r="J76" s="133" t="str" cm="1">
        <f t="array" ref="J76">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v>
      </c>
      <c r="K76" s="133" t="str" cm="1">
        <f t="array" ref="K76">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v>
      </c>
      <c r="L76" s="133" t="str" cm="1">
        <f t="array" ref="L76">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v>
      </c>
    </row>
    <row r="77" spans="3:12" outlineLevel="1" x14ac:dyDescent="0.25">
      <c r="C77" s="18" t="s">
        <v>157</v>
      </c>
      <c r="D77" s="18" t="s">
        <v>365</v>
      </c>
      <c r="E77" s="116" t="s">
        <v>218</v>
      </c>
      <c r="F77" s="18" t="s">
        <v>32</v>
      </c>
      <c r="G77" s="18" t="s">
        <v>87</v>
      </c>
      <c r="H77" s="133" cm="1">
        <f t="array" ref="H77">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77" s="133" t="str" cm="1">
        <f t="array" ref="I77">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v>
      </c>
      <c r="J77" s="133" t="str" cm="1">
        <f t="array" ref="J77">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v>
      </c>
      <c r="K77" s="133" t="str" cm="1">
        <f t="array" ref="K77">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v>
      </c>
      <c r="L77" s="133" t="str" cm="1">
        <f t="array" ref="L77">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v>
      </c>
    </row>
    <row r="78" spans="3:12" outlineLevel="1" x14ac:dyDescent="0.25">
      <c r="C78" s="18" t="s">
        <v>164</v>
      </c>
      <c r="D78" s="18" t="s">
        <v>365</v>
      </c>
      <c r="E78" s="116" t="s">
        <v>218</v>
      </c>
      <c r="F78" s="18" t="s">
        <v>31</v>
      </c>
      <c r="G78" s="18" t="s">
        <v>87</v>
      </c>
      <c r="H78" s="133" cm="1">
        <f t="array" ref="H78">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78" s="133" t="str" cm="1">
        <f t="array" ref="I78">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v>
      </c>
      <c r="J78" s="133" t="str" cm="1">
        <f t="array" ref="J78">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v>
      </c>
      <c r="K78" s="133" t="str" cm="1">
        <f t="array" ref="K78">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v>
      </c>
      <c r="L78" s="133" t="str" cm="1">
        <f t="array" ref="L78">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v>
      </c>
    </row>
    <row r="79" spans="3:12" outlineLevel="1" x14ac:dyDescent="0.25">
      <c r="C79" s="18" t="s">
        <v>164</v>
      </c>
      <c r="D79" s="18" t="s">
        <v>365</v>
      </c>
      <c r="E79" s="116" t="s">
        <v>218</v>
      </c>
      <c r="F79" s="18" t="s">
        <v>32</v>
      </c>
      <c r="G79" s="18" t="s">
        <v>87</v>
      </c>
      <c r="H79" s="133" cm="1">
        <f t="array" ref="H79">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79" s="133" t="str" cm="1">
        <f t="array" ref="I79">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v>
      </c>
      <c r="J79" s="133" t="str" cm="1">
        <f t="array" ref="J79">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v>
      </c>
      <c r="K79" s="133" t="str" cm="1">
        <f t="array" ref="K79">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v>
      </c>
      <c r="L79" s="133" t="str" cm="1">
        <f t="array" ref="L79">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v>
      </c>
    </row>
    <row r="80" spans="3:12" outlineLevel="1" x14ac:dyDescent="0.25">
      <c r="C80" s="18" t="s">
        <v>223</v>
      </c>
      <c r="D80" s="18" t="s">
        <v>365</v>
      </c>
      <c r="E80" s="116" t="s">
        <v>218</v>
      </c>
      <c r="F80" s="18" t="s">
        <v>31</v>
      </c>
      <c r="G80" s="18" t="s">
        <v>87</v>
      </c>
      <c r="H80" s="133" cm="1">
        <f t="array" ref="H80">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80" s="133" cm="1">
        <f t="array" ref="I80">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80" s="133" cm="1">
        <f t="array" ref="J80">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80" s="133" cm="1">
        <f t="array" ref="K80">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80" s="133" cm="1">
        <f t="array" ref="L80">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81" spans="3:12" outlineLevel="1" x14ac:dyDescent="0.25">
      <c r="C81" s="18" t="s">
        <v>166</v>
      </c>
      <c r="D81" s="18" t="s">
        <v>365</v>
      </c>
      <c r="E81" s="116" t="s">
        <v>218</v>
      </c>
      <c r="F81" s="18" t="s">
        <v>31</v>
      </c>
      <c r="G81" s="18" t="s">
        <v>87</v>
      </c>
      <c r="H81" s="133" cm="1">
        <f t="array" ref="H81">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81" s="133" cm="1">
        <f t="array" ref="I81">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81" s="133" cm="1">
        <f t="array" ref="J81">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81" s="133" cm="1">
        <f t="array" ref="K81">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81" s="133" cm="1">
        <f t="array" ref="L81">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82" spans="3:12" outlineLevel="1" x14ac:dyDescent="0.25">
      <c r="C82" s="18" t="s">
        <v>166</v>
      </c>
      <c r="D82" s="18" t="s">
        <v>365</v>
      </c>
      <c r="E82" s="116" t="s">
        <v>218</v>
      </c>
      <c r="F82" s="18" t="s">
        <v>32</v>
      </c>
      <c r="G82" s="18" t="s">
        <v>87</v>
      </c>
      <c r="H82" s="133" cm="1">
        <f t="array" ref="H82">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82" s="133" cm="1">
        <f t="array" ref="I82">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82" s="133" cm="1">
        <f t="array" ref="J82">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82" s="133" cm="1">
        <f t="array" ref="K82">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82" s="133" cm="1">
        <f t="array" ref="L82">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83" spans="3:12" outlineLevel="1" x14ac:dyDescent="0.25">
      <c r="C83" s="18" t="s">
        <v>370</v>
      </c>
      <c r="D83" s="18" t="s">
        <v>365</v>
      </c>
      <c r="E83" s="116" t="s">
        <v>218</v>
      </c>
      <c r="F83" s="18" t="s">
        <v>31</v>
      </c>
      <c r="G83" s="18" t="s">
        <v>87</v>
      </c>
      <c r="H83" s="133" cm="1">
        <f t="array" ref="H83">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83" s="133" cm="1">
        <f t="array" ref="I83">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83" s="133" cm="1">
        <f t="array" ref="J83">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83" s="133" cm="1">
        <f t="array" ref="K83">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83" s="133" cm="1">
        <f t="array" ref="L83">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84" spans="3:12" outlineLevel="1" x14ac:dyDescent="0.25">
      <c r="C84" s="18" t="s">
        <v>370</v>
      </c>
      <c r="D84" s="18" t="s">
        <v>365</v>
      </c>
      <c r="E84" s="116" t="s">
        <v>218</v>
      </c>
      <c r="F84" s="18" t="s">
        <v>32</v>
      </c>
      <c r="G84" s="18" t="s">
        <v>87</v>
      </c>
      <c r="H84" s="133" cm="1">
        <f t="array" ref="H84">IFERROR(
IF(OR(
AND(Calc_TUR_Env_1[[#Headers],[Ausnet]]="Ausnet",Calc_TUR_Env_1[[#This Row],[Rate type]]="Single rate"),
AND(Calc_TUR_Env_1[[#Headers],[Ausnet]]&lt;&gt;"Ausnet",OR(Calc_TUR_Env_1[[#This Row],[Rate type]]="Block 1",Calc_TUR_Env_1[[#This Row],[Rate type]]="Balance"))),"-",
SUMIFS(Calc_TUV_EnvGroup_1[Ausnet],
Calc_TUV_EnvGroup_1[Cost item],Calc_TUR_Env_1[[#This Row],[True up]],
Calc_TUV_EnvGroup_1[Cost element],Calc_TUR_Env_1[[#This Row],[Cost element]])
*
(TU_ENV_CostMths/TU_ENV_RateMths)),"-")</f>
        <v>0</v>
      </c>
      <c r="I84" s="133" cm="1">
        <f t="array" ref="I84">IFERROR(
IF(OR(
AND(Calc_TUR_Env_1[[#Headers],[Citipower]]="Ausnet",Calc_TUR_Env_1[[#This Row],[Rate type]]="Single rate"),
AND(Calc_TUR_Env_1[[#Headers],[Citipower]]&lt;&gt;"Ausnet",OR(Calc_TUR_Env_1[[#This Row],[Rate type]]="Block 1",Calc_TUR_Env_1[[#This Row],[Rate type]]="Balance"))),"-",
SUMIFS(Calc_TUV_EnvGroup_1[Citipower],
Calc_TUV_EnvGroup_1[Cost item],Calc_TUR_Env_1[[#This Row],[True up]],
Calc_TUV_EnvGroup_1[Cost element],Calc_TUR_Env_1[[#This Row],[Cost element]])
*
(TU_ENV_CostMths/TU_ENV_RateMths)),"-")</f>
        <v>0</v>
      </c>
      <c r="J84" s="133" cm="1">
        <f t="array" ref="J84">IFERROR(
IF(OR(
AND(Calc_TUR_Env_1[[#Headers],[Jemena]]="Ausnet",Calc_TUR_Env_1[[#This Row],[Rate type]]="Single rate"),
AND(Calc_TUR_Env_1[[#Headers],[Jemena]]&lt;&gt;"Ausnet",OR(Calc_TUR_Env_1[[#This Row],[Rate type]]="Block 1",Calc_TUR_Env_1[[#This Row],[Rate type]]="Balance"))),"-",
SUMIFS(Calc_TUV_EnvGroup_1[Jemena],
Calc_TUV_EnvGroup_1[Cost item],Calc_TUR_Env_1[[#This Row],[True up]],
Calc_TUV_EnvGroup_1[Cost element],Calc_TUR_Env_1[[#This Row],[Cost element]])
*
(TU_ENV_CostMths/TU_ENV_RateMths)),"-")</f>
        <v>0</v>
      </c>
      <c r="K84" s="133" cm="1">
        <f t="array" ref="K84">IFERROR(
IF(OR(
AND(Calc_TUR_Env_1[[#Headers],[Powercor]]="Ausnet",Calc_TUR_Env_1[[#This Row],[Rate type]]="Single rate"),
AND(Calc_TUR_Env_1[[#Headers],[Powercor]]&lt;&gt;"Ausnet",OR(Calc_TUR_Env_1[[#This Row],[Rate type]]="Block 1",Calc_TUR_Env_1[[#This Row],[Rate type]]="Balance"))),"-",
SUMIFS(Calc_TUV_EnvGroup_1[Powercor],
Calc_TUV_EnvGroup_1[Cost item],Calc_TUR_Env_1[[#This Row],[True up]],
Calc_TUV_EnvGroup_1[Cost element],Calc_TUR_Env_1[[#This Row],[Cost element]])
*
(TU_ENV_CostMths/TU_ENV_RateMths)),"-")</f>
        <v>0</v>
      </c>
      <c r="L84" s="133" cm="1">
        <f t="array" ref="L84">IFERROR(
IF(OR(
AND(Calc_TUR_Env_1[[#Headers],[United Energy]]="Ausnet",Calc_TUR_Env_1[[#This Row],[Rate type]]="Single rate"),
AND(Calc_TUR_Env_1[[#Headers],[United Energy]]&lt;&gt;"Ausnet",OR(Calc_TUR_Env_1[[#This Row],[Rate type]]="Block 1",Calc_TUR_Env_1[[#This Row],[Rate type]]="Balance"))),"-",
SUMIFS(Calc_TUV_EnvGroup_1[United Energy],
Calc_TUV_EnvGroup_1[Cost item],Calc_TUR_Env_1[[#This Row],[True up]],
Calc_TUV_EnvGroup_1[Cost element],Calc_TUR_Env_1[[#This Row],[Cost element]])
*
(TU_ENV_CostMths/TU_ENV_RateMths)),"-")</f>
        <v>0</v>
      </c>
    </row>
    <row r="85" spans="3:12" outlineLevel="1" x14ac:dyDescent="0.25"/>
    <row r="86" spans="3:12" ht="15.75" outlineLevel="1" x14ac:dyDescent="0.25">
      <c r="C86" s="23" t="s">
        <v>15</v>
      </c>
    </row>
    <row r="87" spans="3:12" ht="15.75" outlineLevel="1" x14ac:dyDescent="0.25">
      <c r="C87" s="110" t="s">
        <v>308</v>
      </c>
      <c r="D87" s="110" t="s">
        <v>249</v>
      </c>
      <c r="E87" s="110" t="s">
        <v>38</v>
      </c>
      <c r="F87" s="110" t="s">
        <v>30</v>
      </c>
      <c r="G87" s="110" t="s">
        <v>23</v>
      </c>
      <c r="H87" s="126" t="s">
        <v>204</v>
      </c>
      <c r="I87" s="126" t="s">
        <v>205</v>
      </c>
      <c r="J87" s="126" t="s">
        <v>206</v>
      </c>
      <c r="K87" s="126" t="s">
        <v>207</v>
      </c>
      <c r="L87" s="126" t="s">
        <v>208</v>
      </c>
    </row>
    <row r="88" spans="3:12" ht="15.75" outlineLevel="1" x14ac:dyDescent="0.25">
      <c r="C88" s="18" t="s">
        <v>338</v>
      </c>
      <c r="D88" s="18" t="s">
        <v>363</v>
      </c>
      <c r="E88" s="116" t="s">
        <v>218</v>
      </c>
      <c r="F88" s="18" t="s">
        <v>31</v>
      </c>
      <c r="G88" s="18" t="s">
        <v>87</v>
      </c>
      <c r="H88" s="79" t="str">
        <f>IF(H52="-","-",
IF(
ROUND(H52,8)=
ROUND(SUMIFS(Calc_TUV_EnvGroup_1[Ausnet],Calc_TUV_EnvGroup_1[Cost item],$D88,Calc_TUV_EnvGroup_1[Cost element],$G88)*(TU_ENV_CostMths/TU_ENV_RateMths),8),
0,1))</f>
        <v>-</v>
      </c>
      <c r="I88" s="79">
        <f>IF(I52="-","-",
IF(
ROUND(I52,8)=
ROUND(SUMIFS(Calc_TUV_EnvGroup_1[Citipower],Calc_TUV_EnvGroup_1[Cost item],$D88,Calc_TUV_EnvGroup_1[Cost element],$G88)*(TU_ENV_CostMths/TU_ENV_RateMths),8),
0,1))</f>
        <v>0</v>
      </c>
      <c r="J88" s="79">
        <f>IF(J52="-","-",
IF(
ROUND(J52,8)=
ROUND(SUMIFS(Calc_TUV_EnvGroup_1[Jemena],Calc_TUV_EnvGroup_1[Cost item],$D88,Calc_TUV_EnvGroup_1[Cost element],$G88)*(TU_ENV_CostMths/TU_ENV_RateMths),8),
0,1))</f>
        <v>0</v>
      </c>
      <c r="K88" s="79">
        <f>IF(K52="-","-",
IF(
ROUND(K52,8)=
ROUND(SUMIFS(Calc_TUV_EnvGroup_1[Powercor],Calc_TUV_EnvGroup_1[Cost item],$D88,Calc_TUV_EnvGroup_1[Cost element],$G88)*(TU_ENV_CostMths/TU_ENV_RateMths),8),
0,1))</f>
        <v>0</v>
      </c>
      <c r="L88" s="79">
        <f>IF(L52="-","-",
IF(
ROUND(L52,8)=
ROUND(SUMIFS(Calc_TUV_EnvGroup_1[United Energy],Calc_TUV_EnvGroup_1[Cost item],$D88,Calc_TUV_EnvGroup_1[Cost element],$G88)*(TU_ENV_CostMths/TU_ENV_RateMths),8),
0,1))</f>
        <v>0</v>
      </c>
    </row>
    <row r="89" spans="3:12" ht="15.75" outlineLevel="1" x14ac:dyDescent="0.25">
      <c r="C89" s="18" t="s">
        <v>338</v>
      </c>
      <c r="D89" s="18" t="s">
        <v>363</v>
      </c>
      <c r="E89" s="116" t="s">
        <v>218</v>
      </c>
      <c r="F89" s="18" t="s">
        <v>32</v>
      </c>
      <c r="G89" s="18" t="s">
        <v>87</v>
      </c>
      <c r="H89" s="79" t="str">
        <f>IF(H53="-","-",
IF(
ROUND(H53,8)=
ROUND(SUMIFS(Calc_TUV_EnvGroup_1[Ausnet],Calc_TUV_EnvGroup_1[Cost item],$D89,Calc_TUV_EnvGroup_1[Cost element],$G89)*(TU_ENV_CostMths/TU_ENV_RateMths),8),
0,1))</f>
        <v>-</v>
      </c>
      <c r="I89" s="79">
        <f>IF(I53="-","-",
IF(
ROUND(I53,8)=
ROUND(SUMIFS(Calc_TUV_EnvGroup_1[Citipower],Calc_TUV_EnvGroup_1[Cost item],$D89,Calc_TUV_EnvGroup_1[Cost element],$G89)*(TU_ENV_CostMths/TU_ENV_RateMths),8),
0,1))</f>
        <v>0</v>
      </c>
      <c r="J89" s="79">
        <f>IF(J53="-","-",
IF(
ROUND(J53,8)=
ROUND(SUMIFS(Calc_TUV_EnvGroup_1[Jemena],Calc_TUV_EnvGroup_1[Cost item],$D89,Calc_TUV_EnvGroup_1[Cost element],$G89)*(TU_ENV_CostMths/TU_ENV_RateMths),8),
0,1))</f>
        <v>0</v>
      </c>
      <c r="K89" s="79">
        <f>IF(K53="-","-",
IF(
ROUND(K53,8)=
ROUND(SUMIFS(Calc_TUV_EnvGroup_1[Powercor],Calc_TUV_EnvGroup_1[Cost item],$D89,Calc_TUV_EnvGroup_1[Cost element],$G89)*(TU_ENV_CostMths/TU_ENV_RateMths),8),
0,1))</f>
        <v>0</v>
      </c>
      <c r="L89" s="79">
        <f>IF(L53="-","-",
IF(
ROUND(L53,8)=
ROUND(SUMIFS(Calc_TUV_EnvGroup_1[United Energy],Calc_TUV_EnvGroup_1[Cost item],$D89,Calc_TUV_EnvGroup_1[Cost element],$G89)*(TU_ENV_CostMths/TU_ENV_RateMths),8),
0,1))</f>
        <v>0</v>
      </c>
    </row>
    <row r="90" spans="3:12" ht="15.75" outlineLevel="1" x14ac:dyDescent="0.25">
      <c r="C90" s="18" t="s">
        <v>157</v>
      </c>
      <c r="D90" s="18" t="s">
        <v>363</v>
      </c>
      <c r="E90" s="116" t="s">
        <v>218</v>
      </c>
      <c r="F90" s="18" t="s">
        <v>31</v>
      </c>
      <c r="G90" s="18" t="s">
        <v>87</v>
      </c>
      <c r="H90" s="79">
        <f>IF(H54="-","-",
IF(
ROUND(H54,8)=
ROUND(SUMIFS(Calc_TUV_EnvGroup_1[Ausnet],Calc_TUV_EnvGroup_1[Cost item],$D90,Calc_TUV_EnvGroup_1[Cost element],$G90)*(TU_ENV_CostMths/TU_ENV_RateMths),8),
0,1))</f>
        <v>0</v>
      </c>
      <c r="I90" s="79" t="str">
        <f>IF(I54="-","-",
IF(
ROUND(I54,8)=
ROUND(SUMIFS(Calc_TUV_EnvGroup_1[Citipower],Calc_TUV_EnvGroup_1[Cost item],$D90,Calc_TUV_EnvGroup_1[Cost element],$G90)*(TU_ENV_CostMths/TU_ENV_RateMths),8),
0,1))</f>
        <v>-</v>
      </c>
      <c r="J90" s="79" t="str">
        <f>IF(J54="-","-",
IF(
ROUND(J54,8)=
ROUND(SUMIFS(Calc_TUV_EnvGroup_1[Jemena],Calc_TUV_EnvGroup_1[Cost item],$D90,Calc_TUV_EnvGroup_1[Cost element],$G90)*(TU_ENV_CostMths/TU_ENV_RateMths),8),
0,1))</f>
        <v>-</v>
      </c>
      <c r="K90" s="79" t="str">
        <f>IF(K54="-","-",
IF(
ROUND(K54,8)=
ROUND(SUMIFS(Calc_TUV_EnvGroup_1[Powercor],Calc_TUV_EnvGroup_1[Cost item],$D90,Calc_TUV_EnvGroup_1[Cost element],$G90)*(TU_ENV_CostMths/TU_ENV_RateMths),8),
0,1))</f>
        <v>-</v>
      </c>
      <c r="L90" s="79" t="str">
        <f>IF(L54="-","-",
IF(
ROUND(L54,8)=
ROUND(SUMIFS(Calc_TUV_EnvGroup_1[United Energy],Calc_TUV_EnvGroup_1[Cost item],$D90,Calc_TUV_EnvGroup_1[Cost element],$G90)*(TU_ENV_CostMths/TU_ENV_RateMths),8),
0,1))</f>
        <v>-</v>
      </c>
    </row>
    <row r="91" spans="3:12" ht="15.75" outlineLevel="1" x14ac:dyDescent="0.25">
      <c r="C91" s="18" t="s">
        <v>157</v>
      </c>
      <c r="D91" s="18" t="s">
        <v>363</v>
      </c>
      <c r="E91" s="116" t="s">
        <v>218</v>
      </c>
      <c r="F91" s="18" t="s">
        <v>32</v>
      </c>
      <c r="G91" s="18" t="s">
        <v>87</v>
      </c>
      <c r="H91" s="79">
        <f>IF(H55="-","-",
IF(
ROUND(H55,8)=
ROUND(SUMIFS(Calc_TUV_EnvGroup_1[Ausnet],Calc_TUV_EnvGroup_1[Cost item],$D91,Calc_TUV_EnvGroup_1[Cost element],$G91)*(TU_ENV_CostMths/TU_ENV_RateMths),8),
0,1))</f>
        <v>0</v>
      </c>
      <c r="I91" s="79" t="str">
        <f>IF(I55="-","-",
IF(
ROUND(I55,8)=
ROUND(SUMIFS(Calc_TUV_EnvGroup_1[Citipower],Calc_TUV_EnvGroup_1[Cost item],$D91,Calc_TUV_EnvGroup_1[[Cost element]:[Cost element]],$G91)*(TU_ENV_CostMths/TU_ENV_RateMths),8),
0,1))</f>
        <v>-</v>
      </c>
      <c r="J91" s="79" t="str">
        <f>IF(J55="-","-",
IF(
ROUND(J55,8)=
ROUND(SUMIFS(Calc_TUV_EnvGroup_1[Jemena],Calc_TUV_EnvGroup_1[[Cost item]:[Cost item]],$D91,Calc_TUV_EnvGroup_1[[Cost element]:[Cost element]],$G91)*(TU_ENV_CostMths/TU_ENV_RateMths),8),
0,1))</f>
        <v>-</v>
      </c>
      <c r="K91" s="79" t="str">
        <f>IF(K55="-","-",
IF(
ROUND(K55,8)=
ROUND(SUMIFS(Calc_TUV_EnvGroup_1[Powercor],Calc_TUV_EnvGroup_1[[Cost item]:[Cost item]],$D91,Calc_TUV_EnvGroup_1[[Cost element]:[Cost element]],$G91)*(TU_ENV_CostMths/TU_ENV_RateMths),8),
0,1))</f>
        <v>-</v>
      </c>
      <c r="L91" s="79" t="str">
        <f>IF(L55="-","-",
IF(
ROUND(L55,8)=
ROUND(SUMIFS(Calc_TUV_EnvGroup_1[United Energy],Calc_TUV_EnvGroup_1[[Cost item]:[Cost item]],$D91,Calc_TUV_EnvGroup_1[[Cost element]:[Cost element]],$G91)*(TU_ENV_CostMths/TU_ENV_RateMths),8),
0,1))</f>
        <v>-</v>
      </c>
    </row>
    <row r="92" spans="3:12" ht="15.75" outlineLevel="1" x14ac:dyDescent="0.25">
      <c r="C92" s="18" t="s">
        <v>164</v>
      </c>
      <c r="D92" s="18" t="s">
        <v>363</v>
      </c>
      <c r="E92" s="116" t="s">
        <v>218</v>
      </c>
      <c r="F92" s="18" t="s">
        <v>31</v>
      </c>
      <c r="G92" s="18" t="s">
        <v>87</v>
      </c>
      <c r="H92" s="79">
        <f>IF(H56="-","-",
IF(
ROUND(H56,8)=
ROUND(SUMIFS(Calc_TUV_EnvGroup_1[Ausnet],Calc_TUV_EnvGroup_1[Cost item],$D92,Calc_TUV_EnvGroup_1[Cost element],$G92)*(TU_ENV_CostMths/TU_ENV_RateMths),8),
0,1))</f>
        <v>0</v>
      </c>
      <c r="I92" s="79" t="str">
        <f>IF(I56="-","-",
IF(
ROUND(I56,8)=
ROUND(SUMIFS(Calc_TUV_EnvGroup_1[Citipower],Calc_TUV_EnvGroup_1[[Cost item]:[Cost item]],$D92,Calc_TUV_EnvGroup_1[[Cost element]:[Cost element]],$G92)*(TU_ENV_CostMths/TU_ENV_RateMths),8),
0,1))</f>
        <v>-</v>
      </c>
      <c r="J92" s="79" t="str">
        <f>IF(J56="-","-",
IF(
ROUND(J56,8)=
ROUND(SUMIFS(Calc_TUV_EnvGroup_1[Jemena],Calc_TUV_EnvGroup_1[[Cost item]:[Cost item]],$D92,Calc_TUV_EnvGroup_1[[Cost element]:[Cost element]],$G92)*(TU_ENV_CostMths/TU_ENV_RateMths),8),
0,1))</f>
        <v>-</v>
      </c>
      <c r="K92" s="79" t="str">
        <f>IF(K56="-","-",
IF(
ROUND(K56,8)=
ROUND(SUMIFS(Calc_TUV_EnvGroup_1[Powercor],Calc_TUV_EnvGroup_1[[Cost item]:[Cost item]],$D92,Calc_TUV_EnvGroup_1[[Cost element]:[Cost element]],$G92)*(TU_ENV_CostMths/TU_ENV_RateMths),8),
0,1))</f>
        <v>-</v>
      </c>
      <c r="L92" s="79" t="str">
        <f>IF(L56="-","-",
IF(
ROUND(L56,8)=
ROUND(SUMIFS(Calc_TUV_EnvGroup_1[United Energy],Calc_TUV_EnvGroup_1[[Cost item]:[Cost item]],$D92,Calc_TUV_EnvGroup_1[[Cost element]:[Cost element]],$G92)*(TU_ENV_CostMths/TU_ENV_RateMths),8),
0,1))</f>
        <v>-</v>
      </c>
    </row>
    <row r="93" spans="3:12" ht="15.75" outlineLevel="1" x14ac:dyDescent="0.25">
      <c r="C93" s="18" t="s">
        <v>164</v>
      </c>
      <c r="D93" s="18" t="s">
        <v>363</v>
      </c>
      <c r="E93" s="116" t="s">
        <v>218</v>
      </c>
      <c r="F93" s="18" t="s">
        <v>32</v>
      </c>
      <c r="G93" s="18" t="s">
        <v>87</v>
      </c>
      <c r="H93" s="79">
        <f>IF(H57="-","-",
IF(
ROUND(H57,8)=
ROUND(SUMIFS(Calc_TUV_EnvGroup_1[Ausnet],Calc_TUV_EnvGroup_1[Cost item],$D93,Calc_TUV_EnvGroup_1[Cost element],$G93)*(TU_ENV_CostMths/TU_ENV_RateMths),8),
0,1))</f>
        <v>0</v>
      </c>
      <c r="I93" s="79" t="str">
        <f>IF(I57="-","-",
IF(
ROUND(I57,8)=
ROUND(SUMIFS(Calc_TUV_EnvGroup_1[Citipower],Calc_TUV_EnvGroup_1[[Cost item]:[Cost item]],$D93,Calc_TUV_EnvGroup_1[[Cost element]:[Cost element]],$G93)*(TU_ENV_CostMths/TU_ENV_RateMths),8),
0,1))</f>
        <v>-</v>
      </c>
      <c r="J93" s="79" t="str">
        <f>IF(J57="-","-",
IF(
ROUND(J57,8)=
ROUND(SUMIFS(Calc_TUV_EnvGroup_1[Jemena],Calc_TUV_EnvGroup_1[[Cost item]:[Cost item]],$D93,Calc_TUV_EnvGroup_1[[Cost element]:[Cost element]],$G93)*(TU_ENV_CostMths/TU_ENV_RateMths),8),
0,1))</f>
        <v>-</v>
      </c>
      <c r="K93" s="79" t="str">
        <f>IF(K57="-","-",
IF(
ROUND(K57,8)=
ROUND(SUMIFS(Calc_TUV_EnvGroup_1[Powercor],Calc_TUV_EnvGroup_1[[Cost item]:[Cost item]],$D93,Calc_TUV_EnvGroup_1[[Cost element]:[Cost element]],$G93)*(TU_ENV_CostMths/TU_ENV_RateMths),8),
0,1))</f>
        <v>-</v>
      </c>
      <c r="L93" s="79" t="str">
        <f>IF(L57="-","-",
IF(
ROUND(L57,8)=
ROUND(SUMIFS(Calc_TUV_EnvGroup_1[United Energy],Calc_TUV_EnvGroup_1[[Cost item]:[Cost item]],$D93,Calc_TUV_EnvGroup_1[[Cost element]:[Cost element]],$G93)*(TU_ENV_CostMths/TU_ENV_RateMths),8),
0,1))</f>
        <v>-</v>
      </c>
    </row>
    <row r="94" spans="3:12" ht="15.75" outlineLevel="1" x14ac:dyDescent="0.25">
      <c r="C94" s="18" t="s">
        <v>223</v>
      </c>
      <c r="D94" s="18" t="s">
        <v>363</v>
      </c>
      <c r="E94" s="116" t="s">
        <v>218</v>
      </c>
      <c r="F94" s="18" t="s">
        <v>31</v>
      </c>
      <c r="G94" s="18" t="s">
        <v>87</v>
      </c>
      <c r="H94" s="79">
        <f>IF(H58="-","-",
IF(
ROUND(H58,8)=
ROUND(SUMIFS(Calc_TUV_EnvGroup_1[Ausnet],Calc_TUV_EnvGroup_1[Cost item],$D94,Calc_TUV_EnvGroup_1[Cost element],$G94)*(TU_ENV_CostMths/TU_ENV_RateMths),8),
0,1))</f>
        <v>0</v>
      </c>
      <c r="I94" s="79">
        <f>IF(I58="-","-",
IF(
ROUND(I58,8)=
ROUND(SUMIFS(Calc_TUV_EnvGroup_1[Citipower],Calc_TUV_EnvGroup_1[[Cost item]:[Cost item]],$D94,Calc_TUV_EnvGroup_1[[Cost element]:[Cost element]],$G94)*(TU_ENV_CostMths/TU_ENV_RateMths),8),
0,1))</f>
        <v>0</v>
      </c>
      <c r="J94" s="79">
        <f>IF(J58="-","-",
IF(
ROUND(J58,8)=
ROUND(SUMIFS(Calc_TUV_EnvGroup_1[Jemena],Calc_TUV_EnvGroup_1[[Cost item]:[Cost item]],$D94,Calc_TUV_EnvGroup_1[[Cost element]:[Cost element]],$G94)*(TU_ENV_CostMths/TU_ENV_RateMths),8),
0,1))</f>
        <v>0</v>
      </c>
      <c r="K94" s="79">
        <f>IF(K58="-","-",
IF(
ROUND(K58,8)=
ROUND(SUMIFS(Calc_TUV_EnvGroup_1[Powercor],Calc_TUV_EnvGroup_1[[Cost item]:[Cost item]],$D94,Calc_TUV_EnvGroup_1[[Cost element]:[Cost element]],$G94)*(TU_ENV_CostMths/TU_ENV_RateMths),8),
0,1))</f>
        <v>0</v>
      </c>
      <c r="L94" s="79">
        <f>IF(L58="-","-",
IF(
ROUND(L58,8)=
ROUND(SUMIFS(Calc_TUV_EnvGroup_1[United Energy],Calc_TUV_EnvGroup_1[[Cost item]:[Cost item]],$D94,Calc_TUV_EnvGroup_1[[Cost element]:[Cost element]],$G94)*(TU_ENV_CostMths/TU_ENV_RateMths),8),
0,1))</f>
        <v>0</v>
      </c>
    </row>
    <row r="95" spans="3:12" ht="15.75" outlineLevel="1" x14ac:dyDescent="0.25">
      <c r="C95" s="18" t="s">
        <v>166</v>
      </c>
      <c r="D95" s="18" t="s">
        <v>363</v>
      </c>
      <c r="E95" s="116" t="s">
        <v>218</v>
      </c>
      <c r="F95" s="18" t="s">
        <v>31</v>
      </c>
      <c r="G95" s="18" t="s">
        <v>87</v>
      </c>
      <c r="H95" s="79">
        <f>IF(H59="-","-",
IF(
ROUND(H59,8)=
ROUND(SUMIFS(Calc_TUV_EnvGroup_1[Ausnet],Calc_TUV_EnvGroup_1[Cost item],$D95,Calc_TUV_EnvGroup_1[Cost element],$G95)*(TU_ENV_CostMths/TU_ENV_RateMths),8),
0,1))</f>
        <v>0</v>
      </c>
      <c r="I95" s="79">
        <f>IF(I59="-","-",
IF(
ROUND(I59,8)=
ROUND(SUMIFS(Calc_TUV_EnvGroup_1[Citipower],Calc_TUV_EnvGroup_1[[Cost item]:[Cost item]],$D95,Calc_TUV_EnvGroup_1[[Cost element]:[Cost element]],$G95)*(TU_ENV_CostMths/TU_ENV_RateMths),8),
0,1))</f>
        <v>0</v>
      </c>
      <c r="J95" s="79">
        <f>IF(J59="-","-",
IF(
ROUND(J59,8)=
ROUND(SUMIFS(Calc_TUV_EnvGroup_1[Jemena],Calc_TUV_EnvGroup_1[[Cost item]:[Cost item]],$D95,Calc_TUV_EnvGroup_1[[Cost element]:[Cost element]],$G95)*(TU_ENV_CostMths/TU_ENV_RateMths),8),
0,1))</f>
        <v>0</v>
      </c>
      <c r="K95" s="79">
        <f>IF(K59="-","-",
IF(
ROUND(K59,8)=
ROUND(SUMIFS(Calc_TUV_EnvGroup_1[Powercor],Calc_TUV_EnvGroup_1[[Cost item]:[Cost item]],$D95,Calc_TUV_EnvGroup_1[[Cost element]:[Cost element]],$G95)*(TU_ENV_CostMths/TU_ENV_RateMths),8),
0,1))</f>
        <v>0</v>
      </c>
      <c r="L95" s="79">
        <f>IF(L59="-","-",
IF(
ROUND(L59,8)=
ROUND(SUMIFS(Calc_TUV_EnvGroup_1[United Energy],Calc_TUV_EnvGroup_1[[Cost item]:[Cost item]],$D95,Calc_TUV_EnvGroup_1[[Cost element]:[Cost element]],$G95)*(TU_ENV_CostMths/TU_ENV_RateMths),8),
0,1))</f>
        <v>0</v>
      </c>
    </row>
    <row r="96" spans="3:12" ht="15.75" outlineLevel="1" x14ac:dyDescent="0.25">
      <c r="C96" s="18" t="s">
        <v>166</v>
      </c>
      <c r="D96" s="18" t="s">
        <v>363</v>
      </c>
      <c r="E96" s="116" t="s">
        <v>218</v>
      </c>
      <c r="F96" s="18" t="s">
        <v>32</v>
      </c>
      <c r="G96" s="18" t="s">
        <v>87</v>
      </c>
      <c r="H96" s="79">
        <f>IF(H60="-","-",
IF(
ROUND(H60,8)=
ROUND(SUMIFS(Calc_TUV_EnvGroup_1[Ausnet],Calc_TUV_EnvGroup_1[Cost item],$D96,Calc_TUV_EnvGroup_1[Cost element],$G96)*(TU_ENV_CostMths/TU_ENV_RateMths),8),
0,1))</f>
        <v>0</v>
      </c>
      <c r="I96" s="79">
        <f>IF(I60="-","-",
IF(
ROUND(I60,8)=
ROUND(SUMIFS(Calc_TUV_EnvGroup_1[Citipower],Calc_TUV_EnvGroup_1[[Cost item]:[Cost item]],$D96,Calc_TUV_EnvGroup_1[[Cost element]:[Cost element]],$G96)*(TU_ENV_CostMths/TU_ENV_RateMths),8),
0,1))</f>
        <v>0</v>
      </c>
      <c r="J96" s="79">
        <f>IF(J60="-","-",
IF(
ROUND(J60,8)=
ROUND(SUMIFS(Calc_TUV_EnvGroup_1[Jemena],Calc_TUV_EnvGroup_1[[Cost item]:[Cost item]],$D96,Calc_TUV_EnvGroup_1[[Cost element]:[Cost element]],$G96)*(TU_ENV_CostMths/TU_ENV_RateMths),8),
0,1))</f>
        <v>0</v>
      </c>
      <c r="K96" s="79">
        <f>IF(K60="-","-",
IF(
ROUND(K60,8)=
ROUND(SUMIFS(Calc_TUV_EnvGroup_1[Powercor],Calc_TUV_EnvGroup_1[[Cost item]:[Cost item]],$D96,Calc_TUV_EnvGroup_1[[Cost element]:[Cost element]],$G96)*(TU_ENV_CostMths/TU_ENV_RateMths),8),
0,1))</f>
        <v>0</v>
      </c>
      <c r="L96" s="79">
        <f>IF(L60="-","-",
IF(
ROUND(L60,8)=
ROUND(SUMIFS(Calc_TUV_EnvGroup_1[United Energy],Calc_TUV_EnvGroup_1[Cost item],$D96,Calc_TUV_EnvGroup_1[Cost element],$G96)*(TU_ENV_CostMths/TU_ENV_RateMths),8),
0,1))</f>
        <v>0</v>
      </c>
    </row>
    <row r="97" spans="3:12" ht="15.75" outlineLevel="1" x14ac:dyDescent="0.25">
      <c r="C97" s="18" t="s">
        <v>370</v>
      </c>
      <c r="D97" s="18" t="s">
        <v>363</v>
      </c>
      <c r="E97" s="116" t="s">
        <v>218</v>
      </c>
      <c r="F97" s="18" t="s">
        <v>31</v>
      </c>
      <c r="G97" s="18" t="s">
        <v>87</v>
      </c>
      <c r="H97" s="79">
        <f>IF(H61="-","-",
IF(
ROUND(H61,8)=
ROUND(SUMIFS(Calc_TUV_EnvGroup_1[Ausnet],Calc_TUV_EnvGroup_1[Cost item],$D97,Calc_TUV_EnvGroup_1[Cost element],$G97)*(TU_ENV_CostMths/TU_ENV_RateMths),8),
0,1))</f>
        <v>0</v>
      </c>
      <c r="I97" s="79">
        <f>IF(I61="-","-",
IF(
ROUND(I61,8)=
ROUND(SUMIFS(Calc_TUV_EnvGroup_1[Citipower],Calc_TUV_EnvGroup_1[[Cost item]:[Cost item]],$D97,Calc_TUV_EnvGroup_1[[Cost element]:[Cost element]],$G97)*(TU_ENV_CostMths/TU_ENV_RateMths),8),
0,1))</f>
        <v>0</v>
      </c>
      <c r="J97" s="79">
        <f>IF(J61="-","-",
IF(
ROUND(J61,8)=
ROUND(SUMIFS(Calc_TUV_EnvGroup_1[Jemena],Calc_TUV_EnvGroup_1[[Cost item]:[Cost item]],$D97,Calc_TUV_EnvGroup_1[[Cost element]:[Cost element]],$G97)*(TU_ENV_CostMths/TU_ENV_RateMths),8),
0,1))</f>
        <v>0</v>
      </c>
      <c r="K97" s="79">
        <f>IF(K61="-","-",
IF(
ROUND(K61,8)=
ROUND(SUMIFS(Calc_TUV_EnvGroup_1[Powercor],Calc_TUV_EnvGroup_1[[Cost item]:[Cost item]],$D97,Calc_TUV_EnvGroup_1[[Cost element]:[Cost element]],$G97)*(TU_ENV_CostMths/TU_ENV_RateMths),8),
0,1))</f>
        <v>0</v>
      </c>
      <c r="L97" s="79">
        <f>IF(L61="-","-",
IF(
ROUND(L61,8)=
ROUND(SUMIFS(Calc_TUV_EnvGroup_1[United Energy],Calc_TUV_EnvGroup_1[[Cost item]:[Cost item]],$D97,Calc_TUV_EnvGroup_1[[Cost element]:[Cost element]],$G97)*(TU_ENV_CostMths/TU_ENV_RateMths),8),
0,1))</f>
        <v>0</v>
      </c>
    </row>
    <row r="98" spans="3:12" ht="15.75" outlineLevel="1" x14ac:dyDescent="0.25">
      <c r="C98" s="18" t="s">
        <v>370</v>
      </c>
      <c r="D98" s="18" t="s">
        <v>363</v>
      </c>
      <c r="E98" s="116" t="s">
        <v>218</v>
      </c>
      <c r="F98" s="18" t="s">
        <v>32</v>
      </c>
      <c r="G98" s="18" t="s">
        <v>87</v>
      </c>
      <c r="H98" s="79">
        <f>IF(H62="-","-",
IF(
ROUND(H62,8)=
ROUND(SUMIFS(Calc_TUV_EnvGroup_1[Ausnet],Calc_TUV_EnvGroup_1[Cost item],$D98,Calc_TUV_EnvGroup_1[Cost element],$G98)*(TU_ENV_CostMths/TU_ENV_RateMths),8),
0,1))</f>
        <v>0</v>
      </c>
      <c r="I98" s="79">
        <f>IF(I62="-","-",
IF(
ROUND(I62,8)=
ROUND(SUMIFS(Calc_TUV_EnvGroup_1[Citipower],Calc_TUV_EnvGroup_1[[Cost item]:[Cost item]],$D98,Calc_TUV_EnvGroup_1[[Cost element]:[Cost element]],$G98)*(TU_ENV_CostMths/TU_ENV_RateMths),8),
0,1))</f>
        <v>0</v>
      </c>
      <c r="J98" s="79">
        <f>IF(J62="-","-",
IF(
ROUND(J62,8)=
ROUND(SUMIFS(Calc_TUV_EnvGroup_1[Jemena],Calc_TUV_EnvGroup_1[[Cost item]:[Cost item]],$D98,Calc_TUV_EnvGroup_1[[Cost element]:[Cost element]],$G98)*(TU_ENV_CostMths/TU_ENV_RateMths),8),
0,1))</f>
        <v>0</v>
      </c>
      <c r="K98" s="79">
        <f>IF(K62="-","-",
IF(
ROUND(K62,8)=
ROUND(SUMIFS(Calc_TUV_EnvGroup_1[Powercor],Calc_TUV_EnvGroup_1[[Cost item]:[Cost item]],$D98,Calc_TUV_EnvGroup_1[[Cost element]:[Cost element]],$G98)*(TU_ENV_CostMths/TU_ENV_RateMths),8),
0,1))</f>
        <v>0</v>
      </c>
      <c r="L98" s="79">
        <f>IF(L62="-","-",
IF(
ROUND(L62,8)=
ROUND(SUMIFS(Calc_TUV_EnvGroup_1[United Energy],Calc_TUV_EnvGroup_1[[Cost item]:[Cost item]],$D98,Calc_TUV_EnvGroup_1[[Cost element]:[Cost element]],$G98)*(TU_ENV_CostMths/TU_ENV_RateMths),8),
0,1))</f>
        <v>0</v>
      </c>
    </row>
    <row r="99" spans="3:12" ht="15.75" outlineLevel="1" x14ac:dyDescent="0.25">
      <c r="C99" s="18" t="s">
        <v>338</v>
      </c>
      <c r="D99" s="18" t="s">
        <v>364</v>
      </c>
      <c r="E99" s="116" t="s">
        <v>218</v>
      </c>
      <c r="F99" s="18" t="s">
        <v>31</v>
      </c>
      <c r="G99" s="18" t="s">
        <v>87</v>
      </c>
      <c r="H99" s="79" t="str">
        <f>IF(H63="-","-",
IF(
ROUND(H63,8)=
ROUND(SUMIFS(Calc_TUV_EnvGroup_1[Ausnet],Calc_TUV_EnvGroup_1[Cost item],$D99,Calc_TUV_EnvGroup_1[Cost element],$G99)*(TU_ENV_CostMths/TU_ENV_RateMths),8),
0,1))</f>
        <v>-</v>
      </c>
      <c r="I99" s="79">
        <f>IF(I63="-","-",
IF(
ROUND(I63,8)=
ROUND(SUMIFS(Calc_TUV_EnvGroup_1[Citipower],Calc_TUV_EnvGroup_1[[Cost item]:[Cost item]],$D99,Calc_TUV_EnvGroup_1[[Cost element]:[Cost element]],$G99)*(TU_ENV_CostMths/TU_ENV_RateMths),8),
0,1))</f>
        <v>0</v>
      </c>
      <c r="J99" s="79">
        <f>IF(J63="-","-",
IF(
ROUND(J63,8)=
ROUND(SUMIFS(Calc_TUV_EnvGroup_1[Jemena],Calc_TUV_EnvGroup_1[[Cost item]:[Cost item]],$D99,Calc_TUV_EnvGroup_1[[Cost element]:[Cost element]],$G99)*(TU_ENV_CostMths/TU_ENV_RateMths),8),
0,1))</f>
        <v>0</v>
      </c>
      <c r="K99" s="79">
        <f>IF(K63="-","-",
IF(
ROUND(K63,8)=
ROUND(SUMIFS(Calc_TUV_EnvGroup_1[Powercor],Calc_TUV_EnvGroup_1[[Cost item]:[Cost item]],$D99,Calc_TUV_EnvGroup_1[[Cost element]:[Cost element]],$G99)*(TU_ENV_CostMths/TU_ENV_RateMths),8),
0,1))</f>
        <v>0</v>
      </c>
      <c r="L99" s="79">
        <f>IF(L63="-","-",
IF(
ROUND(L63,8)=
ROUND(SUMIFS(Calc_TUV_EnvGroup_1[United Energy],Calc_TUV_EnvGroup_1[[Cost item]:[Cost item]],$D99,Calc_TUV_EnvGroup_1[[Cost element]:[Cost element]],$G99)*(TU_ENV_CostMths/TU_ENV_RateMths),8),
0,1))</f>
        <v>0</v>
      </c>
    </row>
    <row r="100" spans="3:12" ht="15.75" outlineLevel="1" x14ac:dyDescent="0.25">
      <c r="C100" s="18" t="s">
        <v>338</v>
      </c>
      <c r="D100" s="18" t="s">
        <v>364</v>
      </c>
      <c r="E100" s="116" t="s">
        <v>218</v>
      </c>
      <c r="F100" s="18" t="s">
        <v>32</v>
      </c>
      <c r="G100" s="18" t="s">
        <v>87</v>
      </c>
      <c r="H100" s="79" t="str">
        <f>IF(H64="-","-",
IF(
ROUND(H64,8)=
ROUND(SUMIFS(Calc_TUV_EnvGroup_1[Ausnet],Calc_TUV_EnvGroup_1[Cost item],$D100,Calc_TUV_EnvGroup_1[Cost element],$G100)*(TU_ENV_CostMths/TU_ENV_RateMths),8),
0,1))</f>
        <v>-</v>
      </c>
      <c r="I100" s="79">
        <f>IF(I64="-","-",
IF(
ROUND(I64,8)=
ROUND(SUMIFS(Calc_TUV_EnvGroup_1[Citipower],Calc_TUV_EnvGroup_1[[Cost item]:[Cost item]],$D100,Calc_TUV_EnvGroup_1[[Cost element]:[Cost element]],$G100)*(TU_ENV_CostMths/TU_ENV_RateMths),8),
0,1))</f>
        <v>0</v>
      </c>
      <c r="J100" s="79">
        <f>IF(J64="-","-",
IF(
ROUND(J64,8)=
ROUND(SUMIFS(Calc_TUV_EnvGroup_1[Jemena],Calc_TUV_EnvGroup_1[[Cost item]:[Cost item]],$D100,Calc_TUV_EnvGroup_1[[Cost element]:[Cost element]],$G100)*(TU_ENV_CostMths/TU_ENV_RateMths),8),
0,1))</f>
        <v>0</v>
      </c>
      <c r="K100" s="79">
        <f>IF(K64="-","-",
IF(
ROUND(K64,8)=
ROUND(SUMIFS(Calc_TUV_EnvGroup_1[Powercor],Calc_TUV_EnvGroup_1[[Cost item]:[Cost item]],$D100,Calc_TUV_EnvGroup_1[[Cost element]:[Cost element]],$G100)*(TU_ENV_CostMths/TU_ENV_RateMths),8),
0,1))</f>
        <v>0</v>
      </c>
      <c r="L100" s="79">
        <f>IF(L64="-","-",
IF(
ROUND(L64,8)=
ROUND(SUMIFS(Calc_TUV_EnvGroup_1[United Energy],Calc_TUV_EnvGroup_1[[Cost item]:[Cost item]],$D100,Calc_TUV_EnvGroup_1[[Cost element]:[Cost element]],$G100)*(TU_ENV_CostMths/TU_ENV_RateMths),8),
0,1))</f>
        <v>0</v>
      </c>
    </row>
    <row r="101" spans="3:12" ht="15.75" outlineLevel="1" x14ac:dyDescent="0.25">
      <c r="C101" s="18" t="s">
        <v>157</v>
      </c>
      <c r="D101" s="18" t="s">
        <v>364</v>
      </c>
      <c r="E101" s="116" t="s">
        <v>218</v>
      </c>
      <c r="F101" s="18" t="s">
        <v>31</v>
      </c>
      <c r="G101" s="18" t="s">
        <v>87</v>
      </c>
      <c r="H101" s="79">
        <f>IF(H65="-","-",
IF(
ROUND(H65,8)=
ROUND(SUMIFS(Calc_TUV_EnvGroup_1[Ausnet],Calc_TUV_EnvGroup_1[Cost item],$D101,Calc_TUV_EnvGroup_1[Cost element],$G101)*(TU_ENV_CostMths/TU_ENV_RateMths),8),
0,1))</f>
        <v>0</v>
      </c>
      <c r="I101" s="79" t="str">
        <f>IF(I65="-","-",
IF(
ROUND(I65,8)=
ROUND(SUMIFS(Calc_TUV_EnvGroup_1[Citipower],Calc_TUV_EnvGroup_1[[Cost item]:[Cost item]],$D101,Calc_TUV_EnvGroup_1[[Cost element]:[Cost element]],$G101)*(TU_ENV_CostMths/TU_ENV_RateMths),8),
0,1))</f>
        <v>-</v>
      </c>
      <c r="J101" s="79" t="str">
        <f>IF(J65="-","-",
IF(
ROUND(J65,8)=
ROUND(SUMIFS(Calc_TUV_EnvGroup_1[Jemena],Calc_TUV_EnvGroup_1[[Cost item]:[Cost item]],$D101,Calc_TUV_EnvGroup_1[[Cost element]:[Cost element]],$G101)*(TU_ENV_CostMths/TU_ENV_RateMths),8),
0,1))</f>
        <v>-</v>
      </c>
      <c r="K101" s="79" t="str">
        <f>IF(K65="-","-",
IF(
ROUND(K65,8)=
ROUND(SUMIFS(Calc_TUV_EnvGroup_1[Powercor],Calc_TUV_EnvGroup_1[[Cost item]:[Cost item]],$D101,Calc_TUV_EnvGroup_1[[Cost element]:[Cost element]],$G101)*(TU_ENV_CostMths/TU_ENV_RateMths),8),
0,1))</f>
        <v>-</v>
      </c>
      <c r="L101" s="79" t="str">
        <f>IF(L65="-","-",
IF(
ROUND(L65,8)=
ROUND(SUMIFS(Calc_TUV_EnvGroup_1[United Energy],Calc_TUV_EnvGroup_1[[Cost item]:[Cost item]],$D101,Calc_TUV_EnvGroup_1[[Cost element]:[Cost element]],$G101)*(TU_ENV_CostMths/TU_ENV_RateMths),8),
0,1))</f>
        <v>-</v>
      </c>
    </row>
    <row r="102" spans="3:12" ht="15.75" outlineLevel="1" x14ac:dyDescent="0.25">
      <c r="C102" s="18" t="s">
        <v>157</v>
      </c>
      <c r="D102" s="18" t="s">
        <v>364</v>
      </c>
      <c r="E102" s="116" t="s">
        <v>218</v>
      </c>
      <c r="F102" s="18" t="s">
        <v>32</v>
      </c>
      <c r="G102" s="18" t="s">
        <v>87</v>
      </c>
      <c r="H102" s="79">
        <f>IF(H66="-","-",
IF(
ROUND(H66,8)=
ROUND(SUMIFS(Calc_TUV_EnvGroup_1[Ausnet],Calc_TUV_EnvGroup_1[Cost item],$D102,Calc_TUV_EnvGroup_1[Cost element],$G102)*(TU_ENV_CostMths/TU_ENV_RateMths),8),
0,1))</f>
        <v>0</v>
      </c>
      <c r="I102" s="79" t="str">
        <f>IF(I66="-","-",
IF(
ROUND(I66,8)=
ROUND(SUMIFS(Calc_TUV_EnvGroup_1[Citipower],Calc_TUV_EnvGroup_1[[Cost item]:[Cost item]],$D102,Calc_TUV_EnvGroup_1[[Cost element]:[Cost element]],$G102)*(TU_ENV_CostMths/TU_ENV_RateMths),8),
0,1))</f>
        <v>-</v>
      </c>
      <c r="J102" s="79" t="str">
        <f>IF(J66="-","-",
IF(
ROUND(J66,8)=
ROUND(SUMIFS(Calc_TUV_EnvGroup_1[Jemena],Calc_TUV_EnvGroup_1[[Cost item]:[Cost item]],$D102,Calc_TUV_EnvGroup_1[[Cost element]:[Cost element]],$G102)*(TU_ENV_CostMths/TU_ENV_RateMths),8),
0,1))</f>
        <v>-</v>
      </c>
      <c r="K102" s="79" t="str">
        <f>IF(K66="-","-",
IF(
ROUND(K66,8)=
ROUND(SUMIFS(Calc_TUV_EnvGroup_1[Powercor],Calc_TUV_EnvGroup_1[[Cost item]:[Cost item]],$D102,Calc_TUV_EnvGroup_1[[Cost element]:[Cost element]],$G102)*(TU_ENV_CostMths/TU_ENV_RateMths),8),
0,1))</f>
        <v>-</v>
      </c>
      <c r="L102" s="79" t="str">
        <f>IF(L66="-","-",
IF(
ROUND(L66,8)=
ROUND(SUMIFS(Calc_TUV_EnvGroup_1[United Energy],Calc_TUV_EnvGroup_1[[Cost item]:[Cost item]],$D102,Calc_TUV_EnvGroup_1[[Cost element]:[Cost element]],$G102)*(TU_ENV_CostMths/TU_ENV_RateMths),8),
0,1))</f>
        <v>-</v>
      </c>
    </row>
    <row r="103" spans="3:12" ht="15.75" outlineLevel="1" x14ac:dyDescent="0.25">
      <c r="C103" s="18" t="s">
        <v>164</v>
      </c>
      <c r="D103" s="18" t="s">
        <v>364</v>
      </c>
      <c r="E103" s="116" t="s">
        <v>218</v>
      </c>
      <c r="F103" s="18" t="s">
        <v>31</v>
      </c>
      <c r="G103" s="18" t="s">
        <v>87</v>
      </c>
      <c r="H103" s="79">
        <f>IF(H67="-","-",
IF(
ROUND(H67,8)=
ROUND(SUMIFS(Calc_TUV_EnvGroup_1[Ausnet],Calc_TUV_EnvGroup_1[Cost item],$D103,Calc_TUV_EnvGroup_1[Cost element],$G103)*(TU_ENV_CostMths/TU_ENV_RateMths),8),
0,1))</f>
        <v>0</v>
      </c>
      <c r="I103" s="79" t="str">
        <f>IF(I67="-","-",
IF(
ROUND(I67,8)=
ROUND(SUMIFS(Calc_TUV_EnvGroup_1[Citipower],Calc_TUV_EnvGroup_1[[Cost item]:[Cost item]],$D103,Calc_TUV_EnvGroup_1[[Cost element]:[Cost element]],$G103)*(TU_ENV_CostMths/TU_ENV_RateMths),8),
0,1))</f>
        <v>-</v>
      </c>
      <c r="J103" s="79" t="str">
        <f>IF(J67="-","-",
IF(
ROUND(J67,8)=
ROUND(SUMIFS(Calc_TUV_EnvGroup_1[Jemena],Calc_TUV_EnvGroup_1[[Cost item]:[Cost item]],$D103,Calc_TUV_EnvGroup_1[[Cost element]:[Cost element]],$G103)*(TU_ENV_CostMths/TU_ENV_RateMths),8),
0,1))</f>
        <v>-</v>
      </c>
      <c r="K103" s="79" t="str">
        <f>IF(K67="-","-",
IF(
ROUND(K67,8)=
ROUND(SUMIFS(Calc_TUV_EnvGroup_1[Powercor],Calc_TUV_EnvGroup_1[[Cost item]:[Cost item]],$D103,Calc_TUV_EnvGroup_1[[Cost element]:[Cost element]],$G103)*(TU_ENV_CostMths/TU_ENV_RateMths),8),
0,1))</f>
        <v>-</v>
      </c>
      <c r="L103" s="79" t="str">
        <f>IF(L67="-","-",
IF(
ROUND(L67,8)=
ROUND(SUMIFS(Calc_TUV_EnvGroup_1[United Energy],Calc_TUV_EnvGroup_1[[Cost item]:[Cost item]],$D103,Calc_TUV_EnvGroup_1[[Cost element]:[Cost element]],$G103)*(TU_ENV_CostMths/TU_ENV_RateMths),8),
0,1))</f>
        <v>-</v>
      </c>
    </row>
    <row r="104" spans="3:12" ht="15.75" outlineLevel="1" x14ac:dyDescent="0.25">
      <c r="C104" s="18" t="s">
        <v>164</v>
      </c>
      <c r="D104" s="18" t="s">
        <v>364</v>
      </c>
      <c r="E104" s="116" t="s">
        <v>218</v>
      </c>
      <c r="F104" s="18" t="s">
        <v>32</v>
      </c>
      <c r="G104" s="18" t="s">
        <v>87</v>
      </c>
      <c r="H104" s="79">
        <f>IF(H68="-","-",
IF(
ROUND(H68,8)=
ROUND(SUMIFS(Calc_TUV_EnvGroup_1[Ausnet],Calc_TUV_EnvGroup_1[Cost item],$D104,Calc_TUV_EnvGroup_1[Cost element],$G104)*(TU_ENV_CostMths/TU_ENV_RateMths),8),
0,1))</f>
        <v>0</v>
      </c>
      <c r="I104" s="79" t="str">
        <f>IF(I68="-","-",
IF(
ROUND(I68,8)=
ROUND(SUMIFS(Calc_TUV_EnvGroup_1[Citipower],Calc_TUV_EnvGroup_1[[Cost item]:[Cost item]],$D104,Calc_TUV_EnvGroup_1[[Cost element]:[Cost element]],$G104)*(TU_ENV_CostMths/TU_ENV_RateMths),8),
0,1))</f>
        <v>-</v>
      </c>
      <c r="J104" s="79" t="str">
        <f>IF(J68="-","-",
IF(
ROUND(J68,8)=
ROUND(SUMIFS(Calc_TUV_EnvGroup_1[Jemena],Calc_TUV_EnvGroup_1[[Cost item]:[Cost item]],$D104,Calc_TUV_EnvGroup_1[[Cost element]:[Cost element]],$G104)*(TU_ENV_CostMths/TU_ENV_RateMths),8),
0,1))</f>
        <v>-</v>
      </c>
      <c r="K104" s="79" t="str">
        <f>IF(K68="-","-",
IF(
ROUND(K68,8)=
ROUND(SUMIFS(Calc_TUV_EnvGroup_1[Powercor],Calc_TUV_EnvGroup_1[[Cost item]:[Cost item]],$D104,Calc_TUV_EnvGroup_1[[Cost element]:[Cost element]],$G104)*(TU_ENV_CostMths/TU_ENV_RateMths),8),
0,1))</f>
        <v>-</v>
      </c>
      <c r="L104" s="79" t="str">
        <f>IF(L68="-","-",
IF(
ROUND(L68,8)=
ROUND(SUMIFS(Calc_TUV_EnvGroup_1[United Energy],Calc_TUV_EnvGroup_1[[Cost item]:[Cost item]],$D104,Calc_TUV_EnvGroup_1[[Cost element]:[Cost element]],$G104)*(TU_ENV_CostMths/TU_ENV_RateMths),8),
0,1))</f>
        <v>-</v>
      </c>
    </row>
    <row r="105" spans="3:12" ht="15.75" outlineLevel="1" x14ac:dyDescent="0.25">
      <c r="C105" s="18" t="s">
        <v>223</v>
      </c>
      <c r="D105" s="18" t="s">
        <v>364</v>
      </c>
      <c r="E105" s="116" t="s">
        <v>218</v>
      </c>
      <c r="F105" s="18" t="s">
        <v>31</v>
      </c>
      <c r="G105" s="18" t="s">
        <v>87</v>
      </c>
      <c r="H105" s="79">
        <f>IF(H69="-","-",
IF(
ROUND(H69,8)=
ROUND(SUMIFS(Calc_TUV_EnvGroup_1[Ausnet],Calc_TUV_EnvGroup_1[Cost item],$D105,Calc_TUV_EnvGroup_1[Cost element],$G105)*(TU_ENV_CostMths/TU_ENV_RateMths),8),
0,1))</f>
        <v>0</v>
      </c>
      <c r="I105" s="79">
        <f>IF(I69="-","-",
IF(
ROUND(I69,8)=
ROUND(SUMIFS(Calc_TUV_EnvGroup_1[Citipower],Calc_TUV_EnvGroup_1[[Cost item]:[Cost item]],$D105,Calc_TUV_EnvGroup_1[[Cost element]:[Cost element]],$G105)*(TU_ENV_CostMths/TU_ENV_RateMths),8),
0,1))</f>
        <v>0</v>
      </c>
      <c r="J105" s="79">
        <f>IF(J69="-","-",
IF(
ROUND(J69,8)=
ROUND(SUMIFS(Calc_TUV_EnvGroup_1[Jemena],Calc_TUV_EnvGroup_1[[Cost item]:[Cost item]],$D105,Calc_TUV_EnvGroup_1[[Cost element]:[Cost element]],$G105)*(TU_ENV_CostMths/TU_ENV_RateMths),8),
0,1))</f>
        <v>0</v>
      </c>
      <c r="K105" s="79">
        <f>IF(K69="-","-",
IF(
ROUND(K69,8)=
ROUND(SUMIFS(Calc_TUV_EnvGroup_1[Powercor],Calc_TUV_EnvGroup_1[[Cost item]:[Cost item]],$D105,Calc_TUV_EnvGroup_1[[Cost element]:[Cost element]],$G105)*(TU_ENV_CostMths/TU_ENV_RateMths),8),
0,1))</f>
        <v>0</v>
      </c>
      <c r="L105" s="79">
        <f>IF(L69="-","-",
IF(
ROUND(L69,8)=
ROUND(SUMIFS(Calc_TUV_EnvGroup_1[United Energy],Calc_TUV_EnvGroup_1[[Cost item]:[Cost item]],$D105,Calc_TUV_EnvGroup_1[[Cost element]:[Cost element]],$G105)*(TU_ENV_CostMths/TU_ENV_RateMths),8),
0,1))</f>
        <v>0</v>
      </c>
    </row>
    <row r="106" spans="3:12" ht="15.75" outlineLevel="1" x14ac:dyDescent="0.25">
      <c r="C106" s="18" t="s">
        <v>166</v>
      </c>
      <c r="D106" s="18" t="s">
        <v>364</v>
      </c>
      <c r="E106" s="116" t="s">
        <v>218</v>
      </c>
      <c r="F106" s="18" t="s">
        <v>31</v>
      </c>
      <c r="G106" s="18" t="s">
        <v>87</v>
      </c>
      <c r="H106" s="79">
        <f>IF(H70="-","-",
IF(
ROUND(H70,8)=
ROUND(SUMIFS(Calc_TUV_EnvGroup_1[Ausnet],Calc_TUV_EnvGroup_1[Cost item],$D106,Calc_TUV_EnvGroup_1[Cost element],$G106)*(TU_ENV_CostMths/TU_ENV_RateMths),8),
0,1))</f>
        <v>0</v>
      </c>
      <c r="I106" s="79">
        <f>IF(I70="-","-",
IF(
ROUND(I70,8)=
ROUND(SUMIFS(Calc_TUV_EnvGroup_1[Citipower],Calc_TUV_EnvGroup_1[[Cost item]:[Cost item]],$D106,Calc_TUV_EnvGroup_1[[Cost element]:[Cost element]],$G106)*(TU_ENV_CostMths/TU_ENV_RateMths),8),
0,1))</f>
        <v>0</v>
      </c>
      <c r="J106" s="79">
        <f>IF(J70="-","-",
IF(
ROUND(J70,8)=
ROUND(SUMIFS(Calc_TUV_EnvGroup_1[Jemena],Calc_TUV_EnvGroup_1[[Cost item]:[Cost item]],$D106,Calc_TUV_EnvGroup_1[[Cost element]:[Cost element]],$G106)*(TU_ENV_CostMths/TU_ENV_RateMths),8),
0,1))</f>
        <v>0</v>
      </c>
      <c r="K106" s="79">
        <f>IF(K70="-","-",
IF(
ROUND(K70,8)=
ROUND(SUMIFS(Calc_TUV_EnvGroup_1[Powercor],Calc_TUV_EnvGroup_1[[Cost item]:[Cost item]],$D106,Calc_TUV_EnvGroup_1[[Cost element]:[Cost element]],$G106)*(TU_ENV_CostMths/TU_ENV_RateMths),8),
0,1))</f>
        <v>0</v>
      </c>
      <c r="L106" s="79">
        <f>IF(L70="-","-",
IF(
ROUND(L70,8)=
ROUND(SUMIFS(Calc_TUV_EnvGroup_1[United Energy],Calc_TUV_EnvGroup_1[[Cost item]:[Cost item]],$D106,Calc_TUV_EnvGroup_1[[Cost element]:[Cost element]],$G106)*(TU_ENV_CostMths/TU_ENV_RateMths),8),
0,1))</f>
        <v>0</v>
      </c>
    </row>
    <row r="107" spans="3:12" ht="15.75" outlineLevel="1" x14ac:dyDescent="0.25">
      <c r="C107" s="18" t="s">
        <v>166</v>
      </c>
      <c r="D107" s="18" t="s">
        <v>364</v>
      </c>
      <c r="E107" s="116" t="s">
        <v>218</v>
      </c>
      <c r="F107" s="18" t="s">
        <v>32</v>
      </c>
      <c r="G107" s="18" t="s">
        <v>87</v>
      </c>
      <c r="H107" s="79">
        <f>IF(H71="-","-",
IF(
ROUND(H71,8)=
ROUND(SUMIFS(Calc_TUV_EnvGroup_1[Ausnet],Calc_TUV_EnvGroup_1[Cost item],$D107,Calc_TUV_EnvGroup_1[Cost element],$G107)*(TU_ENV_CostMths/TU_ENV_RateMths),8),
0,1))</f>
        <v>0</v>
      </c>
      <c r="I107" s="79">
        <f>IF(I71="-","-",
IF(
ROUND(I71,8)=
ROUND(SUMIFS(Calc_TUV_EnvGroup_1[Citipower],Calc_TUV_EnvGroup_1[[Cost item]:[Cost item]],$D107,Calc_TUV_EnvGroup_1[[Cost element]:[Cost element]],$G107)*(TU_ENV_CostMths/TU_ENV_RateMths),8),
0,1))</f>
        <v>0</v>
      </c>
      <c r="J107" s="79">
        <f>IF(J71="-","-",
IF(
ROUND(J71,8)=
ROUND(SUMIFS(Calc_TUV_EnvGroup_1[Jemena],Calc_TUV_EnvGroup_1[[Cost item]:[Cost item]],$D107,Calc_TUV_EnvGroup_1[[Cost element]:[Cost element]],$G107)*(TU_ENV_CostMths/TU_ENV_RateMths),8),
0,1))</f>
        <v>0</v>
      </c>
      <c r="K107" s="79">
        <f>IF(K71="-","-",
IF(
ROUND(K71,8)=
ROUND(SUMIFS(Calc_TUV_EnvGroup_1[Powercor],Calc_TUV_EnvGroup_1[[Cost item]:[Cost item]],$D107,Calc_TUV_EnvGroup_1[[Cost element]:[Cost element]],$G107)*(TU_ENV_CostMths/TU_ENV_RateMths),8),
0,1))</f>
        <v>0</v>
      </c>
      <c r="L107" s="79">
        <f>IF(L71="-","-",
IF(
ROUND(L71,8)=
ROUND(SUMIFS(Calc_TUV_EnvGroup_1[United Energy],Calc_TUV_EnvGroup_1[[Cost item]:[Cost item]],$D107,Calc_TUV_EnvGroup_1[[Cost element]:[Cost element]],$G107)*(TU_ENV_CostMths/TU_ENV_RateMths),8),
0,1))</f>
        <v>0</v>
      </c>
    </row>
    <row r="108" spans="3:12" ht="15.75" outlineLevel="1" x14ac:dyDescent="0.25">
      <c r="C108" s="18" t="s">
        <v>370</v>
      </c>
      <c r="D108" s="18" t="s">
        <v>364</v>
      </c>
      <c r="E108" s="116" t="s">
        <v>218</v>
      </c>
      <c r="F108" s="18" t="s">
        <v>31</v>
      </c>
      <c r="G108" s="18" t="s">
        <v>87</v>
      </c>
      <c r="H108" s="79">
        <f>IF(H72="-","-",
IF(
ROUND(H72,8)=
ROUND(SUMIFS(Calc_TUV_EnvGroup_1[Ausnet],Calc_TUV_EnvGroup_1[Cost item],$D108,Calc_TUV_EnvGroup_1[Cost element],$G108)*(TU_ENV_CostMths/TU_ENV_RateMths),8),
0,1))</f>
        <v>0</v>
      </c>
      <c r="I108" s="79">
        <f>IF(I72="-","-",
IF(
ROUND(I72,8)=
ROUND(SUMIFS(Calc_TUV_EnvGroup_1[Citipower],Calc_TUV_EnvGroup_1[[Cost item]:[Cost item]],$D108,Calc_TUV_EnvGroup_1[[Cost element]:[Cost element]],$G108)*(TU_ENV_CostMths/TU_ENV_RateMths),8),
0,1))</f>
        <v>0</v>
      </c>
      <c r="J108" s="79">
        <f>IF(J72="-","-",
IF(
ROUND(J72,8)=
ROUND(SUMIFS(Calc_TUV_EnvGroup_1[Jemena],Calc_TUV_EnvGroup_1[[Cost item]:[Cost item]],$D108,Calc_TUV_EnvGroup_1[[Cost element]:[Cost element]],$G108)*(TU_ENV_CostMths/TU_ENV_RateMths),8),
0,1))</f>
        <v>0</v>
      </c>
      <c r="K108" s="79">
        <f>IF(K72="-","-",
IF(
ROUND(K72,8)=
ROUND(SUMIFS(Calc_TUV_EnvGroup_1[Powercor],Calc_TUV_EnvGroup_1[[Cost item]:[Cost item]],$D108,Calc_TUV_EnvGroup_1[[Cost element]:[Cost element]],$G108)*(TU_ENV_CostMths/TU_ENV_RateMths),8),
0,1))</f>
        <v>0</v>
      </c>
      <c r="L108" s="79">
        <f>IF(L72="-","-",
IF(
ROUND(L72,8)=
ROUND(SUMIFS(Calc_TUV_EnvGroup_1[United Energy],Calc_TUV_EnvGroup_1[[Cost item]:[Cost item]],$D108,Calc_TUV_EnvGroup_1[[Cost element]:[Cost element]],$G108)*(TU_ENV_CostMths/TU_ENV_RateMths),8),
0,1))</f>
        <v>0</v>
      </c>
    </row>
    <row r="109" spans="3:12" ht="15.75" outlineLevel="1" x14ac:dyDescent="0.25">
      <c r="C109" s="18" t="s">
        <v>370</v>
      </c>
      <c r="D109" s="18" t="s">
        <v>364</v>
      </c>
      <c r="E109" s="116" t="s">
        <v>218</v>
      </c>
      <c r="F109" s="18" t="s">
        <v>32</v>
      </c>
      <c r="G109" s="18" t="s">
        <v>87</v>
      </c>
      <c r="H109" s="79">
        <f>IF(H73="-","-",
IF(
ROUND(H73,8)=
ROUND(SUMIFS(Calc_TUV_EnvGroup_1[Ausnet],Calc_TUV_EnvGroup_1[Cost item],$D109,Calc_TUV_EnvGroup_1[Cost element],$G109)*(TU_ENV_CostMths/TU_ENV_RateMths),8),
0,1))</f>
        <v>0</v>
      </c>
      <c r="I109" s="79">
        <f>IF(I73="-","-",
IF(
ROUND(I73,8)=
ROUND(SUMIFS(Calc_TUV_EnvGroup_1[Citipower],Calc_TUV_EnvGroup_1[[Cost item]:[Cost item]],$D109,Calc_TUV_EnvGroup_1[[Cost element]:[Cost element]],$G109)*(TU_ENV_CostMths/TU_ENV_RateMths),8),
0,1))</f>
        <v>0</v>
      </c>
      <c r="J109" s="79">
        <f>IF(J73="-","-",
IF(
ROUND(J73,8)=
ROUND(SUMIFS(Calc_TUV_EnvGroup_1[Jemena],Calc_TUV_EnvGroup_1[[Cost item]:[Cost item]],$D109,Calc_TUV_EnvGroup_1[[Cost element]:[Cost element]],$G109)*(TU_ENV_CostMths/TU_ENV_RateMths),8),
0,1))</f>
        <v>0</v>
      </c>
      <c r="K109" s="79">
        <f>IF(K73="-","-",
IF(
ROUND(K73,8)=
ROUND(SUMIFS(Calc_TUV_EnvGroup_1[Powercor],Calc_TUV_EnvGroup_1[[Cost item]:[Cost item]],$D109,Calc_TUV_EnvGroup_1[[Cost element]:[Cost element]],$G109)*(TU_ENV_CostMths/TU_ENV_RateMths),8),
0,1))</f>
        <v>0</v>
      </c>
      <c r="L109" s="79">
        <f>IF(L73="-","-",
IF(
ROUND(L73,8)=
ROUND(SUMIFS(Calc_TUV_EnvGroup_1[United Energy],Calc_TUV_EnvGroup_1[[Cost item]:[Cost item]],$D109,Calc_TUV_EnvGroup_1[[Cost element]:[Cost element]],$G109)*(TU_ENV_CostMths/TU_ENV_RateMths),8),
0,1))</f>
        <v>0</v>
      </c>
    </row>
    <row r="110" spans="3:12" ht="15.75" outlineLevel="1" x14ac:dyDescent="0.25">
      <c r="C110" s="18" t="s">
        <v>338</v>
      </c>
      <c r="D110" s="18" t="s">
        <v>365</v>
      </c>
      <c r="E110" s="116" t="s">
        <v>218</v>
      </c>
      <c r="F110" s="18" t="s">
        <v>31</v>
      </c>
      <c r="G110" s="18" t="s">
        <v>87</v>
      </c>
      <c r="H110" s="79" t="str">
        <f>IF(H74="-","-",
IF(
ROUND(H74,8)=
ROUND(SUMIFS(Calc_TUV_EnvGroup_1[Ausnet],Calc_TUV_EnvGroup_1[Cost item],$D110,Calc_TUV_EnvGroup_1[Cost element],$G110)*(TU_ENV_CostMths/TU_ENV_RateMths),8),
0,1))</f>
        <v>-</v>
      </c>
      <c r="I110" s="79">
        <f>IF(I74="-","-",
IF(
ROUND(I74,8)=
ROUND(SUMIFS(Calc_TUV_EnvGroup_1[Citipower],Calc_TUV_EnvGroup_1[[Cost item]:[Cost item]],$D110,Calc_TUV_EnvGroup_1[[Cost element]:[Cost element]],$G110)*(TU_ENV_CostMths/TU_ENV_RateMths),8),
0,1))</f>
        <v>0</v>
      </c>
      <c r="J110" s="79">
        <f>IF(J74="-","-",
IF(
ROUND(J74,8)=
ROUND(SUMIFS(Calc_TUV_EnvGroup_1[Jemena],Calc_TUV_EnvGroup_1[[Cost item]:[Cost item]],$D110,Calc_TUV_EnvGroup_1[[Cost element]:[Cost element]],$G110)*(TU_ENV_CostMths/TU_ENV_RateMths),8),
0,1))</f>
        <v>0</v>
      </c>
      <c r="K110" s="79">
        <f>IF(K74="-","-",
IF(
ROUND(K74,8)=
ROUND(SUMIFS(Calc_TUV_EnvGroup_1[Powercor],Calc_TUV_EnvGroup_1[[Cost item]:[Cost item]],$D110,Calc_TUV_EnvGroup_1[[Cost element]:[Cost element]],$G110)*(TU_ENV_CostMths/TU_ENV_RateMths),8),
0,1))</f>
        <v>0</v>
      </c>
      <c r="L110" s="79">
        <f>IF(L74="-","-",
IF(
ROUND(L74,8)=
ROUND(SUMIFS(Calc_TUV_EnvGroup_1[United Energy],Calc_TUV_EnvGroup_1[[Cost item]:[Cost item]],$D110,Calc_TUV_EnvGroup_1[[Cost element]:[Cost element]],$G110)*(TU_ENV_CostMths/TU_ENV_RateMths),8),
0,1))</f>
        <v>0</v>
      </c>
    </row>
    <row r="111" spans="3:12" ht="15.75" outlineLevel="1" x14ac:dyDescent="0.25">
      <c r="C111" s="18" t="s">
        <v>338</v>
      </c>
      <c r="D111" s="18" t="s">
        <v>365</v>
      </c>
      <c r="E111" s="116" t="s">
        <v>218</v>
      </c>
      <c r="F111" s="18" t="s">
        <v>32</v>
      </c>
      <c r="G111" s="18" t="s">
        <v>87</v>
      </c>
      <c r="H111" s="79" t="str">
        <f>IF(H75="-","-",
IF(
ROUND(H75,8)=
ROUND(SUMIFS(Calc_TUV_EnvGroup_1[Ausnet],Calc_TUV_EnvGroup_1[Cost item],$D111,Calc_TUV_EnvGroup_1[Cost element],$G111)*(TU_ENV_CostMths/TU_ENV_RateMths),8),
0,1))</f>
        <v>-</v>
      </c>
      <c r="I111" s="79">
        <f>IF(I75="-","-",
IF(
ROUND(I75,8)=
ROUND(SUMIFS(Calc_TUV_EnvGroup_1[Citipower],Calc_TUV_EnvGroup_1[[Cost item]:[Cost item]],$D111,Calc_TUV_EnvGroup_1[[Cost element]:[Cost element]],$G111)*(TU_ENV_CostMths/TU_ENV_RateMths),8),
0,1))</f>
        <v>0</v>
      </c>
      <c r="J111" s="79">
        <f>IF(J75="-","-",
IF(
ROUND(J75,8)=
ROUND(SUMIFS(Calc_TUV_EnvGroup_1[Jemena],Calc_TUV_EnvGroup_1[[Cost item]:[Cost item]],$D111,Calc_TUV_EnvGroup_1[[Cost element]:[Cost element]],$G111)*(TU_ENV_CostMths/TU_ENV_RateMths),8),
0,1))</f>
        <v>0</v>
      </c>
      <c r="K111" s="79">
        <f>IF(K75="-","-",
IF(
ROUND(K75,8)=
ROUND(SUMIFS(Calc_TUV_EnvGroup_1[Powercor],Calc_TUV_EnvGroup_1[[Cost item]:[Cost item]],$D111,Calc_TUV_EnvGroup_1[[Cost element]:[Cost element]],$G111)*(TU_ENV_CostMths/TU_ENV_RateMths),8),
0,1))</f>
        <v>0</v>
      </c>
      <c r="L111" s="79">
        <f>IF(L75="-","-",
IF(
ROUND(L75,8)=
ROUND(SUMIFS(Calc_TUV_EnvGroup_1[United Energy],Calc_TUV_EnvGroup_1[[Cost item]:[Cost item]],$D111,Calc_TUV_EnvGroup_1[[Cost element]:[Cost element]],$G111)*(TU_ENV_CostMths/TU_ENV_RateMths),8),
0,1))</f>
        <v>0</v>
      </c>
    </row>
    <row r="112" spans="3:12" ht="15.75" outlineLevel="1" x14ac:dyDescent="0.25">
      <c r="C112" s="18" t="s">
        <v>157</v>
      </c>
      <c r="D112" s="18" t="s">
        <v>365</v>
      </c>
      <c r="E112" s="116" t="s">
        <v>218</v>
      </c>
      <c r="F112" s="18" t="s">
        <v>31</v>
      </c>
      <c r="G112" s="18" t="s">
        <v>87</v>
      </c>
      <c r="H112" s="79">
        <f>IF(H76="-","-",
IF(
ROUND(H76,8)=
ROUND(SUMIFS(Calc_TUV_EnvGroup_1[Ausnet],Calc_TUV_EnvGroup_1[Cost item],$D112,Calc_TUV_EnvGroup_1[Cost element],$G112)*(TU_ENV_CostMths/TU_ENV_RateMths),8),
0,1))</f>
        <v>0</v>
      </c>
      <c r="I112" s="79" t="str">
        <f>IF(I76="-","-",
IF(
ROUND(I76,8)=
ROUND(SUMIFS(Calc_TUV_EnvGroup_1[Citipower],Calc_TUV_EnvGroup_1[[Cost item]:[Cost item]],$D112,Calc_TUV_EnvGroup_1[[Cost element]:[Cost element]],$G112)*(TU_ENV_CostMths/TU_ENV_RateMths),8),
0,1))</f>
        <v>-</v>
      </c>
      <c r="J112" s="79" t="str">
        <f>IF(J76="-","-",
IF(
ROUND(J76,8)=
ROUND(SUMIFS(Calc_TUV_EnvGroup_1[Jemena],Calc_TUV_EnvGroup_1[[Cost item]:[Cost item]],$D112,Calc_TUV_EnvGroup_1[[Cost element]:[Cost element]],$G112)*(TU_ENV_CostMths/TU_ENV_RateMths),8),
0,1))</f>
        <v>-</v>
      </c>
      <c r="K112" s="79" t="str">
        <f>IF(K76="-","-",
IF(
ROUND(K76,8)=
ROUND(SUMIFS(Calc_TUV_EnvGroup_1[Powercor],Calc_TUV_EnvGroup_1[[Cost item]:[Cost item]],$D112,Calc_TUV_EnvGroup_1[[Cost element]:[Cost element]],$G112)*(TU_ENV_CostMths/TU_ENV_RateMths),8),
0,1))</f>
        <v>-</v>
      </c>
      <c r="L112" s="79" t="str">
        <f>IF(L76="-","-",
IF(
ROUND(L76,8)=
ROUND(SUMIFS(Calc_TUV_EnvGroup_1[United Energy],Calc_TUV_EnvGroup_1[[Cost item]:[Cost item]],$D112,Calc_TUV_EnvGroup_1[[Cost element]:[Cost element]],$G112)*(TU_ENV_CostMths/TU_ENV_RateMths),8),
0,1))</f>
        <v>-</v>
      </c>
    </row>
    <row r="113" spans="2:12" ht="15.75" outlineLevel="1" x14ac:dyDescent="0.25">
      <c r="C113" s="18" t="s">
        <v>157</v>
      </c>
      <c r="D113" s="18" t="s">
        <v>365</v>
      </c>
      <c r="E113" s="116" t="s">
        <v>218</v>
      </c>
      <c r="F113" s="18" t="s">
        <v>32</v>
      </c>
      <c r="G113" s="18" t="s">
        <v>87</v>
      </c>
      <c r="H113" s="79">
        <f>IF(H77="-","-",
IF(
ROUND(H77,8)=
ROUND(SUMIFS(Calc_TUV_EnvGroup_1[Ausnet],Calc_TUV_EnvGroup_1[Cost item],$D113,Calc_TUV_EnvGroup_1[Cost element],$G113)*(TU_ENV_CostMths/TU_ENV_RateMths),8),
0,1))</f>
        <v>0</v>
      </c>
      <c r="I113" s="79" t="str">
        <f>IF(I77="-","-",
IF(
ROUND(I77,8)=
ROUND(SUMIFS(Calc_TUV_EnvGroup_1[Citipower],Calc_TUV_EnvGroup_1[[Cost item]:[Cost item]],$D113,Calc_TUV_EnvGroup_1[[Cost element]:[Cost element]],$G113)*(TU_ENV_CostMths/TU_ENV_RateMths),8),
0,1))</f>
        <v>-</v>
      </c>
      <c r="J113" s="79" t="str">
        <f>IF(J77="-","-",
IF(
ROUND(J77,8)=
ROUND(SUMIFS(Calc_TUV_EnvGroup_1[Jemena],Calc_TUV_EnvGroup_1[[Cost item]:[Cost item]],$D113,Calc_TUV_EnvGroup_1[[Cost element]:[Cost element]],$G113)*(TU_ENV_CostMths/TU_ENV_RateMths),8),
0,1))</f>
        <v>-</v>
      </c>
      <c r="K113" s="79" t="str">
        <f>IF(K77="-","-",
IF(
ROUND(K77,8)=
ROUND(SUMIFS(Calc_TUV_EnvGroup_1[Powercor],Calc_TUV_EnvGroup_1[[Cost item]:[Cost item]],$D113,Calc_TUV_EnvGroup_1[[Cost element]:[Cost element]],$G113)*(TU_ENV_CostMths/TU_ENV_RateMths),8),
0,1))</f>
        <v>-</v>
      </c>
      <c r="L113" s="79" t="str">
        <f>IF(L77="-","-",
IF(
ROUND(L77,8)=
ROUND(SUMIFS(Calc_TUV_EnvGroup_1[United Energy],Calc_TUV_EnvGroup_1[[Cost item]:[Cost item]],$D113,Calc_TUV_EnvGroup_1[[Cost element]:[Cost element]],$G113)*(TU_ENV_CostMths/TU_ENV_RateMths),8),
0,1))</f>
        <v>-</v>
      </c>
    </row>
    <row r="114" spans="2:12" ht="15.75" outlineLevel="1" x14ac:dyDescent="0.25">
      <c r="C114" s="18" t="s">
        <v>164</v>
      </c>
      <c r="D114" s="18" t="s">
        <v>365</v>
      </c>
      <c r="E114" s="116" t="s">
        <v>218</v>
      </c>
      <c r="F114" s="18" t="s">
        <v>31</v>
      </c>
      <c r="G114" s="18" t="s">
        <v>87</v>
      </c>
      <c r="H114" s="79">
        <f>IF(H78="-","-",
IF(
ROUND(H78,8)=
ROUND(SUMIFS(Calc_TUV_EnvGroup_1[Ausnet],Calc_TUV_EnvGroup_1[Cost item],$D114,Calc_TUV_EnvGroup_1[Cost element],$G114)*(TU_ENV_CostMths/TU_ENV_RateMths),8),
0,1))</f>
        <v>0</v>
      </c>
      <c r="I114" s="79" t="str">
        <f>IF(I78="-","-",
IF(
ROUND(I78,8)=
ROUND(SUMIFS(Calc_TUV_EnvGroup_1[Citipower],Calc_TUV_EnvGroup_1[[Cost item]:[Cost item]],$D114,Calc_TUV_EnvGroup_1[[Cost element]:[Cost element]],$G114)*(TU_ENV_CostMths/TU_ENV_RateMths),8),
0,1))</f>
        <v>-</v>
      </c>
      <c r="J114" s="79" t="str">
        <f>IF(J78="-","-",
IF(
ROUND(J78,8)=
ROUND(SUMIFS(Calc_TUV_EnvGroup_1[Jemena],Calc_TUV_EnvGroup_1[[Cost item]:[Cost item]],$D114,Calc_TUV_EnvGroup_1[[Cost element]:[Cost element]],$G114)*(TU_ENV_CostMths/TU_ENV_RateMths),8),
0,1))</f>
        <v>-</v>
      </c>
      <c r="K114" s="79" t="str">
        <f>IF(K78="-","-",
IF(
ROUND(K78,8)=
ROUND(SUMIFS(Calc_TUV_EnvGroup_1[Powercor],Calc_TUV_EnvGroup_1[[Cost item]:[Cost item]],$D114,Calc_TUV_EnvGroup_1[[Cost element]:[Cost element]],$G114)*(TU_ENV_CostMths/TU_ENV_RateMths),8),
0,1))</f>
        <v>-</v>
      </c>
      <c r="L114" s="79" t="str">
        <f>IF(L78="-","-",
IF(
ROUND(L78,8)=
ROUND(SUMIFS(Calc_TUV_EnvGroup_1[United Energy],Calc_TUV_EnvGroup_1[[Cost item]:[Cost item]],$D114,Calc_TUV_EnvGroup_1[[Cost element]:[Cost element]],$G114)*(TU_ENV_CostMths/TU_ENV_RateMths),8),
0,1))</f>
        <v>-</v>
      </c>
    </row>
    <row r="115" spans="2:12" ht="15.75" outlineLevel="1" x14ac:dyDescent="0.25">
      <c r="C115" s="18" t="s">
        <v>164</v>
      </c>
      <c r="D115" s="18" t="s">
        <v>365</v>
      </c>
      <c r="E115" s="116" t="s">
        <v>218</v>
      </c>
      <c r="F115" s="18" t="s">
        <v>32</v>
      </c>
      <c r="G115" s="18" t="s">
        <v>87</v>
      </c>
      <c r="H115" s="79">
        <f>IF(H79="-","-",
IF(
ROUND(H79,8)=
ROUND(SUMIFS(Calc_TUV_EnvGroup_1[Ausnet],Calc_TUV_EnvGroup_1[Cost item],$D115,Calc_TUV_EnvGroup_1[Cost element],$G115)*(TU_ENV_CostMths/TU_ENV_RateMths),8),
0,1))</f>
        <v>0</v>
      </c>
      <c r="I115" s="79" t="str">
        <f>IF(I79="-","-",
IF(
ROUND(I79,8)=
ROUND(SUMIFS(Calc_TUV_EnvGroup_1[Citipower],Calc_TUV_EnvGroup_1[[Cost item]:[Cost item]],$D115,Calc_TUV_EnvGroup_1[[Cost element]:[Cost element]],$G115)*(TU_ENV_CostMths/TU_ENV_RateMths),8),
0,1))</f>
        <v>-</v>
      </c>
      <c r="J115" s="79" t="str">
        <f>IF(J79="-","-",
IF(
ROUND(J79,8)=
ROUND(SUMIFS(Calc_TUV_EnvGroup_1[Jemena],Calc_TUV_EnvGroup_1[[Cost item]:[Cost item]],$D115,Calc_TUV_EnvGroup_1[[Cost element]:[Cost element]],$G115)*(TU_ENV_CostMths/TU_ENV_RateMths),8),
0,1))</f>
        <v>-</v>
      </c>
      <c r="K115" s="79" t="str">
        <f>IF(K79="-","-",
IF(
ROUND(K79,8)=
ROUND(SUMIFS(Calc_TUV_EnvGroup_1[Powercor],Calc_TUV_EnvGroup_1[[Cost item]:[Cost item]],$D115,Calc_TUV_EnvGroup_1[[Cost element]:[Cost element]],$G115)*(TU_ENV_CostMths/TU_ENV_RateMths),8),
0,1))</f>
        <v>-</v>
      </c>
      <c r="L115" s="79" t="str">
        <f>IF(L79="-","-",
IF(
ROUND(L79,8)=
ROUND(SUMIFS(Calc_TUV_EnvGroup_1[United Energy],Calc_TUV_EnvGroup_1[[Cost item]:[Cost item]],$D115,Calc_TUV_EnvGroup_1[[Cost element]:[Cost element]],$G115)*(TU_ENV_CostMths/TU_ENV_RateMths),8),
0,1))</f>
        <v>-</v>
      </c>
    </row>
    <row r="116" spans="2:12" ht="15.75" outlineLevel="1" x14ac:dyDescent="0.25">
      <c r="C116" s="18" t="s">
        <v>223</v>
      </c>
      <c r="D116" s="18" t="s">
        <v>365</v>
      </c>
      <c r="E116" s="116" t="s">
        <v>218</v>
      </c>
      <c r="F116" s="18" t="s">
        <v>31</v>
      </c>
      <c r="G116" s="18" t="s">
        <v>87</v>
      </c>
      <c r="H116" s="79">
        <f>IF(H80="-","-",
IF(
ROUND(H80,8)=
ROUND(SUMIFS(Calc_TUV_EnvGroup_1[Ausnet],Calc_TUV_EnvGroup_1[Cost item],$D116,Calc_TUV_EnvGroup_1[Cost element],$G116)*(TU_ENV_CostMths/TU_ENV_RateMths),8),
0,1))</f>
        <v>0</v>
      </c>
      <c r="I116" s="79">
        <f>IF(I80="-","-",
IF(
ROUND(I80,8)=
ROUND(SUMIFS(Calc_TUV_EnvGroup_1[Citipower],Calc_TUV_EnvGroup_1[[Cost item]:[Cost item]],$D116,Calc_TUV_EnvGroup_1[[Cost element]:[Cost element]],$G116)*(TU_ENV_CostMths/TU_ENV_RateMths),8),
0,1))</f>
        <v>0</v>
      </c>
      <c r="J116" s="79">
        <f>IF(J80="-","-",
IF(
ROUND(J80,8)=
ROUND(SUMIFS(Calc_TUV_EnvGroup_1[Jemena],Calc_TUV_EnvGroup_1[[Cost item]:[Cost item]],$D116,Calc_TUV_EnvGroup_1[[Cost element]:[Cost element]],$G116)*(TU_ENV_CostMths/TU_ENV_RateMths),8),
0,1))</f>
        <v>0</v>
      </c>
      <c r="K116" s="79">
        <f>IF(K80="-","-",
IF(
ROUND(K80,8)=
ROUND(SUMIFS(Calc_TUV_EnvGroup_1[Powercor],Calc_TUV_EnvGroup_1[[Cost item]:[Cost item]],$D116,Calc_TUV_EnvGroup_1[[Cost element]:[Cost element]],$G116)*(TU_ENV_CostMths/TU_ENV_RateMths),8),
0,1))</f>
        <v>0</v>
      </c>
      <c r="L116" s="79">
        <f>IF(L80="-","-",
IF(
ROUND(L80,8)=
ROUND(SUMIFS(Calc_TUV_EnvGroup_1[United Energy],Calc_TUV_EnvGroup_1[[Cost item]:[Cost item]],$D116,Calc_TUV_EnvGroup_1[[Cost element]:[Cost element]],$G116)*(TU_ENV_CostMths/TU_ENV_RateMths),8),
0,1))</f>
        <v>0</v>
      </c>
    </row>
    <row r="117" spans="2:12" ht="15.75" outlineLevel="1" x14ac:dyDescent="0.25">
      <c r="C117" s="18" t="s">
        <v>166</v>
      </c>
      <c r="D117" s="18" t="s">
        <v>365</v>
      </c>
      <c r="E117" s="116" t="s">
        <v>218</v>
      </c>
      <c r="F117" s="18" t="s">
        <v>31</v>
      </c>
      <c r="G117" s="18" t="s">
        <v>87</v>
      </c>
      <c r="H117" s="79">
        <f>IF(H81="-","-",
IF(
ROUND(H81,8)=
ROUND(SUMIFS(Calc_TUV_EnvGroup_1[Ausnet],Calc_TUV_EnvGroup_1[Cost item],$D117,Calc_TUV_EnvGroup_1[Cost element],$G117)*(TU_ENV_CostMths/TU_ENV_RateMths),8),
0,1))</f>
        <v>0</v>
      </c>
      <c r="I117" s="79">
        <f>IF(I81="-","-",
IF(
ROUND(I81,8)=
ROUND(SUMIFS(Calc_TUV_EnvGroup_1[Citipower],Calc_TUV_EnvGroup_1[[Cost item]:[Cost item]],$D117,Calc_TUV_EnvGroup_1[[Cost element]:[Cost element]],$G117)*(TU_ENV_CostMths/TU_ENV_RateMths),8),
0,1))</f>
        <v>0</v>
      </c>
      <c r="J117" s="79">
        <f>IF(J81="-","-",
IF(
ROUND(J81,8)=
ROUND(SUMIFS(Calc_TUV_EnvGroup_1[Jemena],Calc_TUV_EnvGroup_1[[Cost item]:[Cost item]],$D117,Calc_TUV_EnvGroup_1[[Cost element]:[Cost element]],$G117)*(TU_ENV_CostMths/TU_ENV_RateMths),8),
0,1))</f>
        <v>0</v>
      </c>
      <c r="K117" s="79">
        <f>IF(K81="-","-",
IF(
ROUND(K81,8)=
ROUND(SUMIFS(Calc_TUV_EnvGroup_1[Powercor],Calc_TUV_EnvGroup_1[[Cost item]:[Cost item]],$D117,Calc_TUV_EnvGroup_1[[Cost element]:[Cost element]],$G117)*(TU_ENV_CostMths/TU_ENV_RateMths),8),
0,1))</f>
        <v>0</v>
      </c>
      <c r="L117" s="79">
        <f>IF(L81="-","-",
IF(
ROUND(L81,8)=
ROUND(SUMIFS(Calc_TUV_EnvGroup_1[United Energy],Calc_TUV_EnvGroup_1[[Cost item]:[Cost item]],$D117,Calc_TUV_EnvGroup_1[[Cost element]:[Cost element]],$G117)*(TU_ENV_CostMths/TU_ENV_RateMths),8),
0,1))</f>
        <v>0</v>
      </c>
    </row>
    <row r="118" spans="2:12" ht="15.75" outlineLevel="1" x14ac:dyDescent="0.25">
      <c r="C118" s="18" t="s">
        <v>166</v>
      </c>
      <c r="D118" s="18" t="s">
        <v>365</v>
      </c>
      <c r="E118" s="116" t="s">
        <v>218</v>
      </c>
      <c r="F118" s="18" t="s">
        <v>32</v>
      </c>
      <c r="G118" s="18" t="s">
        <v>87</v>
      </c>
      <c r="H118" s="79">
        <f>IF(H82="-","-",
IF(
ROUND(H82,8)=
ROUND(SUMIFS(Calc_TUV_EnvGroup_1[Ausnet],Calc_TUV_EnvGroup_1[Cost item],$D118,Calc_TUV_EnvGroup_1[Cost element],$G118)*(TU_ENV_CostMths/TU_ENV_RateMths),8),
0,1))</f>
        <v>0</v>
      </c>
      <c r="I118" s="79">
        <f>IF(I82="-","-",
IF(
ROUND(I82,8)=
ROUND(SUMIFS(Calc_TUV_EnvGroup_1[Citipower],Calc_TUV_EnvGroup_1[[Cost item]:[Cost item]],$D118,Calc_TUV_EnvGroup_1[[Cost element]:[Cost element]],$G118)*(TU_ENV_CostMths/TU_ENV_RateMths),8),
0,1))</f>
        <v>0</v>
      </c>
      <c r="J118" s="79">
        <f>IF(J82="-","-",
IF(
ROUND(J82,8)=
ROUND(SUMIFS(Calc_TUV_EnvGroup_1[Jemena],Calc_TUV_EnvGroup_1[[Cost item]:[Cost item]],$D118,Calc_TUV_EnvGroup_1[[Cost element]:[Cost element]],$G118)*(TU_ENV_CostMths/TU_ENV_RateMths),8),
0,1))</f>
        <v>0</v>
      </c>
      <c r="K118" s="79">
        <f>IF(K82="-","-",
IF(
ROUND(K82,8)=
ROUND(SUMIFS(Calc_TUV_EnvGroup_1[Powercor],Calc_TUV_EnvGroup_1[[Cost item]:[Cost item]],$D118,Calc_TUV_EnvGroup_1[[Cost element]:[Cost element]],$G118)*(TU_ENV_CostMths/TU_ENV_RateMths),8),
0,1))</f>
        <v>0</v>
      </c>
      <c r="L118" s="79">
        <f>IF(L82="-","-",
IF(
ROUND(L82,8)=
ROUND(SUMIFS(Calc_TUV_EnvGroup_1[United Energy],Calc_TUV_EnvGroup_1[[Cost item]:[Cost item]],$D118,Calc_TUV_EnvGroup_1[[Cost element]:[Cost element]],$G118)*(TU_ENV_CostMths/TU_ENV_RateMths),8),
0,1))</f>
        <v>0</v>
      </c>
    </row>
    <row r="119" spans="2:12" ht="15.75" outlineLevel="1" x14ac:dyDescent="0.25">
      <c r="C119" s="18" t="s">
        <v>370</v>
      </c>
      <c r="D119" s="18" t="s">
        <v>365</v>
      </c>
      <c r="E119" s="116" t="s">
        <v>218</v>
      </c>
      <c r="F119" s="18" t="s">
        <v>31</v>
      </c>
      <c r="G119" s="18" t="s">
        <v>87</v>
      </c>
      <c r="H119" s="79">
        <f>IF(H83="-","-",
IF(
ROUND(H83,8)=
ROUND(SUMIFS(Calc_TUV_EnvGroup_1[Ausnet],Calc_TUV_EnvGroup_1[Cost item],$D119,Calc_TUV_EnvGroup_1[Cost element],$G119)*(TU_ENV_CostMths/TU_ENV_RateMths),8),
0,1))</f>
        <v>0</v>
      </c>
      <c r="I119" s="79">
        <f>IF(I83="-","-",
IF(
ROUND(I83,8)=
ROUND(SUMIFS(Calc_TUV_EnvGroup_1[Citipower],Calc_TUV_EnvGroup_1[[Cost item]:[Cost item]],$D119,Calc_TUV_EnvGroup_1[[Cost element]:[Cost element]],$G119)*(TU_ENV_CostMths/TU_ENV_RateMths),8),
0,1))</f>
        <v>0</v>
      </c>
      <c r="J119" s="79">
        <f>IF(J83="-","-",
IF(
ROUND(J83,8)=
ROUND(SUMIFS(Calc_TUV_EnvGroup_1[Jemena],Calc_TUV_EnvGroup_1[[Cost item]:[Cost item]],$D119,Calc_TUV_EnvGroup_1[[Cost element]:[Cost element]],$G119)*(TU_ENV_CostMths/TU_ENV_RateMths),8),
0,1))</f>
        <v>0</v>
      </c>
      <c r="K119" s="79">
        <f>IF(K83="-","-",
IF(
ROUND(K83,8)=
ROUND(SUMIFS(Calc_TUV_EnvGroup_1[Powercor],Calc_TUV_EnvGroup_1[[Cost item]:[Cost item]],$D119,Calc_TUV_EnvGroup_1[[Cost element]:[Cost element]],$G119)*(TU_ENV_CostMths/TU_ENV_RateMths),8),
0,1))</f>
        <v>0</v>
      </c>
      <c r="L119" s="79">
        <f>IF(L83="-","-",
IF(
ROUND(L83,8)=
ROUND(SUMIFS(Calc_TUV_EnvGroup_1[United Energy],Calc_TUV_EnvGroup_1[[Cost item]:[Cost item]],$D119,Calc_TUV_EnvGroup_1[[Cost element]:[Cost element]],$G119)*(TU_ENV_CostMths/TU_ENV_RateMths),8),
0,1))</f>
        <v>0</v>
      </c>
    </row>
    <row r="120" spans="2:12" ht="15.75" outlineLevel="1" x14ac:dyDescent="0.25">
      <c r="C120" s="116" t="s">
        <v>370</v>
      </c>
      <c r="D120" s="116" t="s">
        <v>365</v>
      </c>
      <c r="E120" s="116" t="s">
        <v>218</v>
      </c>
      <c r="F120" s="116" t="s">
        <v>32</v>
      </c>
      <c r="G120" s="116" t="s">
        <v>87</v>
      </c>
      <c r="H120" s="79">
        <f>IF(H84="-","-",
IF(
ROUND(H84,8)=
ROUND(SUMIFS(Calc_TUV_EnvGroup_1[Ausnet],Calc_TUV_EnvGroup_1[Cost item],$D120,Calc_TUV_EnvGroup_1[Cost element],$G120)*(TU_ENV_CostMths/TU_ENV_RateMths),8),
0,1))</f>
        <v>0</v>
      </c>
      <c r="I120" s="79">
        <f>IF(I84="-","-",
IF(
ROUND(I84,8)=
ROUND(SUMIFS(Calc_TUV_EnvGroup_1[Citipower],Calc_TUV_EnvGroup_1[[Cost item]:[Cost item]],$D120,Calc_TUV_EnvGroup_1[[Cost element]:[Cost element]],$G120)*(TU_ENV_CostMths/TU_ENV_RateMths),8),
0,1))</f>
        <v>0</v>
      </c>
      <c r="J120" s="79">
        <f>IF(J84="-","-",
IF(
ROUND(J84,8)=
ROUND(SUMIFS(Calc_TUV_EnvGroup_1[Jemena],Calc_TUV_EnvGroup_1[[Cost item]:[Cost item]],$D120,Calc_TUV_EnvGroup_1[[Cost element]:[Cost element]],$G120)*(TU_ENV_CostMths/TU_ENV_RateMths),8),
0,1))</f>
        <v>0</v>
      </c>
      <c r="K120" s="79">
        <f>IF(K84="-","-",
IF(
ROUND(K84,8)=
ROUND(SUMIFS(Calc_TUV_EnvGroup_1[Powercor],Calc_TUV_EnvGroup_1[[Cost item]:[Cost item]],$D120,Calc_TUV_EnvGroup_1[[Cost element]:[Cost element]],$G120)*(TU_ENV_CostMths/TU_ENV_RateMths),8),
0,1))</f>
        <v>0</v>
      </c>
      <c r="L120" s="79">
        <f>IF(L84="-","-",
IF(
ROUND(L84,8)=
ROUND(SUMIFS(Calc_TUV_EnvGroup_1[United Energy],Calc_TUV_EnvGroup_1[[Cost item]:[Cost item]],$D120,Calc_TUV_EnvGroup_1[[Cost element]:[Cost element]],$G120)*(TU_ENV_CostMths/TU_ENV_RateMths),8),
0,1))</f>
        <v>0</v>
      </c>
    </row>
    <row r="123" spans="2:12" ht="15.75" x14ac:dyDescent="0.25">
      <c r="B123"/>
      <c r="C123" s="43" t="s">
        <v>36</v>
      </c>
      <c r="D123" s="32" t="str">
        <f>Calc_Rates!$D$249</f>
        <v>VDO 2022 - Draft</v>
      </c>
      <c r="H123" s="74"/>
      <c r="I123" s="74"/>
      <c r="J123" s="74"/>
      <c r="K123" s="74"/>
      <c r="L123" s="74"/>
    </row>
    <row r="124" spans="2:12" x14ac:dyDescent="0.25">
      <c r="B124"/>
    </row>
    <row r="125" spans="2:12" ht="16.5" thickBot="1" x14ac:dyDescent="0.3">
      <c r="B125" s="7">
        <f ca="1">MAX(B$3:B124)+0.1</f>
        <v>9.2999999999999989</v>
      </c>
      <c r="C125" s="22" t="s">
        <v>357</v>
      </c>
      <c r="D125" s="22"/>
      <c r="E125" s="22"/>
      <c r="F125" s="22"/>
      <c r="G125" s="22"/>
      <c r="H125" s="22"/>
      <c r="I125" s="22"/>
      <c r="J125" s="22"/>
      <c r="K125" s="22"/>
      <c r="L125" s="22"/>
    </row>
    <row r="126" spans="2:12" outlineLevel="1" x14ac:dyDescent="0.25"/>
    <row r="127" spans="2:12" ht="15.75" outlineLevel="1" x14ac:dyDescent="0.25">
      <c r="C127" s="23" t="s">
        <v>415</v>
      </c>
    </row>
    <row r="128" spans="2:12" ht="15.75" outlineLevel="1" x14ac:dyDescent="0.25">
      <c r="C128" s="111" t="s">
        <v>24</v>
      </c>
      <c r="D128" s="111" t="s">
        <v>37</v>
      </c>
      <c r="E128" s="111" t="s">
        <v>38</v>
      </c>
      <c r="F128" s="111" t="s">
        <v>30</v>
      </c>
      <c r="G128" s="111" t="s">
        <v>23</v>
      </c>
      <c r="H128" s="112" t="s">
        <v>204</v>
      </c>
      <c r="I128" s="112" t="s">
        <v>205</v>
      </c>
      <c r="J128" s="112" t="s">
        <v>206</v>
      </c>
      <c r="K128" s="112" t="s">
        <v>207</v>
      </c>
      <c r="L128" s="112" t="s">
        <v>208</v>
      </c>
    </row>
    <row r="129" spans="3:22" outlineLevel="1" x14ac:dyDescent="0.25">
      <c r="C129" s="18" t="str">
        <f>IF(COUNTIFS(Calc_TUV_Net_2[Pass through (Yes/No)],"Yes",Calc_TUV_Net_2[Cost item],"Anytime - "&amp;Calc_TUV_NetGroup_2[[#This Row],[Customer type]])=1,"Anytime - supply","-")</f>
        <v>Anytime - supply</v>
      </c>
      <c r="D129" s="18" t="s">
        <v>44</v>
      </c>
      <c r="E129" s="116" t="s">
        <v>45</v>
      </c>
      <c r="F129" s="18" t="s">
        <v>31</v>
      </c>
      <c r="G129" s="18" t="s">
        <v>57</v>
      </c>
      <c r="H129" s="121">
        <f>IFERROR(SUMIFS(INDEX(Calc_TUV_Net_2[[Ausnet]:[United Energy]],0,MATCH(Calc_TUV_NetGroup_2[[#Headers],[Ausnet]],Calc_TUV_Net_2[[#Headers],[Ausnet]:[United Energy]],0)),
Calc_TUV_Net_2[Cost item],Calc_TUV_NetGroup_2[[#This Row],[Cost item]]&amp;" cost true up",
Calc_TUV_Net_2[Customer type],Calc_TUV_NetGroup_2[[#This Row],[Customer type]]),"-")</f>
        <v>1.8248234761643884</v>
      </c>
      <c r="I129" s="121" cm="1">
        <f t="array" ref="I129">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-1.2662808725479466</v>
      </c>
      <c r="J129" s="121" cm="1">
        <f t="array" ref="J129">IFERROR(SUMIFS(INDEX(Calc_TUV_Net_2[[Ausnet]:[United Energy]],0,MATCH(Calc_TUV_NetGroup_2[[#Headers],[Jemena]],Calc_TUV_Net_2[[#Headers],[Ausnet]:[United Energy]],0)),
Calc_TUV_Net_2[Cost item],Calc_TUV_NetGroup_2[[#This Row],[Cost item]]&amp;" cost true up",
Calc_TUV_Net_2[Customer type],Calc_TUV_NetGroup_2[[#This Row],[Customer type]]),"-")</f>
        <v>0.21319327473972866</v>
      </c>
      <c r="K129" s="121" cm="1">
        <f t="array" ref="K129">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-1.4904706405479504</v>
      </c>
      <c r="L129" s="121" cm="1">
        <f t="array" ref="L129">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2.823027675178083</v>
      </c>
      <c r="O129" s="180"/>
      <c r="P129" s="180"/>
      <c r="Q129" s="180"/>
      <c r="R129" s="180"/>
      <c r="S129" s="180"/>
      <c r="T129" s="180"/>
      <c r="U129" s="180"/>
      <c r="V129" s="180"/>
    </row>
    <row r="130" spans="3:22" outlineLevel="1" x14ac:dyDescent="0.25">
      <c r="C130" s="18" t="str">
        <f>IF(COUNTIFS(Calc_TUV_Net_2[Pass through (Yes/No)],"Yes",Calc_TUV_Net_2[Cost item],"Anytime - "&amp;Calc_TUV_NetGroup_2[[#This Row],[Customer type]])=1,"Anytime - usage","-")</f>
        <v>Anytime - usage</v>
      </c>
      <c r="D130" s="18" t="s">
        <v>66</v>
      </c>
      <c r="E130" s="116" t="s">
        <v>45</v>
      </c>
      <c r="F130" s="18" t="s">
        <v>31</v>
      </c>
      <c r="G130" s="18" t="s">
        <v>57</v>
      </c>
      <c r="H130" s="121" cm="1">
        <f t="array" ref="H130">IFERROR(SUMIFS(INDEX(Calc_TUV_Net_2[[Ausnet]:[United Energy]],0,MATCH(Calc_TUV_NetGroup_2[[#Headers],[Ausnet]],Calc_TUV_Net_2[[#Headers],[Ausnet]:[United Energy]],0)),
Calc_TUV_Net_2[Cost item],Calc_TUV_NetGroup_2[[#This Row],[Cost item]]&amp;" cost true up",
Calc_TUV_Net_2[Customer type],Calc_TUV_NetGroup_2[[#This Row],[Customer type]]),"-")</f>
        <v>10.556259659856224</v>
      </c>
      <c r="I130" s="121" cm="1">
        <f t="array" ref="I130">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18.222320837509912</v>
      </c>
      <c r="J130" s="121" cm="1">
        <f t="array" ref="J130">IFERROR(SUMIFS(INDEX(Calc_TUV_Net_2[[Ausnet]:[United Energy]],0,MATCH(Calc_TUV_NetGroup_2[[#Headers],[Jemena]],Calc_TUV_Net_2[[#Headers],[Ausnet]:[United Energy]],0)),
Calc_TUV_Net_2[Cost item],Calc_TUV_NetGroup_2[[#This Row],[Cost item]]&amp;" cost true up",
Calc_TUV_Net_2[Customer type],Calc_TUV_NetGroup_2[[#This Row],[Customer type]]),"-")</f>
        <v>14.485591754374967</v>
      </c>
      <c r="K130" s="121" cm="1">
        <f t="array" ref="K130">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16.261691380309482</v>
      </c>
      <c r="L130" s="121" cm="1">
        <f t="array" ref="L130">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3.6905966253184492</v>
      </c>
    </row>
    <row r="131" spans="3:22" outlineLevel="1" x14ac:dyDescent="0.25">
      <c r="C131" s="18" t="str">
        <f>IF(COUNTIFS(Calc_TUV_Net_2[Pass through (Yes/No)],"Yes",Calc_TUV_Net_2[Cost item],"Anytime - "&amp;Calc_TUV_NetGroup_2[[#This Row],[Customer type]])=1,"Anytime - supply","-")</f>
        <v>Anytime - supply</v>
      </c>
      <c r="D131" s="18" t="s">
        <v>44</v>
      </c>
      <c r="E131" s="116" t="s">
        <v>45</v>
      </c>
      <c r="F131" s="18" t="s">
        <v>32</v>
      </c>
      <c r="G131" s="18" t="s">
        <v>57</v>
      </c>
      <c r="H131" s="121">
        <f>IFERROR(SUMIFS(INDEX(Calc_TUV_Net_2[[Ausnet]:[United Energy]],0,MATCH(Calc_TUV_NetGroup_2[[#Headers],[Ausnet]],Calc_TUV_Net_2[[#Headers],[Ausnet]:[United Energy]],0)),
Calc_TUV_Net_2[Cost item],Calc_TUV_NetGroup_2[[#This Row],[Cost item]]&amp;" cost true up",
Calc_TUV_Net_2[Customer type],Calc_TUV_NetGroup_2[[#This Row],[Customer type]]),"-")</f>
        <v>1.8248234761643884</v>
      </c>
      <c r="I131" s="121" cm="1">
        <f t="array" ref="I131">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-1.2648939274520594</v>
      </c>
      <c r="J131" s="121" cm="1">
        <f t="array" ref="J131">IFERROR(SUMIFS(INDEX(Calc_TUV_Net_2[[Ausnet]:[United Energy]],0,MATCH(Calc_TUV_NetGroup_2[[#Headers],[Jemena]],Calc_TUV_Net_2[[#Headers],[Ausnet]:[United Energy]],0)),
Calc_TUV_Net_2[Cost item],Calc_TUV_NetGroup_2[[#This Row],[Cost item]]&amp;" cost true up",
Calc_TUV_Net_2[Customer type],Calc_TUV_NetGroup_2[[#This Row],[Customer type]]),"-")</f>
        <v>0.7202207747945274</v>
      </c>
      <c r="K131" s="121" cm="1">
        <f t="array" ref="K131">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-1.489678100493145</v>
      </c>
      <c r="L131" s="121" cm="1">
        <f t="array" ref="L131">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6.7861242191780837</v>
      </c>
    </row>
    <row r="132" spans="3:22" outlineLevel="1" x14ac:dyDescent="0.25">
      <c r="C132" s="18" t="str">
        <f>IF(COUNTIFS(Calc_TUV_Net_2[Pass through (Yes/No)],"Yes",Calc_TUV_Net_2[Cost item],"Anytime - "&amp;Calc_TUV_NetGroup_2[[#This Row],[Customer type]])=1,"Anytime - usage","-")</f>
        <v>Anytime - usage</v>
      </c>
      <c r="D132" s="18" t="s">
        <v>66</v>
      </c>
      <c r="E132" s="116" t="s">
        <v>45</v>
      </c>
      <c r="F132" s="18" t="s">
        <v>32</v>
      </c>
      <c r="G132" s="18" t="s">
        <v>57</v>
      </c>
      <c r="H132" s="121" cm="1">
        <f t="array" ref="H132">IFERROR(SUMIFS(INDEX(Calc_TUV_Net_2[[Ausnet]:[United Energy]],0,MATCH(Calc_TUV_NetGroup_2[[#Headers],[Ausnet]],Calc_TUV_Net_2[[#Headers],[Ausnet]:[United Energy]],0)),
Calc_TUV_Net_2[Cost item],Calc_TUV_NetGroup_2[[#This Row],[Cost item]]&amp;" cost true up",
Calc_TUV_Net_2[Customer type],Calc_TUV_NetGroup_2[[#This Row],[Customer type]]),"-")</f>
        <v>21.624267998402235</v>
      </c>
      <c r="I132" s="121" cm="1">
        <f t="array" ref="I132">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9.4026879052361991</v>
      </c>
      <c r="J132" s="121" cm="1">
        <f t="array" ref="J132">IFERROR(SUMIFS(INDEX(Calc_TUV_Net_2[[Ausnet]:[United Energy]],0,MATCH(Calc_TUV_NetGroup_2[[#Headers],[Jemena]],Calc_TUV_Net_2[[#Headers],[Ausnet]:[United Energy]],0)),
Calc_TUV_Net_2[Cost item],Calc_TUV_NetGroup_2[[#This Row],[Cost item]]&amp;" cost true up",
Calc_TUV_Net_2[Customer type],Calc_TUV_NetGroup_2[[#This Row],[Customer type]]),"-")</f>
        <v>23.113771611826813</v>
      </c>
      <c r="K132" s="121" cm="1">
        <f t="array" ref="K132">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11.928783163359327</v>
      </c>
      <c r="L132" s="121" cm="1">
        <f t="array" ref="L132">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-6.7362540216617202</v>
      </c>
    </row>
    <row r="133" spans="3:22" outlineLevel="1" x14ac:dyDescent="0.25">
      <c r="C133" s="18" t="str">
        <f>IF(COUNTIFS(Calc_TUV_Net_2[Pass through (Yes/No)],"Yes",Calc_TUV_Net_2[Cost item],"Controlled load cost - "&amp;Calc_TUV_NetGroup_2[[#This Row],[Customer type]])=1,"Controlled load - usage","-")</f>
        <v>Controlled load - usage</v>
      </c>
      <c r="D133" s="18" t="s">
        <v>66</v>
      </c>
      <c r="E133" s="116" t="s">
        <v>45</v>
      </c>
      <c r="F133" s="18" t="s">
        <v>31</v>
      </c>
      <c r="G133" s="18" t="s">
        <v>57</v>
      </c>
      <c r="H133" s="121" cm="1">
        <f t="array" ref="H133">IFERROR(SUMIFS(INDEX(Calc_TUV_Net_2[[Ausnet]:[United Energy]],0,MATCH(Calc_TUV_NetGroup_2[[#Headers],[Ausnet]],Calc_TUV_Net_2[[#Headers],[Ausnet]:[United Energy]],0)),
Calc_TUV_Net_2[Cost item],Calc_TUV_NetGroup_2[[#This Row],[Cost item]]&amp;" cost true up",
Calc_TUV_Net_2[Customer type],Calc_TUV_NetGroup_2[[#This Row],[Customer type]]),"-")</f>
        <v>1.5894390798904101</v>
      </c>
      <c r="I133" s="121" cm="1">
        <f t="array" ref="I133">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1.5058261041095908</v>
      </c>
      <c r="J133" s="121" cm="1">
        <f t="array" ref="J133">IFERROR(SUMIFS(INDEX(Calc_TUV_Net_2[[Ausnet]:[United Energy]],0,MATCH(Calc_TUV_NetGroup_2[[#Headers],[Jemena]],Calc_TUV_Net_2[[#Headers],[Ausnet]:[United Energy]],0)),
Calc_TUV_Net_2[Cost item],Calc_TUV_NetGroup_2[[#This Row],[Cost item]]&amp;" cost true up",
Calc_TUV_Net_2[Customer type],Calc_TUV_NetGroup_2[[#This Row],[Customer type]]),"-")</f>
        <v>2.7065242871232895</v>
      </c>
      <c r="K133" s="121" cm="1">
        <f t="array" ref="K133">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0.99067506849315157</v>
      </c>
      <c r="L133" s="121">
        <f>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1.7435881205479449</v>
      </c>
    </row>
    <row r="134" spans="3:22" outlineLevel="1" x14ac:dyDescent="0.25">
      <c r="C134" s="18" t="str">
        <f>IF(COUNTIFS(Calc_TUV_Net_2[Pass through (Yes/No)],"Yes",Calc_TUV_Net_2[Cost item],"TOU - "&amp;Calc_TUV_NetGroup_2[[#This Row],[Customer type]])=1,"TOU - supply","-")</f>
        <v>TOU - supply</v>
      </c>
      <c r="D134" s="18" t="s">
        <v>44</v>
      </c>
      <c r="E134" s="116" t="s">
        <v>45</v>
      </c>
      <c r="F134" s="18" t="s">
        <v>31</v>
      </c>
      <c r="G134" s="18" t="s">
        <v>57</v>
      </c>
      <c r="H134" s="121" cm="1">
        <f t="array" ref="H134">IFERROR(SUMIFS(INDEX(Calc_TUV_Net_2[[Ausnet]:[United Energy]],0,MATCH(Calc_TUV_NetGroup_2[[#Headers],[Ausnet]],Calc_TUV_Net_2[[#Headers],[Ausnet]:[United Energy]],0)),
Calc_TUV_Net_2[Cost item],Calc_TUV_NetGroup_2[[#This Row],[Cost item]]&amp;" cost true up",
Calc_TUV_Net_2[Customer type],Calc_TUV_NetGroup_2[[#This Row],[Customer type]]),"-")</f>
        <v>1.8248234761643884</v>
      </c>
      <c r="I134" s="121" cm="1">
        <f t="array" ref="I134">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-1.2662808725479466</v>
      </c>
      <c r="J134" s="121" cm="1">
        <f t="array" ref="J134">IFERROR(SUMIFS(INDEX(Calc_TUV_Net_2[[Ausnet]:[United Energy]],0,MATCH(Calc_TUV_NetGroup_2[[#Headers],[Jemena]],Calc_TUV_Net_2[[#Headers],[Ausnet]:[United Energy]],0)),
Calc_TUV_Net_2[Cost item],Calc_TUV_NetGroup_2[[#This Row],[Cost item]]&amp;" cost true up",
Calc_TUV_Net_2[Customer type],Calc_TUV_NetGroup_2[[#This Row],[Customer type]]),"-")</f>
        <v>0.21319327473972866</v>
      </c>
      <c r="K134" s="121" cm="1">
        <f t="array" ref="K134">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-1.4904706405479504</v>
      </c>
      <c r="L134" s="121" cm="1">
        <f t="array" ref="L134">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2.823027675178083</v>
      </c>
    </row>
    <row r="135" spans="3:22" outlineLevel="1" x14ac:dyDescent="0.25">
      <c r="C135" s="18" t="str">
        <f>IF(COUNTIFS(Calc_TUV_Net_2[Pass through (Yes/No)],"Yes",Calc_TUV_Net_2[Cost item],"TOU - "&amp;Calc_TUV_NetGroup_2[[#This Row],[Customer type]])=1,"TOU - usage","-")</f>
        <v>TOU - usage</v>
      </c>
      <c r="D135" s="18" t="s">
        <v>66</v>
      </c>
      <c r="E135" s="116" t="s">
        <v>45</v>
      </c>
      <c r="F135" s="18" t="s">
        <v>31</v>
      </c>
      <c r="G135" s="18" t="s">
        <v>57</v>
      </c>
      <c r="H135" s="121" cm="1">
        <f t="array" ref="H135">IFERROR(SUMIFS(INDEX(Calc_TUV_Net_2[[Ausnet]:[United Energy]],0,MATCH(Calc_TUV_NetGroup_2[[#Headers],[Ausnet]],Calc_TUV_Net_2[[#Headers],[Ausnet]:[United Energy]],0)),
Calc_TUV_Net_2[Cost item],Calc_TUV_NetGroup_2[[#This Row],[Cost item]]&amp;" cost true up",
Calc_TUV_Net_2[Customer type],Calc_TUV_NetGroup_2[[#This Row],[Customer type]]),"-")</f>
        <v>-8.5849159393278871</v>
      </c>
      <c r="I135" s="121" cm="1">
        <f t="array" ref="I135">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16.801441136762307</v>
      </c>
      <c r="J135" s="121" cm="1">
        <f t="array" ref="J135">IFERROR(SUMIFS(INDEX(Calc_TUV_Net_2[[Ausnet]:[United Energy]],0,MATCH(Calc_TUV_NetGroup_2[[#Headers],[Jemena]],Calc_TUV_Net_2[[#Headers],[Ausnet]:[United Energy]],0)),
Calc_TUV_Net_2[Cost item],Calc_TUV_NetGroup_2[[#This Row],[Cost item]]&amp;" cost true up",
Calc_TUV_Net_2[Customer type],Calc_TUV_NetGroup_2[[#This Row],[Customer type]]),"-")</f>
        <v>-4.0981768901270739</v>
      </c>
      <c r="K135" s="121" cm="1">
        <f t="array" ref="K135">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13.26654155657446</v>
      </c>
      <c r="L135" s="121" cm="1">
        <f t="array" ref="L135">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2.1589990258112866</v>
      </c>
    </row>
    <row r="136" spans="3:22" outlineLevel="1" x14ac:dyDescent="0.25">
      <c r="C136" s="18" t="str">
        <f>IF(COUNTIFS(Calc_TUV_Net_2[Pass through (Yes/No)],"Yes",Calc_TUV_Net_2[Cost item],"TOU - "&amp;Calc_TUV_NetGroup_2[[#This Row],[Customer type]])=1,"TOU - supply","-")</f>
        <v>TOU - supply</v>
      </c>
      <c r="D136" s="18" t="s">
        <v>44</v>
      </c>
      <c r="E136" s="116" t="s">
        <v>45</v>
      </c>
      <c r="F136" s="18" t="s">
        <v>32</v>
      </c>
      <c r="G136" s="18" t="s">
        <v>57</v>
      </c>
      <c r="H136" s="121" cm="1">
        <f t="array" ref="H136">IFERROR(SUMIFS(INDEX(Calc_TUV_Net_2[[Ausnet]:[United Energy]],0,MATCH(Calc_TUV_NetGroup_2[[#Headers],[Ausnet]],Calc_TUV_Net_2[[#Headers],[Ausnet]:[United Energy]],0)),
Calc_TUV_Net_2[Cost item],Calc_TUV_NetGroup_2[[#This Row],[Cost item]]&amp;" cost true up",
Calc_TUV_Net_2[Customer type],Calc_TUV_NetGroup_2[[#This Row],[Customer type]]),"-")</f>
        <v>1.8248234761643884</v>
      </c>
      <c r="I136" s="121" cm="1">
        <f t="array" ref="I136">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-1.2648939274520594</v>
      </c>
      <c r="J136" s="121" cm="1">
        <f t="array" ref="J136">IFERROR(SUMIFS(INDEX(Calc_TUV_Net_2[[Ausnet]:[United Energy]],0,MATCH(Calc_TUV_NetGroup_2[[#Headers],[Jemena]],Calc_TUV_Net_2[[#Headers],[Ausnet]:[United Energy]],0)),
Calc_TUV_Net_2[Cost item],Calc_TUV_NetGroup_2[[#This Row],[Cost item]]&amp;" cost true up",
Calc_TUV_Net_2[Customer type],Calc_TUV_NetGroup_2[[#This Row],[Customer type]]),"-")</f>
        <v>22.051040079561648</v>
      </c>
      <c r="K136" s="121" cm="1">
        <f t="array" ref="K136">IFERROR(SUMIFS(INDEX(Calc_TUV_Net_2[[Ausnet]:[United Energy]],0,MATCH(Calc_TUV_NetGroup_2[[#Headers],[Powercor]],Calc_TUV_Net_2[[#Headers],[Ausnet]:[United Energy]],0)),
Calc_TUV_Net_2[Cost item],Calc_TUV_NetGroup_2[[#This Row],[Cost item]]&amp;" cost true up",
Calc_TUV_Net_2[Customer type],Calc_TUV_NetGroup_2[[#This Row],[Customer type]]),"-")</f>
        <v>-1.489678100493145</v>
      </c>
      <c r="L136" s="121" cm="1">
        <f t="array" ref="L136">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6.7861242191780837</v>
      </c>
    </row>
    <row r="137" spans="3:22" outlineLevel="1" x14ac:dyDescent="0.25">
      <c r="C137" s="18" t="str">
        <f>IF(COUNTIFS(Calc_TUV_Net_2[Pass through (Yes/No)],"Yes",Calc_TUV_Net_2[Cost item],"TOU - "&amp;Calc_TUV_NetGroup_2[[#This Row],[Customer type]])=1,"TOU - usage","-")</f>
        <v>TOU - usage</v>
      </c>
      <c r="D137" s="18" t="s">
        <v>66</v>
      </c>
      <c r="E137" s="116" t="s">
        <v>45</v>
      </c>
      <c r="F137" s="18" t="s">
        <v>32</v>
      </c>
      <c r="G137" s="18" t="s">
        <v>57</v>
      </c>
      <c r="H137" s="121" cm="1">
        <f t="array" ref="H137">IFERROR(SUMIFS(INDEX(Calc_TUV_Net_2[[Ausnet]:[United Energy]],0,MATCH(Calc_TUV_NetGroup_2[[#Headers],[Ausnet]],Calc_TUV_Net_2[[#Headers],[Ausnet]:[United Energy]],0)),
Calc_TUV_Net_2[Cost item],Calc_TUV_NetGroup_2[[#This Row],[Cost item]]&amp;" cost true up",
Calc_TUV_Net_2[Customer type],Calc_TUV_NetGroup_2[[#This Row],[Customer type]]),"-")</f>
        <v>-51.339758164415485</v>
      </c>
      <c r="I137" s="121" cm="1">
        <f t="array" ref="I137">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4.4024226804068585</v>
      </c>
      <c r="J137" s="121" cm="1">
        <f t="array" ref="J137">IFERROR(SUMIFS(INDEX(Calc_TUV_Net_2[[Ausnet]:[United Energy]],0,MATCH(Calc_TUV_NetGroup_2[[#Headers],[Jemena]],Calc_TUV_Net_2[[#Headers],[Ausnet]:[United Energy]],0)),
Calc_TUV_Net_2[Cost item],Calc_TUV_NetGroup_2[[#This Row],[Cost item]]&amp;" cost true up",
Calc_TUV_Net_2[Customer type],Calc_TUV_NetGroup_2[[#This Row],[Customer type]]),"-")</f>
        <v>-10.48736514134918</v>
      </c>
      <c r="K137" s="121" cm="1">
        <f t="array" ref="K137">IFERROR(SUMIFS(INDEX(Calc_TUV_Net_2[[Ausnet]:[United Energy]],0,MATCH(Calc_TUV_NetGroup_2[[#Headers],[Powercor]],Calc_TUV_Net_2[[#Headers],[Ausnet]:[United Energy]],0)),
Calc_TUV_Net_2[Cost item],Calc_TUV_NetGroup_2[[#This Row],[Cost item]]&amp;" cost true up",
Calc_TUV_Net_2[Customer type],Calc_TUV_NetGroup_2[[#This Row],[Customer type]]),"-")</f>
        <v>6.4597869295227124</v>
      </c>
      <c r="L137" s="121" cm="1">
        <f t="array" ref="L137">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-11.631265277402576</v>
      </c>
      <c r="O137" s="74"/>
    </row>
    <row r="138" spans="3:22" outlineLevel="1" x14ac:dyDescent="0.25">
      <c r="O138" s="68"/>
    </row>
    <row r="139" spans="3:22" ht="15.75" outlineLevel="1" x14ac:dyDescent="0.25">
      <c r="C139" s="43" t="s">
        <v>343</v>
      </c>
      <c r="D139" s="71" t="str">
        <f>INDEX(Inputs!$H$10:$Q$10,1,MATCH($D$123,Inputs!$H$8:$Q$8,0))</f>
        <v>D-NextVDO_Input</v>
      </c>
      <c r="E139" s="156">
        <f>INDEX(Input_TUNet_Dates[[F-CurrentVDO_Input]:[F-NextVDO_Input]],MATCH(Calc_TU_rates!C139,Input_TUNet_Dates[Item],0),MATCH(Calc_TU_rates!D139,Input_TUNet_Dates[[#Headers],[F-CurrentVDO_Input]:[F-NextVDO_Input]],0))</f>
        <v>44562</v>
      </c>
    </row>
    <row r="140" spans="3:22" ht="15.75" outlineLevel="1" x14ac:dyDescent="0.25">
      <c r="C140" s="43" t="s">
        <v>344</v>
      </c>
      <c r="D140" s="71" t="str">
        <f>INDEX(Inputs!$H$10:$Q$10,1,MATCH($D$123,Inputs!$H$8:$Q$8,0))</f>
        <v>D-NextVDO_Input</v>
      </c>
      <c r="E140" s="156">
        <f>INDEX(Input_TUNet_Dates[[F-CurrentVDO_Input]:[F-NextVDO_Input]],MATCH(Calc_TU_rates!C140,Input_TUNet_Dates[Item],0),MATCH(Calc_TU_rates!D140,Input_TUNet_Dates[[#Headers],[F-CurrentVDO_Input]:[F-NextVDO_Input]],0))</f>
        <v>44742</v>
      </c>
    </row>
    <row r="141" spans="3:22" ht="15.75" outlineLevel="1" x14ac:dyDescent="0.25">
      <c r="C141" s="23"/>
    </row>
    <row r="142" spans="3:22" ht="15.75" outlineLevel="1" x14ac:dyDescent="0.25">
      <c r="C142" s="43" t="s">
        <v>399</v>
      </c>
      <c r="E142" s="176">
        <f>IFERROR(_xlfn.DAYS(E140,E139)+1,"-")</f>
        <v>181</v>
      </c>
    </row>
    <row r="143" spans="3:22" outlineLevel="1" x14ac:dyDescent="0.25"/>
    <row r="144" spans="3:22" ht="15.75" outlineLevel="1" x14ac:dyDescent="0.25">
      <c r="C144" s="23" t="s">
        <v>416</v>
      </c>
    </row>
    <row r="145" spans="2:15" ht="15.75" outlineLevel="1" x14ac:dyDescent="0.25">
      <c r="C145" s="34" t="s">
        <v>308</v>
      </c>
      <c r="D145" s="111" t="s">
        <v>37</v>
      </c>
      <c r="E145" s="111" t="s">
        <v>38</v>
      </c>
      <c r="F145" s="111" t="s">
        <v>30</v>
      </c>
      <c r="G145" s="111" t="s">
        <v>23</v>
      </c>
      <c r="H145" s="112" t="s">
        <v>204</v>
      </c>
      <c r="I145" s="112" t="s">
        <v>205</v>
      </c>
      <c r="J145" s="112" t="s">
        <v>206</v>
      </c>
      <c r="K145" s="112" t="s">
        <v>207</v>
      </c>
      <c r="L145" s="112" t="s">
        <v>208</v>
      </c>
    </row>
    <row r="146" spans="2:15" outlineLevel="1" collapsed="1" x14ac:dyDescent="0.25">
      <c r="C146" s="18" t="s">
        <v>345</v>
      </c>
      <c r="D146" s="18" t="s">
        <v>44</v>
      </c>
      <c r="E146" s="116" t="s">
        <v>45</v>
      </c>
      <c r="F146" s="18" t="s">
        <v>31</v>
      </c>
      <c r="G146" s="18" t="s">
        <v>57</v>
      </c>
      <c r="H146" s="123" cm="1">
        <f t="array" ref="H146">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6.8403774232158071E-2</v>
      </c>
      <c r="I146" s="123" cm="1">
        <f t="array" ref="I146">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9.3679778811944572E-2</v>
      </c>
      <c r="J146" s="123" cm="1">
        <f t="array" ref="J146">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8.1208757066932022E-2</v>
      </c>
      <c r="K146" s="123" cm="1">
        <f t="array" ref="K146">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8.1608954363323383E-2</v>
      </c>
      <c r="L146" s="123" cm="1">
        <f t="array" ref="L146">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3.5986874588378633E-2</v>
      </c>
      <c r="O146" s="67"/>
    </row>
    <row r="147" spans="2:15" outlineLevel="1" x14ac:dyDescent="0.25">
      <c r="C147" s="18" t="s">
        <v>345</v>
      </c>
      <c r="D147" s="18" t="s">
        <v>44</v>
      </c>
      <c r="E147" s="116" t="s">
        <v>45</v>
      </c>
      <c r="F147" s="18" t="s">
        <v>32</v>
      </c>
      <c r="G147" s="18" t="s">
        <v>57</v>
      </c>
      <c r="H147" s="123" cm="1">
        <f t="array" ref="H147">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0.1295529915721913</v>
      </c>
      <c r="I147" s="123" cm="1">
        <f t="array" ref="I147">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4.4960187722564313E-2</v>
      </c>
      <c r="J147" s="123" cm="1">
        <f t="array" ref="J147">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0.13167951594818419</v>
      </c>
      <c r="K147" s="123" cm="1">
        <f t="array" ref="K147">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5.7674613606995488E-2</v>
      </c>
      <c r="L147" s="123" cm="1">
        <f t="array" ref="L147">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2.7552595312908048E-4</v>
      </c>
    </row>
    <row r="148" spans="2:15" outlineLevel="1" x14ac:dyDescent="0.25">
      <c r="C148" s="18" t="s">
        <v>223</v>
      </c>
      <c r="D148" s="18" t="s">
        <v>44</v>
      </c>
      <c r="E148" s="116" t="s">
        <v>45</v>
      </c>
      <c r="F148" s="18" t="s">
        <v>31</v>
      </c>
      <c r="G148" s="18" t="s">
        <v>57</v>
      </c>
      <c r="H148" s="123" cm="1">
        <f t="array" ref="H148">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8.7814313806100011E-3</v>
      </c>
      <c r="I148" s="123" cm="1">
        <f t="array" ref="I148">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8.3194812381745357E-3</v>
      </c>
      <c r="J148" s="123" cm="1">
        <f t="array" ref="J148">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1.4953172857034749E-2</v>
      </c>
      <c r="K148" s="123" cm="1">
        <f t="array" ref="K148">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5.4733429198516662E-3</v>
      </c>
      <c r="L148" s="123" cm="1">
        <f t="array" ref="L148">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9.6330835389389219E-3</v>
      </c>
    </row>
    <row r="149" spans="2:15" outlineLevel="1" x14ac:dyDescent="0.25">
      <c r="C149" s="18" t="s">
        <v>346</v>
      </c>
      <c r="D149" s="18" t="s">
        <v>44</v>
      </c>
      <c r="E149" s="116" t="s">
        <v>45</v>
      </c>
      <c r="F149" s="18" t="s">
        <v>31</v>
      </c>
      <c r="G149" s="18" t="s">
        <v>57</v>
      </c>
      <c r="H149" s="123" cm="1">
        <f t="array" ref="H149">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-3.734857714454972E-2</v>
      </c>
      <c r="I149" s="123" cm="1">
        <f t="array" ref="I149">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8.5829614719416358E-2</v>
      </c>
      <c r="J149" s="123" cm="1">
        <f t="array" ref="J149">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-2.1463997875068204E-2</v>
      </c>
      <c r="K149" s="123" cm="1">
        <f t="array" ref="K149">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6.5061165281914413E-2</v>
      </c>
      <c r="L149" s="123" cm="1">
        <f t="array" ref="L149">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2.752500939773132E-2</v>
      </c>
    </row>
    <row r="150" spans="2:15" outlineLevel="1" x14ac:dyDescent="0.25">
      <c r="C150" s="18" t="s">
        <v>346</v>
      </c>
      <c r="D150" s="18" t="s">
        <v>44</v>
      </c>
      <c r="E150" s="116" t="s">
        <v>45</v>
      </c>
      <c r="F150" s="18" t="s">
        <v>32</v>
      </c>
      <c r="G150" s="18" t="s">
        <v>57</v>
      </c>
      <c r="H150" s="123" cm="1">
        <f t="array" ref="H150">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-0.27356317507321048</v>
      </c>
      <c r="I150" s="123" cm="1">
        <f t="array" ref="I150">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1.7334412999750273E-2</v>
      </c>
      <c r="J150" s="123" cm="1">
        <f t="array" ref="J150">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6.3887706840952865E-2</v>
      </c>
      <c r="K150" s="123" cm="1">
        <f t="array" ref="K150">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2.7459164801268327E-2</v>
      </c>
      <c r="L150" s="123" cm="1">
        <f t="array" ref="L150">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/$E$142,"-")</f>
        <v>-2.6768735128312113E-2</v>
      </c>
    </row>
    <row r="151" spans="2:15" outlineLevel="1" x14ac:dyDescent="0.25">
      <c r="B151"/>
    </row>
    <row r="152" spans="2:15" ht="15.75" outlineLevel="1" x14ac:dyDescent="0.25">
      <c r="B152"/>
      <c r="C152" s="23" t="s">
        <v>368</v>
      </c>
    </row>
    <row r="153" spans="2:15" ht="15.75" outlineLevel="1" x14ac:dyDescent="0.25">
      <c r="B153"/>
      <c r="C153" s="110" t="s">
        <v>308</v>
      </c>
      <c r="D153" s="110" t="s">
        <v>37</v>
      </c>
      <c r="E153" s="110" t="s">
        <v>38</v>
      </c>
      <c r="F153" s="110" t="s">
        <v>30</v>
      </c>
      <c r="G153" s="129" t="s">
        <v>23</v>
      </c>
      <c r="H153" s="126" t="s">
        <v>204</v>
      </c>
      <c r="I153" s="126" t="s">
        <v>205</v>
      </c>
      <c r="J153" s="126" t="s">
        <v>206</v>
      </c>
      <c r="K153" s="126" t="s">
        <v>207</v>
      </c>
      <c r="L153" s="126" t="s">
        <v>208</v>
      </c>
    </row>
    <row r="154" spans="2:15" ht="15.75" outlineLevel="1" x14ac:dyDescent="0.25">
      <c r="B154"/>
      <c r="C154" s="18" t="s">
        <v>345</v>
      </c>
      <c r="D154" s="18" t="s">
        <v>44</v>
      </c>
      <c r="E154" s="116" t="s">
        <v>45</v>
      </c>
      <c r="F154" s="18" t="s">
        <v>31</v>
      </c>
      <c r="G154" s="18" t="s">
        <v>57</v>
      </c>
      <c r="H154" s="79">
        <f>IF(H146="-","-",
IF(H146=
(SUMIFS(Calc_TUV_Net_2[Ausnet],Calc_TUV_Net_2[[Cost item]:[Cost item]],Calc_TU_rates!$C154&amp;" - supply cost true up",Calc_TUV_Net_2[[Customer type]:[Customer type]],Calc_TU_rates!$F154)+
SUMIFS(Calc_TUV_Net_2[Ausnet],Calc_TUV_Net_2[[Cost item]:[Cost item]],Calc_TU_rates!$C154&amp;" - usage cost true up",Calc_TUV_Net_2[[Customer type]:[Customer type]],Calc_TU_rates!$F154))/Calc_TU_rates!$E$142,0,1))</f>
        <v>0</v>
      </c>
      <c r="I154" s="79">
        <f>IF(I146="-","-",
IF(I146=
(SUMIFS(Calc_TUV_Net_2[Citipower],Calc_TUV_Net_2[[Cost item]:[Cost item]],Calc_TU_rates!$C154&amp;" - supply cost true up",Calc_TUV_Net_2[[Customer type]:[Customer type]],Calc_TU_rates!$F154)+
SUMIFS(Calc_TUV_Net_2[Citipower],Calc_TUV_Net_2[[Cost item]:[Cost item]],Calc_TU_rates!$C154&amp;" - usage cost true up",Calc_TUV_Net_2[[Customer type]:[Customer type]],Calc_TU_rates!$F154))/Calc_TU_rates!$E$142,0,1))</f>
        <v>0</v>
      </c>
      <c r="J154" s="79">
        <f>IF(J146="-","-",
IF(J146=
(SUMIFS(Calc_TUV_Net_2[Jemena],Calc_TUV_Net_2[[Cost item]:[Cost item]],Calc_TU_rates!$C154&amp;" - supply cost true up",Calc_TUV_Net_2[[Customer type]:[Customer type]],Calc_TU_rates!$F154)+
SUMIFS(Calc_TUV_Net_2[Jemena],Calc_TUV_Net_2[[Cost item]:[Cost item]],Calc_TU_rates!$C154&amp;" - usage cost true up",Calc_TUV_Net_2[[Customer type]:[Customer type]],Calc_TU_rates!$F154))/Calc_TU_rates!$E$142,0,1))</f>
        <v>0</v>
      </c>
      <c r="K154" s="79">
        <f>IF(K146="-","-",
IF(K146=
(SUMIFS(Calc_TUV_Net_2[Powercor],Calc_TUV_Net_2[[Cost item]:[Cost item]],Calc_TU_rates!$C154&amp;" - supply cost true up",Calc_TUV_Net_2[[Customer type]:[Customer type]],Calc_TU_rates!$F154)+
SUMIFS(Calc_TUV_Net_2[Powercor],Calc_TUV_Net_2[[Cost item]:[Cost item]],Calc_TU_rates!$C154&amp;" - usage cost true up",Calc_TUV_Net_2[[Customer type]:[Customer type]],Calc_TU_rates!$F154))/Calc_TU_rates!$E$142,0,1))</f>
        <v>0</v>
      </c>
      <c r="L154" s="79">
        <f>IF(L146="-","-",
IF(L146=
(SUMIFS(Calc_TUV_Net_2[United Energy],Calc_TUV_Net_2[[Cost item]:[Cost item]],Calc_TU_rates!$C154&amp;" - supply cost true up",Calc_TUV_Net_2[[Customer type]:[Customer type]],Calc_TU_rates!$F154)+
SUMIFS(Calc_TUV_Net_2[United Energy],Calc_TUV_Net_2[[Cost item]:[Cost item]],Calc_TU_rates!$C154&amp;" - usage cost true up",Calc_TUV_Net_2[[Customer type]:[Customer type]],Calc_TU_rates!$F154))/Calc_TU_rates!$E$142,0,1))</f>
        <v>0</v>
      </c>
    </row>
    <row r="155" spans="2:15" ht="15.75" outlineLevel="1" x14ac:dyDescent="0.25">
      <c r="B155"/>
      <c r="C155" s="18" t="s">
        <v>345</v>
      </c>
      <c r="D155" s="18" t="s">
        <v>44</v>
      </c>
      <c r="E155" s="116" t="s">
        <v>45</v>
      </c>
      <c r="F155" s="18" t="s">
        <v>32</v>
      </c>
      <c r="G155" s="18" t="s">
        <v>57</v>
      </c>
      <c r="H155" s="79">
        <f>IF(H147="-","-",
IF(H147=
(SUMIFS(Calc_TUV_Net_2[Ausnet],Calc_TUV_Net_2[[Cost item]:[Cost item]],Calc_TU_rates!$C155&amp;" - supply cost true up",Calc_TUV_Net_2[[Customer type]:[Customer type]],Calc_TU_rates!$F155)+
SUMIFS(Calc_TUV_Net_2[Ausnet],Calc_TUV_Net_2[[Cost item]:[Cost item]],Calc_TU_rates!$C155&amp;" - usage cost true up",Calc_TUV_Net_2[[Customer type]:[Customer type]],Calc_TU_rates!$F155))/Calc_TU_rates!$E$142,0,1))</f>
        <v>0</v>
      </c>
      <c r="I155" s="79">
        <f>IF(I147="-","-",
IF(I147=
(SUMIFS(Calc_TUV_Net_2[Citipower],Calc_TUV_Net_2[[Cost item]:[Cost item]],Calc_TU_rates!$C155&amp;" - supply cost true up",Calc_TUV_Net_2[[Customer type]:[Customer type]],Calc_TU_rates!$F155)+
SUMIFS(Calc_TUV_Net_2[Citipower],Calc_TUV_Net_2[[Cost item]:[Cost item]],Calc_TU_rates!$C155&amp;" - usage cost true up",Calc_TUV_Net_2[[Customer type]:[Customer type]],Calc_TU_rates!$F155))/Calc_TU_rates!$E$142,0,1))</f>
        <v>0</v>
      </c>
      <c r="J155" s="79">
        <f>IF(J147="-","-",
IF(J147=
(SUMIFS(Calc_TUV_Net_2[Jemena],Calc_TUV_Net_2[[Cost item]:[Cost item]],Calc_TU_rates!$C155&amp;" - supply cost true up",Calc_TUV_Net_2[[Customer type]:[Customer type]],Calc_TU_rates!$F155)+
SUMIFS(Calc_TUV_Net_2[Jemena],Calc_TUV_Net_2[[Cost item]:[Cost item]],Calc_TU_rates!$C155&amp;" - usage cost true up",Calc_TUV_Net_2[[Customer type]:[Customer type]],Calc_TU_rates!$F155))/Calc_TU_rates!$E$142,0,1))</f>
        <v>0</v>
      </c>
      <c r="K155" s="79">
        <f>IF(K147="-","-",
IF(K147=
(SUMIFS(Calc_TUV_Net_2[Powercor],Calc_TUV_Net_2[[Cost item]:[Cost item]],Calc_TU_rates!$C155&amp;" - supply cost true up",Calc_TUV_Net_2[[Customer type]:[Customer type]],Calc_TU_rates!$F155)+
SUMIFS(Calc_TUV_Net_2[Powercor],Calc_TUV_Net_2[[Cost item]:[Cost item]],Calc_TU_rates!$C155&amp;" - usage cost true up",Calc_TUV_Net_2[[Customer type]:[Customer type]],Calc_TU_rates!$F155))/Calc_TU_rates!$E$142,0,1))</f>
        <v>0</v>
      </c>
      <c r="L155" s="79">
        <f>IF(L147="-","-",
IF(L147=
(SUMIFS(Calc_TUV_Net_2[United Energy],Calc_TUV_Net_2[[Cost item]:[Cost item]],Calc_TU_rates!$C155&amp;" - supply cost true up",Calc_TUV_Net_2[[Customer type]:[Customer type]],Calc_TU_rates!$F155)+
SUMIFS(Calc_TUV_Net_2[United Energy],Calc_TUV_Net_2[[Cost item]:[Cost item]],Calc_TU_rates!$C155&amp;" - usage cost true up",Calc_TUV_Net_2[[Customer type]:[Customer type]],Calc_TU_rates!$F155))/Calc_TU_rates!$E$142,0,1))</f>
        <v>0</v>
      </c>
    </row>
    <row r="156" spans="2:15" ht="15.75" outlineLevel="1" x14ac:dyDescent="0.25">
      <c r="B156"/>
      <c r="C156" s="18" t="s">
        <v>223</v>
      </c>
      <c r="D156" s="18" t="s">
        <v>44</v>
      </c>
      <c r="E156" s="116" t="s">
        <v>45</v>
      </c>
      <c r="F156" s="18" t="s">
        <v>31</v>
      </c>
      <c r="G156" s="18" t="s">
        <v>57</v>
      </c>
      <c r="H156" s="79">
        <f>IF(H148="-","-",
IF(H148=
(SUMIFS(Calc_TUV_Net_2[Ausnet],Calc_TUV_Net_2[[Cost item]:[Cost item]],Calc_TU_rates!$C156&amp;" - supply cost true up",Calc_TUV_Net_2[[Customer type]:[Customer type]],Calc_TU_rates!$F156)+
SUMIFS(Calc_TUV_Net_2[Ausnet],Calc_TUV_Net_2[[Cost item]:[Cost item]],Calc_TU_rates!$C156&amp;" - usage cost true up",Calc_TUV_Net_2[[Customer type]:[Customer type]],Calc_TU_rates!$F156))/Calc_TU_rates!$E$142,0,1))</f>
        <v>0</v>
      </c>
      <c r="I156" s="79">
        <f>IF(I148="-","-",
IF(I148=
(SUMIFS(Calc_TUV_Net_2[Citipower],Calc_TUV_Net_2[[Cost item]:[Cost item]],Calc_TU_rates!$C156&amp;" - supply cost true up",Calc_TUV_Net_2[[Customer type]:[Customer type]],Calc_TU_rates!$F156)+
SUMIFS(Calc_TUV_Net_2[Citipower],Calc_TUV_Net_2[[Cost item]:[Cost item]],Calc_TU_rates!$C156&amp;" - usage cost true up",Calc_TUV_Net_2[[Customer type]:[Customer type]],Calc_TU_rates!$F156))/Calc_TU_rates!$E$142,0,1))</f>
        <v>0</v>
      </c>
      <c r="J156" s="79">
        <f>IF(J148="-","-",
IF(J148=
(SUMIFS(Calc_TUV_Net_2[Jemena],Calc_TUV_Net_2[[Cost item]:[Cost item]],Calc_TU_rates!$C156&amp;" - supply cost true up",Calc_TUV_Net_2[[Customer type]:[Customer type]],Calc_TU_rates!$F156)+
SUMIFS(Calc_TUV_Net_2[Jemena],Calc_TUV_Net_2[[Cost item]:[Cost item]],Calc_TU_rates!$C156&amp;" - usage cost true up",Calc_TUV_Net_2[[Customer type]:[Customer type]],Calc_TU_rates!$F156))/Calc_TU_rates!$E$142,0,1))</f>
        <v>0</v>
      </c>
      <c r="K156" s="79">
        <f>IF(K148="-","-",
IF(K148=
(SUMIFS(Calc_TUV_Net_2[Powercor],Calc_TUV_Net_2[[Cost item]:[Cost item]],Calc_TU_rates!$C156&amp;" - supply cost true up",Calc_TUV_Net_2[[Customer type]:[Customer type]],Calc_TU_rates!$F156)+
SUMIFS(Calc_TUV_Net_2[Powercor],Calc_TUV_Net_2[[Cost item]:[Cost item]],Calc_TU_rates!$C156&amp;" - usage cost true up",Calc_TUV_Net_2[[Customer type]:[Customer type]],Calc_TU_rates!$F156))/Calc_TU_rates!$E$142,0,1))</f>
        <v>0</v>
      </c>
      <c r="L156" s="79">
        <f>IF(L148="-","-",
IF(L148=
(SUMIFS(Calc_TUV_Net_2[United Energy],Calc_TUV_Net_2[[Cost item]:[Cost item]],Calc_TU_rates!$C156&amp;" - supply cost true up",Calc_TUV_Net_2[[Customer type]:[Customer type]],Calc_TU_rates!$F156)+
SUMIFS(Calc_TUV_Net_2[United Energy],Calc_TUV_Net_2[[Cost item]:[Cost item]],Calc_TU_rates!$C156&amp;" - usage cost true up",Calc_TUV_Net_2[[Customer type]:[Customer type]],Calc_TU_rates!$F156))/Calc_TU_rates!$E$142,0,1))</f>
        <v>0</v>
      </c>
    </row>
    <row r="157" spans="2:15" ht="15.75" outlineLevel="1" x14ac:dyDescent="0.25">
      <c r="B157"/>
      <c r="C157" s="18" t="s">
        <v>346</v>
      </c>
      <c r="D157" s="18" t="s">
        <v>44</v>
      </c>
      <c r="E157" s="116" t="s">
        <v>45</v>
      </c>
      <c r="F157" s="18" t="s">
        <v>31</v>
      </c>
      <c r="G157" s="18" t="s">
        <v>57</v>
      </c>
      <c r="H157" s="79">
        <f>IF(H149="-","-",
IF(H149=
(SUMIFS(Calc_TUV_Net_2[Ausnet],Calc_TUV_Net_2[[Cost item]:[Cost item]],Calc_TU_rates!$C157&amp;" - supply cost true up",Calc_TUV_Net_2[[Customer type]:[Customer type]],Calc_TU_rates!$F157)+
SUMIFS(Calc_TUV_Net_2[Ausnet],Calc_TUV_Net_2[[Cost item]:[Cost item]],Calc_TU_rates!$C157&amp;" - usage cost true up",Calc_TUV_Net_2[[Customer type]:[Customer type]],Calc_TU_rates!$F157))/Calc_TU_rates!$E$142,0,1))</f>
        <v>0</v>
      </c>
      <c r="I157" s="79">
        <f>IF(I149="-","-",
IF(I149=
(SUMIFS(Calc_TUV_Net_2[Citipower],Calc_TUV_Net_2[[Cost item]:[Cost item]],Calc_TU_rates!$C157&amp;" - supply cost true up",Calc_TUV_Net_2[[Customer type]:[Customer type]],Calc_TU_rates!$F157)+
SUMIFS(Calc_TUV_Net_2[Citipower],Calc_TUV_Net_2[[Cost item]:[Cost item]],Calc_TU_rates!$C157&amp;" - usage cost true up",Calc_TUV_Net_2[[Customer type]:[Customer type]],Calc_TU_rates!$F157))/Calc_TU_rates!$E$142,0,1))</f>
        <v>0</v>
      </c>
      <c r="J157" s="79">
        <f>IF(J149="-","-",
IF(J149=
(SUMIFS(Calc_TUV_Net_2[Jemena],Calc_TUV_Net_2[[Cost item]:[Cost item]],Calc_TU_rates!$C157&amp;" - supply cost true up",Calc_TUV_Net_2[[Customer type]:[Customer type]],Calc_TU_rates!$F157)+
SUMIFS(Calc_TUV_Net_2[Jemena],Calc_TUV_Net_2[[Cost item]:[Cost item]],Calc_TU_rates!$C157&amp;" - usage cost true up",Calc_TUV_Net_2[[Customer type]:[Customer type]],Calc_TU_rates!$F157))/Calc_TU_rates!$E$142,0,1))</f>
        <v>0</v>
      </c>
      <c r="K157" s="79">
        <f>IF(K149="-","-",
IF(K149=
(SUMIFS(Calc_TUV_Net_2[Powercor],Calc_TUV_Net_2[[Cost item]:[Cost item]],Calc_TU_rates!$C157&amp;" - supply cost true up",Calc_TUV_Net_2[[Customer type]:[Customer type]],Calc_TU_rates!$F157)+
SUMIFS(Calc_TUV_Net_2[Powercor],Calc_TUV_Net_2[[Cost item]:[Cost item]],Calc_TU_rates!$C157&amp;" - usage cost true up",Calc_TUV_Net_2[[Customer type]:[Customer type]],Calc_TU_rates!$F157))/Calc_TU_rates!$E$142,0,1))</f>
        <v>0</v>
      </c>
      <c r="L157" s="79">
        <f>IF(L149="-","-",
IF(L149=
(SUMIFS(Calc_TUV_Net_2[United Energy],Calc_TUV_Net_2[[Cost item]:[Cost item]],Calc_TU_rates!$C157&amp;" - supply cost true up",Calc_TUV_Net_2[[Customer type]:[Customer type]],Calc_TU_rates!$F157)+
SUMIFS(Calc_TUV_Net_2[United Energy],Calc_TUV_Net_2[[Cost item]:[Cost item]],Calc_TU_rates!$C157&amp;" - usage cost true up",Calc_TUV_Net_2[[Customer type]:[Customer type]],Calc_TU_rates!$F157))/Calc_TU_rates!$E$142,0,1))</f>
        <v>0</v>
      </c>
    </row>
    <row r="158" spans="2:15" ht="15.75" outlineLevel="1" x14ac:dyDescent="0.25">
      <c r="B158"/>
      <c r="C158" s="128" t="s">
        <v>346</v>
      </c>
      <c r="D158" s="128" t="s">
        <v>44</v>
      </c>
      <c r="E158" s="128" t="s">
        <v>45</v>
      </c>
      <c r="F158" s="128" t="s">
        <v>32</v>
      </c>
      <c r="G158" s="128" t="s">
        <v>57</v>
      </c>
      <c r="H158" s="79">
        <f>IF(H150="-","-",
IF(H150=
(SUMIFS(Calc_TUV_Net_2[Ausnet],Calc_TUV_Net_2[[Cost item]:[Cost item]],Calc_TU_rates!$C158&amp;" - supply cost true up",Calc_TUV_Net_2[[Customer type]:[Customer type]],Calc_TU_rates!$F158)+
SUMIFS(Calc_TUV_Net_2[Ausnet],Calc_TUV_Net_2[[Cost item]:[Cost item]],Calc_TU_rates!$C158&amp;" - usage cost true up",Calc_TUV_Net_2[[Customer type]:[Customer type]],Calc_TU_rates!$F158))/Calc_TU_rates!$E$142,0,1))</f>
        <v>0</v>
      </c>
      <c r="I158" s="79">
        <f>IF(I150="-","-",
IF(I150=
(SUMIFS(Calc_TUV_Net_2[Citipower],Calc_TUV_Net_2[[Cost item]:[Cost item]],Calc_TU_rates!$C158&amp;" - supply cost true up",Calc_TUV_Net_2[[Customer type]:[Customer type]],Calc_TU_rates!$F158)+
SUMIFS(Calc_TUV_Net_2[Citipower],Calc_TUV_Net_2[[Cost item]:[Cost item]],Calc_TU_rates!$C158&amp;" - usage cost true up",Calc_TUV_Net_2[[Customer type]:[Customer type]],Calc_TU_rates!$F158))/Calc_TU_rates!$E$142,0,1))</f>
        <v>0</v>
      </c>
      <c r="J158" s="79">
        <f>IF(J150="-","-",
IF(J150=
(SUMIFS(Calc_TUV_Net_2[Jemena],Calc_TUV_Net_2[[Cost item]:[Cost item]],Calc_TU_rates!$C158&amp;" - supply cost true up",Calc_TUV_Net_2[[Customer type]:[Customer type]],Calc_TU_rates!$F158)+
SUMIFS(Calc_TUV_Net_2[Jemena],Calc_TUV_Net_2[[Cost item]:[Cost item]],Calc_TU_rates!$C158&amp;" - usage cost true up",Calc_TUV_Net_2[[Customer type]:[Customer type]],Calc_TU_rates!$F158))/Calc_TU_rates!$E$142,0,1))</f>
        <v>0</v>
      </c>
      <c r="K158" s="79">
        <f>IF(K150="-","-",
IF(K150=
(SUMIFS(Calc_TUV_Net_2[Powercor],Calc_TUV_Net_2[[Cost item]:[Cost item]],Calc_TU_rates!$C158&amp;" - supply cost true up",Calc_TUV_Net_2[[Customer type]:[Customer type]],Calc_TU_rates!$F158)+
SUMIFS(Calc_TUV_Net_2[Powercor],Calc_TUV_Net_2[[Cost item]:[Cost item]],Calc_TU_rates!$C158&amp;" - usage cost true up",Calc_TUV_Net_2[[Customer type]:[Customer type]],Calc_TU_rates!$F158))/Calc_TU_rates!$E$142,0,1))</f>
        <v>0</v>
      </c>
      <c r="L158" s="79">
        <f>IF(L150="-","-",
IF(L150=
(SUMIFS(Calc_TUV_Net_2[United Energy],Calc_TUV_Net_2[[Cost item]:[Cost item]],Calc_TU_rates!$C158&amp;" - supply cost true up",Calc_TUV_Net_2[[Customer type]:[Customer type]],Calc_TU_rates!$F158)+
SUMIFS(Calc_TUV_Net_2[United Energy],Calc_TUV_Net_2[[Cost item]:[Cost item]],Calc_TU_rates!$C158&amp;" - usage cost true up",Calc_TUV_Net_2[[Customer type]:[Customer type]],Calc_TU_rates!$F158))/Calc_TU_rates!$E$142,0,1))</f>
        <v>0</v>
      </c>
    </row>
    <row r="159" spans="2:15" x14ac:dyDescent="0.25">
      <c r="B159"/>
    </row>
    <row r="160" spans="2:15" ht="16.5" thickBot="1" x14ac:dyDescent="0.3">
      <c r="B160" s="7">
        <f ca="1">MAX(B$3:B159)+0.1</f>
        <v>9.3999999999999986</v>
      </c>
      <c r="C160" s="22" t="s">
        <v>359</v>
      </c>
      <c r="D160" s="22"/>
      <c r="E160" s="22"/>
      <c r="F160" s="22"/>
      <c r="G160" s="22"/>
      <c r="H160" s="22"/>
      <c r="I160" s="22"/>
      <c r="J160" s="22"/>
      <c r="K160" s="22"/>
      <c r="L160" s="22"/>
    </row>
    <row r="161" spans="3:12" outlineLevel="1" x14ac:dyDescent="0.25"/>
    <row r="162" spans="3:12" ht="15.75" outlineLevel="1" x14ac:dyDescent="0.25">
      <c r="C162" s="23" t="s">
        <v>369</v>
      </c>
    </row>
    <row r="163" spans="3:12" ht="15.75" outlineLevel="1" x14ac:dyDescent="0.25">
      <c r="C163" s="34" t="s">
        <v>24</v>
      </c>
      <c r="D163" s="34" t="s">
        <v>37</v>
      </c>
      <c r="E163" s="34" t="s">
        <v>38</v>
      </c>
      <c r="F163" s="34" t="s">
        <v>30</v>
      </c>
      <c r="G163" s="34" t="s">
        <v>23</v>
      </c>
      <c r="H163" s="49" t="s">
        <v>204</v>
      </c>
      <c r="I163" s="49" t="s">
        <v>205</v>
      </c>
      <c r="J163" s="49" t="s">
        <v>206</v>
      </c>
      <c r="K163" s="49" t="s">
        <v>207</v>
      </c>
      <c r="L163" s="49" t="s">
        <v>208</v>
      </c>
    </row>
    <row r="164" spans="3:12" outlineLevel="1" x14ac:dyDescent="0.25">
      <c r="C164" s="48" t="str">
        <f>IF(COUNTIFS(Calc_TUV_Env_2[Pass through (Yes/No)],"Yes",Calc_TUV_Env_2[Cost item],"Large-scale renewable energy target (LRET)")=1,"LRET True Up","-")</f>
        <v>LRET True Up</v>
      </c>
      <c r="D164" s="48" t="s">
        <v>66</v>
      </c>
      <c r="E164" s="48" t="s">
        <v>218</v>
      </c>
      <c r="F164" s="48" t="s">
        <v>46</v>
      </c>
      <c r="G164" s="48" t="s">
        <v>87</v>
      </c>
      <c r="H164" s="130" cm="1">
        <f t="array" ref="H164">IFERROR(SUMIFS(INDEX(Calc_TUV_Env_2[[Ausnet]:[United Energy]],0,MATCH(Calc_TUV_ENVGroup_2[[#Headers],[Ausnet]],Calc_TUV_Env_2[[#Headers],[Ausnet]:[United Energy]],0)),
Calc_TUV_Env_2[Cost item],Calc_TUV_ENVGroup_2[[#This Row],[Cost item]],
Calc_TUV_Env_2[Customer type],Calc_TUV_ENVGroup_2[[#This Row],[Customer type]]),"-")</f>
        <v>-1.290381301027009E-4</v>
      </c>
      <c r="I164" s="130">
        <f>IFERROR(SUMIFS(INDEX(Calc_TUV_Env_2[[Ausnet]:[United Energy]],0,MATCH(Calc_TUV_ENVGroup_2[[#Headers],[Citipower]],Calc_TUV_Env_2[[#Headers],[Ausnet]:[United Energy]],0)),
Calc_TUV_Env_2[Cost item],Calc_TUV_ENVGroup_2[[#This Row],[Cost item]],
Calc_TUV_Env_2[Customer type],Calc_TUV_ENVGroup_2[[#This Row],[Customer type]]),"-")</f>
        <v>-1.2680771952718899E-4</v>
      </c>
      <c r="J164" s="130" cm="1">
        <f t="array" ref="J164">IFERROR(SUMIFS(INDEX(Calc_TUV_Env_2[[Ausnet]:[United Energy]],0,MATCH(Calc_TUV_ENVGroup_2[[#Headers],[Jemena]],Calc_TUV_Env_2[[#Headers],[Ausnet]:[United Energy]],0)),
Calc_TUV_Env_2[Cost item],Calc_TUV_ENVGroup_2[[#This Row],[Cost item]],
Calc_TUV_Env_2[Customer type],Calc_TUV_ENVGroup_2[[#This Row],[Customer type]]),"-")</f>
        <v>-1.2548304982466096E-4</v>
      </c>
      <c r="K164" s="130" cm="1">
        <f t="array" ref="K164">IFERROR(SUMIFS(INDEX(Calc_TUV_Env_2[[Ausnet]:[United Energy]],0,MATCH(Calc_TUV_ENVGroup_2[[#Headers],[Powercor]],Calc_TUV_Env_2[[#Headers],[Ausnet]:[United Energy]],0)),
Calc_TUV_Env_2[Cost item],Calc_TUV_ENVGroup_2[[#This Row],[Cost item]],
Calc_TUV_Env_2[Customer type],Calc_TUV_ENVGroup_2[[#This Row],[Customer type]]),"-")</f>
        <v>-1.2952664283442074E-4</v>
      </c>
      <c r="L164" s="130" cm="1">
        <f t="array" ref="L164">IFERROR(SUMIFS(INDEX(Calc_TUV_Env_2[[Ausnet]:[United Energy]],0,MATCH(Calc_TUV_ENVGroup_2[[#Headers],[United Energy]],Calc_TUV_Env_2[[#Headers],[Ausnet]:[United Energy]],0)),
Calc_TUV_Env_2[Cost item],Calc_TUV_ENVGroup_2[[#This Row],[Cost item]],
Calc_TUV_Env_2[Customer type],Calc_TUV_ENVGroup_2[[#This Row],[Customer type]]),"-")</f>
        <v>-1.2727026118886396E-4</v>
      </c>
    </row>
    <row r="165" spans="3:12" outlineLevel="1" x14ac:dyDescent="0.25">
      <c r="C165" s="48" t="str">
        <f>IF(COUNTIFS(Calc_TUV_Env_2[Pass through (Yes/No)],"Yes",Calc_TUV_Env_2[Cost item],"Small-scale renewable energy scheme (SRES)")=1,"SRES True Up","-")</f>
        <v>SRES True Up</v>
      </c>
      <c r="D165" s="48" t="s">
        <v>66</v>
      </c>
      <c r="E165" s="48" t="s">
        <v>218</v>
      </c>
      <c r="F165" s="48" t="s">
        <v>46</v>
      </c>
      <c r="G165" s="48" t="s">
        <v>87</v>
      </c>
      <c r="H165" s="130" cm="1">
        <f t="array" ref="H165">IFERROR(SUMIFS(INDEX(Calc_TUV_Env_2[[Ausnet]:[United Energy]],0,MATCH(Calc_TUV_ENVGroup_2[[#Headers],[Ausnet]],Calc_TUV_Env_2[[#Headers],[Ausnet]:[United Energy]],0)),
Calc_TUV_Env_2[Cost item],Calc_TUV_ENVGroup_2[[#This Row],[Cost item]],
Calc_TUV_Env_2[Customer type],Calc_TUV_ENVGroup_2[[#This Row],[Customer type]]),"-")</f>
        <v>3.4352084792230904E-3</v>
      </c>
      <c r="I165" s="130" cm="1">
        <f t="array" ref="I165">IFERROR(SUMIFS(INDEX(Calc_TUV_Env_2[[Ausnet]:[United Energy]],0,MATCH(Calc_TUV_ENVGroup_2[[#Headers],[Citipower]],Calc_TUV_Env_2[[#Headers],[Ausnet]:[United Energy]],0)),
Calc_TUV_Env_2[Cost item],Calc_TUV_ENVGroup_2[[#This Row],[Cost item]],
Calc_TUV_Env_2[Customer type],Calc_TUV_ENVGroup_2[[#This Row],[Customer type]]),"-")</f>
        <v>3.3758312601402558E-3</v>
      </c>
      <c r="J165" s="130" cm="1">
        <f t="array" ref="J165">IFERROR(SUMIFS(INDEX(Calc_TUV_Env_2[[Ausnet]:[United Energy]],0,MATCH(Calc_TUV_ENVGroup_2[[#Headers],[Jemena]],Calc_TUV_Env_2[[#Headers],[Ausnet]:[United Energy]],0)),
Calc_TUV_Env_2[Cost item],Calc_TUV_ENVGroup_2[[#This Row],[Cost item]],
Calc_TUV_Env_2[Customer type],Calc_TUV_ENVGroup_2[[#This Row],[Customer type]]),"-")</f>
        <v>3.3405663613799248E-3</v>
      </c>
      <c r="K165" s="130" cm="1">
        <f t="array" ref="K165">IFERROR(SUMIFS(INDEX(Calc_TUV_Env_2[[Ausnet]:[United Energy]],0,MATCH(Calc_TUV_ENVGroup_2[[#Headers],[Powercor]],Calc_TUV_Env_2[[#Headers],[Ausnet]:[United Energy]],0)),
Calc_TUV_Env_2[Cost item],Calc_TUV_ENVGroup_2[[#This Row],[Cost item]],
Calc_TUV_Env_2[Customer type],Calc_TUV_ENVGroup_2[[#This Row],[Customer type]]),"-")</f>
        <v>3.448213496243073E-3</v>
      </c>
      <c r="L165" s="130" cm="1">
        <f t="array" ref="L165">IFERROR(SUMIFS(INDEX(Calc_TUV_Env_2[[Ausnet]:[United Energy]],0,MATCH(Calc_TUV_ENVGroup_2[[#Headers],[United Energy]],Calc_TUV_Env_2[[#Headers],[Ausnet]:[United Energy]],0)),
Calc_TUV_Env_2[Cost item],Calc_TUV_ENVGroup_2[[#This Row],[Cost item]],
Calc_TUV_Env_2[Customer type],Calc_TUV_ENVGroup_2[[#This Row],[Customer type]]),"-")</f>
        <v>3.3881448843140964E-3</v>
      </c>
    </row>
    <row r="166" spans="3:12" outlineLevel="1" x14ac:dyDescent="0.25">
      <c r="C166" s="48" t="str">
        <f>IF(COUNTIFS(Calc_TUV_Env_2[Pass through (Yes/No)],"Yes",Calc_TUV_Env_2[Cost item],"Victorian energy upgrades (VEU)")=1,"VEU True Up","-")</f>
        <v>-</v>
      </c>
      <c r="D166" s="48" t="s">
        <v>66</v>
      </c>
      <c r="E166" s="48" t="s">
        <v>218</v>
      </c>
      <c r="F166" s="48" t="s">
        <v>46</v>
      </c>
      <c r="G166" s="48" t="s">
        <v>87</v>
      </c>
      <c r="H166" s="130" cm="1">
        <f t="array" ref="H166">IFERROR(SUMIFS(INDEX(Calc_TUV_Env_2[[Ausnet]:[United Energy]],0,MATCH(Calc_TUV_ENVGroup_2[[#Headers],[Ausnet]],Calc_TUV_Env_2[[#Headers],[Ausnet]:[United Energy]],0)),
Calc_TUV_Env_2[Cost item],Calc_TUV_ENVGroup_2[[#This Row],[Cost item]],
Calc_TUV_Env_2[Customer type],Calc_TUV_ENVGroup_2[[#This Row],[Customer type]]),"-")</f>
        <v>0</v>
      </c>
      <c r="I166" s="130" cm="1">
        <f t="array" ref="I166">IFERROR(SUMIFS(INDEX(Calc_TUV_Env_2[[Ausnet]:[United Energy]],0,MATCH(Calc_TUV_ENVGroup_2[[#Headers],[Citipower]],Calc_TUV_Env_2[[#Headers],[Ausnet]:[United Energy]],0)),
Calc_TUV_Env_2[Cost item],Calc_TUV_ENVGroup_2[[#This Row],[Cost item]],
Calc_TUV_Env_2[Customer type],Calc_TUV_ENVGroup_2[[#This Row],[Customer type]]),"-")</f>
        <v>0</v>
      </c>
      <c r="J166" s="130" cm="1">
        <f t="array" ref="J166">IFERROR(SUMIFS(INDEX(Calc_TUV_Env_2[[Ausnet]:[United Energy]],0,MATCH(Calc_TUV_ENVGroup_2[[#Headers],[Jemena]],Calc_TUV_Env_2[[#Headers],[Ausnet]:[United Energy]],0)),
Calc_TUV_Env_2[Cost item],Calc_TUV_ENVGroup_2[[#This Row],[Cost item]],
Calc_TUV_Env_2[Customer type],Calc_TUV_ENVGroup_2[[#This Row],[Customer type]]),"-")</f>
        <v>0</v>
      </c>
      <c r="K166" s="130" cm="1">
        <f t="array" ref="K166">IFERROR(SUMIFS(INDEX(Calc_TUV_Env_2[[Ausnet]:[United Energy]],0,MATCH(Calc_TUV_ENVGroup_2[[#Headers],[Powercor]],Calc_TUV_Env_2[[#Headers],[Ausnet]:[United Energy]],0)),
Calc_TUV_Env_2[Cost item],Calc_TUV_ENVGroup_2[[#This Row],[Cost item]],
Calc_TUV_Env_2[Customer type],Calc_TUV_ENVGroup_2[[#This Row],[Customer type]]),"-")</f>
        <v>0</v>
      </c>
      <c r="L166" s="130" cm="1">
        <f t="array" ref="L166">IFERROR(SUMIFS(INDEX(Calc_TUV_Env_2[[Ausnet]:[United Energy]],0,MATCH(Calc_TUV_ENVGroup_2[[#Headers],[United Energy]],Calc_TUV_Env_2[[#Headers],[Ausnet]:[United Energy]],0)),
Calc_TUV_Env_2[Cost item],Calc_TUV_ENVGroup_2[[#This Row],[Cost item]],
Calc_TUV_Env_2[Customer type],Calc_TUV_ENVGroup_2[[#This Row],[Customer type]]),"-")</f>
        <v>0</v>
      </c>
    </row>
    <row r="167" spans="3:12" outlineLevel="1" x14ac:dyDescent="0.25"/>
    <row r="168" spans="3:12" ht="15.75" outlineLevel="1" x14ac:dyDescent="0.25">
      <c r="C168" s="23" t="s">
        <v>366</v>
      </c>
    </row>
    <row r="169" spans="3:12" ht="15.75" outlineLevel="1" x14ac:dyDescent="0.25">
      <c r="C169" s="34" t="s">
        <v>308</v>
      </c>
      <c r="D169" s="34" t="s">
        <v>249</v>
      </c>
      <c r="E169" s="34" t="s">
        <v>38</v>
      </c>
      <c r="F169" s="34" t="s">
        <v>30</v>
      </c>
      <c r="G169" s="34" t="s">
        <v>23</v>
      </c>
      <c r="H169" s="49" t="s">
        <v>204</v>
      </c>
      <c r="I169" s="49" t="s">
        <v>205</v>
      </c>
      <c r="J169" s="49" t="s">
        <v>206</v>
      </c>
      <c r="K169" s="49" t="s">
        <v>207</v>
      </c>
      <c r="L169" s="49" t="s">
        <v>208</v>
      </c>
    </row>
    <row r="170" spans="3:12" outlineLevel="1" x14ac:dyDescent="0.25">
      <c r="C170" s="48" t="s">
        <v>338</v>
      </c>
      <c r="D170" s="48" t="s">
        <v>363</v>
      </c>
      <c r="E170" s="48" t="s">
        <v>218</v>
      </c>
      <c r="F170" s="48" t="s">
        <v>31</v>
      </c>
      <c r="G170" s="48" t="s">
        <v>87</v>
      </c>
      <c r="H170" s="132" t="str" cm="1">
        <f t="array" ref="H170">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v>
      </c>
      <c r="I170" s="132" cm="1">
        <f t="array" ref="I170">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-1.2680771952718899E-4</v>
      </c>
      <c r="J170" s="132" cm="1">
        <f t="array" ref="J170">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-1.2548304982466096E-4</v>
      </c>
      <c r="K170" s="132" cm="1">
        <f t="array" ref="K170">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-1.2952664283442074E-4</v>
      </c>
      <c r="L170" s="132" cm="1">
        <f t="array" ref="L170">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-1.2727026118886396E-4</v>
      </c>
    </row>
    <row r="171" spans="3:12" outlineLevel="1" x14ac:dyDescent="0.25">
      <c r="C171" s="48" t="s">
        <v>338</v>
      </c>
      <c r="D171" s="48" t="s">
        <v>363</v>
      </c>
      <c r="E171" s="48" t="s">
        <v>218</v>
      </c>
      <c r="F171" s="48" t="s">
        <v>32</v>
      </c>
      <c r="G171" s="48" t="s">
        <v>87</v>
      </c>
      <c r="H171" s="132" t="str" cm="1">
        <f t="array" ref="H171">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v>
      </c>
      <c r="I171" s="132">
        <f>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-1.2680771952718899E-4</v>
      </c>
      <c r="J171" s="132" cm="1">
        <f t="array" ref="J171">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-1.2548304982466096E-4</v>
      </c>
      <c r="K171" s="132" cm="1">
        <f t="array" ref="K171">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-1.2952664283442074E-4</v>
      </c>
      <c r="L171" s="132" cm="1">
        <f t="array" ref="L171">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-1.2727026118886396E-4</v>
      </c>
    </row>
    <row r="172" spans="3:12" outlineLevel="1" x14ac:dyDescent="0.25">
      <c r="C172" s="48" t="s">
        <v>157</v>
      </c>
      <c r="D172" s="48" t="s">
        <v>363</v>
      </c>
      <c r="E172" s="48" t="s">
        <v>218</v>
      </c>
      <c r="F172" s="48" t="s">
        <v>31</v>
      </c>
      <c r="G172" s="48" t="s">
        <v>87</v>
      </c>
      <c r="H172" s="132">
        <f>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-1.290381301027009E-4</v>
      </c>
      <c r="I172" s="132" t="str" cm="1">
        <f t="array" ref="I172">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v>
      </c>
      <c r="J172" s="132" t="str" cm="1">
        <f t="array" ref="J172">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v>
      </c>
      <c r="K172" s="132" t="str" cm="1">
        <f t="array" ref="K172">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v>
      </c>
      <c r="L172" s="132" t="str" cm="1">
        <f t="array" ref="L172">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v>
      </c>
    </row>
    <row r="173" spans="3:12" outlineLevel="1" x14ac:dyDescent="0.25">
      <c r="C173" s="48" t="s">
        <v>157</v>
      </c>
      <c r="D173" s="48" t="s">
        <v>363</v>
      </c>
      <c r="E173" s="48" t="s">
        <v>218</v>
      </c>
      <c r="F173" s="48" t="s">
        <v>32</v>
      </c>
      <c r="G173" s="48" t="s">
        <v>87</v>
      </c>
      <c r="H173" s="132" cm="1">
        <f t="array" ref="H173">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-1.290381301027009E-4</v>
      </c>
      <c r="I173" s="132" t="str" cm="1">
        <f t="array" ref="I173">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v>
      </c>
      <c r="J173" s="132" t="str" cm="1">
        <f t="array" ref="J173">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v>
      </c>
      <c r="K173" s="132" t="str" cm="1">
        <f t="array" ref="K173">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v>
      </c>
      <c r="L173" s="132" t="str" cm="1">
        <f t="array" ref="L173">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v>
      </c>
    </row>
    <row r="174" spans="3:12" outlineLevel="1" x14ac:dyDescent="0.25">
      <c r="C174" s="48" t="s">
        <v>164</v>
      </c>
      <c r="D174" s="48" t="s">
        <v>363</v>
      </c>
      <c r="E174" s="48" t="s">
        <v>218</v>
      </c>
      <c r="F174" s="48" t="s">
        <v>31</v>
      </c>
      <c r="G174" s="48" t="s">
        <v>87</v>
      </c>
      <c r="H174" s="132" cm="1">
        <f t="array" ref="H174">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-1.290381301027009E-4</v>
      </c>
      <c r="I174" s="132" t="str" cm="1">
        <f t="array" ref="I174">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v>
      </c>
      <c r="J174" s="132" t="str" cm="1">
        <f t="array" ref="J174">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v>
      </c>
      <c r="K174" s="132" t="str" cm="1">
        <f t="array" ref="K174">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v>
      </c>
      <c r="L174" s="132" t="str" cm="1">
        <f t="array" ref="L174">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v>
      </c>
    </row>
    <row r="175" spans="3:12" outlineLevel="1" x14ac:dyDescent="0.25">
      <c r="C175" s="48" t="s">
        <v>164</v>
      </c>
      <c r="D175" s="48" t="s">
        <v>363</v>
      </c>
      <c r="E175" s="48" t="s">
        <v>218</v>
      </c>
      <c r="F175" s="48" t="s">
        <v>32</v>
      </c>
      <c r="G175" s="48" t="s">
        <v>87</v>
      </c>
      <c r="H175" s="132" cm="1">
        <f t="array" ref="H175">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-1.290381301027009E-4</v>
      </c>
      <c r="I175" s="132" t="str" cm="1">
        <f t="array" ref="I175">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v>
      </c>
      <c r="J175" s="132" t="str" cm="1">
        <f t="array" ref="J175">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v>
      </c>
      <c r="K175" s="132" t="str" cm="1">
        <f t="array" ref="K175">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v>
      </c>
      <c r="L175" s="132" t="str" cm="1">
        <f t="array" ref="L175">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v>
      </c>
    </row>
    <row r="176" spans="3:12" outlineLevel="1" x14ac:dyDescent="0.25">
      <c r="C176" s="48" t="s">
        <v>223</v>
      </c>
      <c r="D176" s="48" t="s">
        <v>363</v>
      </c>
      <c r="E176" s="48" t="s">
        <v>218</v>
      </c>
      <c r="F176" s="48" t="s">
        <v>31</v>
      </c>
      <c r="G176" s="48" t="s">
        <v>87</v>
      </c>
      <c r="H176" s="132" cm="1">
        <f t="array" ref="H176">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-1.290381301027009E-4</v>
      </c>
      <c r="I176" s="132" cm="1">
        <f t="array" ref="I176">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-1.2680771952718899E-4</v>
      </c>
      <c r="J176" s="132" cm="1">
        <f t="array" ref="J176">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-1.2548304982466096E-4</v>
      </c>
      <c r="K176" s="132" cm="1">
        <f t="array" ref="K176">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-1.2952664283442074E-4</v>
      </c>
      <c r="L176" s="132" cm="1">
        <f t="array" ref="L176">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-1.2727026118886396E-4</v>
      </c>
    </row>
    <row r="177" spans="3:12" outlineLevel="1" x14ac:dyDescent="0.25">
      <c r="C177" s="48" t="s">
        <v>166</v>
      </c>
      <c r="D177" s="48" t="s">
        <v>363</v>
      </c>
      <c r="E177" s="48" t="s">
        <v>218</v>
      </c>
      <c r="F177" s="48" t="s">
        <v>31</v>
      </c>
      <c r="G177" s="48" t="s">
        <v>87</v>
      </c>
      <c r="H177" s="132" cm="1">
        <f t="array" ref="H177">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-1.290381301027009E-4</v>
      </c>
      <c r="I177" s="132" cm="1">
        <f t="array" ref="I177">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-1.2680771952718899E-4</v>
      </c>
      <c r="J177" s="132" cm="1">
        <f t="array" ref="J177">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-1.2548304982466096E-4</v>
      </c>
      <c r="K177" s="132" cm="1">
        <f t="array" ref="K177">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-1.2952664283442074E-4</v>
      </c>
      <c r="L177" s="132" cm="1">
        <f t="array" ref="L177">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-1.2727026118886396E-4</v>
      </c>
    </row>
    <row r="178" spans="3:12" outlineLevel="1" x14ac:dyDescent="0.25">
      <c r="C178" s="48" t="s">
        <v>166</v>
      </c>
      <c r="D178" s="48" t="s">
        <v>363</v>
      </c>
      <c r="E178" s="48" t="s">
        <v>218</v>
      </c>
      <c r="F178" s="48" t="s">
        <v>32</v>
      </c>
      <c r="G178" s="48" t="s">
        <v>87</v>
      </c>
      <c r="H178" s="132" cm="1">
        <f t="array" ref="H178">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-1.290381301027009E-4</v>
      </c>
      <c r="I178" s="132" cm="1">
        <f t="array" ref="I178">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-1.2680771952718899E-4</v>
      </c>
      <c r="J178" s="132" cm="1">
        <f t="array" ref="J178">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-1.2548304982466096E-4</v>
      </c>
      <c r="K178" s="132" cm="1">
        <f t="array" ref="K178">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-1.2952664283442074E-4</v>
      </c>
      <c r="L178" s="132" cm="1">
        <f t="array" ref="L178">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-1.2727026118886396E-4</v>
      </c>
    </row>
    <row r="179" spans="3:12" outlineLevel="1" x14ac:dyDescent="0.25">
      <c r="C179" s="48" t="s">
        <v>370</v>
      </c>
      <c r="D179" s="48" t="s">
        <v>363</v>
      </c>
      <c r="E179" s="48" t="s">
        <v>218</v>
      </c>
      <c r="F179" s="48" t="s">
        <v>31</v>
      </c>
      <c r="G179" s="48" t="s">
        <v>87</v>
      </c>
      <c r="H179" s="132" cm="1">
        <f t="array" ref="H179">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-1.290381301027009E-4</v>
      </c>
      <c r="I179" s="132" cm="1">
        <f t="array" ref="I179">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-1.2680771952718899E-4</v>
      </c>
      <c r="J179" s="132" cm="1">
        <f t="array" ref="J179">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-1.2548304982466096E-4</v>
      </c>
      <c r="K179" s="132" cm="1">
        <f t="array" ref="K179">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-1.2952664283442074E-4</v>
      </c>
      <c r="L179" s="132" cm="1">
        <f t="array" ref="L179">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-1.2727026118886396E-4</v>
      </c>
    </row>
    <row r="180" spans="3:12" outlineLevel="1" x14ac:dyDescent="0.25">
      <c r="C180" s="48" t="s">
        <v>370</v>
      </c>
      <c r="D180" s="48" t="s">
        <v>363</v>
      </c>
      <c r="E180" s="48" t="s">
        <v>218</v>
      </c>
      <c r="F180" s="48" t="s">
        <v>32</v>
      </c>
      <c r="G180" s="48" t="s">
        <v>87</v>
      </c>
      <c r="H180" s="132" cm="1">
        <f t="array" ref="H180">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-1.290381301027009E-4</v>
      </c>
      <c r="I180" s="132" cm="1">
        <f t="array" ref="I180">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-1.2680771952718899E-4</v>
      </c>
      <c r="J180" s="132" cm="1">
        <f t="array" ref="J180">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-1.2548304982466096E-4</v>
      </c>
      <c r="K180" s="132" cm="1">
        <f t="array" ref="K180">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-1.2952664283442074E-4</v>
      </c>
      <c r="L180" s="132" cm="1">
        <f t="array" ref="L180">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-1.2727026118886396E-4</v>
      </c>
    </row>
    <row r="181" spans="3:12" outlineLevel="1" x14ac:dyDescent="0.25">
      <c r="C181" s="48" t="s">
        <v>338</v>
      </c>
      <c r="D181" s="48" t="s">
        <v>364</v>
      </c>
      <c r="E181" s="48" t="s">
        <v>218</v>
      </c>
      <c r="F181" s="48" t="s">
        <v>31</v>
      </c>
      <c r="G181" s="48" t="s">
        <v>87</v>
      </c>
      <c r="H181" s="132" t="str" cm="1">
        <f t="array" ref="H181">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v>
      </c>
      <c r="I181" s="132" cm="1">
        <f t="array" ref="I181">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3.3758312601402558E-3</v>
      </c>
      <c r="J181" s="132" cm="1">
        <f t="array" ref="J181">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3.3405663613799248E-3</v>
      </c>
      <c r="K181" s="132" cm="1">
        <f t="array" ref="K181">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3.448213496243073E-3</v>
      </c>
      <c r="L181" s="132" cm="1">
        <f t="array" ref="L181">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3.3881448843140964E-3</v>
      </c>
    </row>
    <row r="182" spans="3:12" outlineLevel="1" x14ac:dyDescent="0.25">
      <c r="C182" s="48" t="s">
        <v>338</v>
      </c>
      <c r="D182" s="48" t="s">
        <v>364</v>
      </c>
      <c r="E182" s="48" t="s">
        <v>218</v>
      </c>
      <c r="F182" s="48" t="s">
        <v>32</v>
      </c>
      <c r="G182" s="48" t="s">
        <v>87</v>
      </c>
      <c r="H182" s="132" t="str" cm="1">
        <f t="array" ref="H182">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v>
      </c>
      <c r="I182" s="132" cm="1">
        <f t="array" ref="I182">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3.3758312601402558E-3</v>
      </c>
      <c r="J182" s="132" cm="1">
        <f t="array" ref="J182">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3.3405663613799248E-3</v>
      </c>
      <c r="K182" s="132" cm="1">
        <f t="array" ref="K182">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3.448213496243073E-3</v>
      </c>
      <c r="L182" s="132" cm="1">
        <f t="array" ref="L182">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3.3881448843140964E-3</v>
      </c>
    </row>
    <row r="183" spans="3:12" outlineLevel="1" x14ac:dyDescent="0.25">
      <c r="C183" s="48" t="s">
        <v>157</v>
      </c>
      <c r="D183" s="48" t="s">
        <v>364</v>
      </c>
      <c r="E183" s="48" t="s">
        <v>218</v>
      </c>
      <c r="F183" s="48" t="s">
        <v>31</v>
      </c>
      <c r="G183" s="48" t="s">
        <v>87</v>
      </c>
      <c r="H183" s="132" cm="1">
        <f t="array" ref="H183">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3.4352084792230904E-3</v>
      </c>
      <c r="I183" s="132" t="str" cm="1">
        <f t="array" ref="I183">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v>
      </c>
      <c r="J183" s="132" t="str" cm="1">
        <f t="array" ref="J183">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v>
      </c>
      <c r="K183" s="132" t="str" cm="1">
        <f t="array" ref="K183">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v>
      </c>
      <c r="L183" s="132" t="str" cm="1">
        <f t="array" ref="L183">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v>
      </c>
    </row>
    <row r="184" spans="3:12" outlineLevel="1" x14ac:dyDescent="0.25">
      <c r="C184" s="48" t="s">
        <v>157</v>
      </c>
      <c r="D184" s="48" t="s">
        <v>364</v>
      </c>
      <c r="E184" s="48" t="s">
        <v>218</v>
      </c>
      <c r="F184" s="48" t="s">
        <v>32</v>
      </c>
      <c r="G184" s="48" t="s">
        <v>87</v>
      </c>
      <c r="H184" s="132" cm="1">
        <f t="array" ref="H184">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3.4352084792230904E-3</v>
      </c>
      <c r="I184" s="132" t="str" cm="1">
        <f t="array" ref="I184">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v>
      </c>
      <c r="J184" s="132" t="str" cm="1">
        <f t="array" ref="J184">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v>
      </c>
      <c r="K184" s="132" t="str" cm="1">
        <f t="array" ref="K184">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v>
      </c>
      <c r="L184" s="132" t="str" cm="1">
        <f t="array" ref="L184">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v>
      </c>
    </row>
    <row r="185" spans="3:12" outlineLevel="1" x14ac:dyDescent="0.25">
      <c r="C185" s="48" t="s">
        <v>164</v>
      </c>
      <c r="D185" s="48" t="s">
        <v>364</v>
      </c>
      <c r="E185" s="48" t="s">
        <v>218</v>
      </c>
      <c r="F185" s="48" t="s">
        <v>31</v>
      </c>
      <c r="G185" s="48" t="s">
        <v>87</v>
      </c>
      <c r="H185" s="132" cm="1">
        <f t="array" ref="H185">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3.4352084792230904E-3</v>
      </c>
      <c r="I185" s="132" t="str" cm="1">
        <f t="array" ref="I185">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v>
      </c>
      <c r="J185" s="132" t="str" cm="1">
        <f t="array" ref="J185">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v>
      </c>
      <c r="K185" s="132" t="str" cm="1">
        <f t="array" ref="K185">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v>
      </c>
      <c r="L185" s="132" t="str" cm="1">
        <f t="array" ref="L185">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v>
      </c>
    </row>
    <row r="186" spans="3:12" outlineLevel="1" x14ac:dyDescent="0.25">
      <c r="C186" s="48" t="s">
        <v>164</v>
      </c>
      <c r="D186" s="48" t="s">
        <v>364</v>
      </c>
      <c r="E186" s="48" t="s">
        <v>218</v>
      </c>
      <c r="F186" s="48" t="s">
        <v>32</v>
      </c>
      <c r="G186" s="48" t="s">
        <v>87</v>
      </c>
      <c r="H186" s="132" cm="1">
        <f t="array" ref="H186">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3.4352084792230904E-3</v>
      </c>
      <c r="I186" s="132" t="str" cm="1">
        <f t="array" ref="I186">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v>
      </c>
      <c r="J186" s="132" t="str" cm="1">
        <f t="array" ref="J186">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v>
      </c>
      <c r="K186" s="132" t="str" cm="1">
        <f t="array" ref="K186">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v>
      </c>
      <c r="L186" s="132" t="str" cm="1">
        <f t="array" ref="L186">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v>
      </c>
    </row>
    <row r="187" spans="3:12" outlineLevel="1" x14ac:dyDescent="0.25">
      <c r="C187" s="48" t="s">
        <v>223</v>
      </c>
      <c r="D187" s="48" t="s">
        <v>364</v>
      </c>
      <c r="E187" s="48" t="s">
        <v>218</v>
      </c>
      <c r="F187" s="48" t="s">
        <v>31</v>
      </c>
      <c r="G187" s="48" t="s">
        <v>87</v>
      </c>
      <c r="H187" s="132" cm="1">
        <f t="array" ref="H187">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3.4352084792230904E-3</v>
      </c>
      <c r="I187" s="132" cm="1">
        <f t="array" ref="I187">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3.3758312601402558E-3</v>
      </c>
      <c r="J187" s="132" cm="1">
        <f t="array" ref="J187">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3.3405663613799248E-3</v>
      </c>
      <c r="K187" s="132" cm="1">
        <f t="array" ref="K187">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3.448213496243073E-3</v>
      </c>
      <c r="L187" s="132" cm="1">
        <f t="array" ref="L187">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3.3881448843140964E-3</v>
      </c>
    </row>
    <row r="188" spans="3:12" outlineLevel="1" x14ac:dyDescent="0.25">
      <c r="C188" s="48" t="s">
        <v>166</v>
      </c>
      <c r="D188" s="48" t="s">
        <v>364</v>
      </c>
      <c r="E188" s="48" t="s">
        <v>218</v>
      </c>
      <c r="F188" s="48" t="s">
        <v>31</v>
      </c>
      <c r="G188" s="48" t="s">
        <v>87</v>
      </c>
      <c r="H188" s="132" cm="1">
        <f t="array" ref="H188">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3.4352084792230904E-3</v>
      </c>
      <c r="I188" s="132" cm="1">
        <f t="array" ref="I188">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3.3758312601402558E-3</v>
      </c>
      <c r="J188" s="132" cm="1">
        <f t="array" ref="J188">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3.3405663613799248E-3</v>
      </c>
      <c r="K188" s="132" cm="1">
        <f t="array" ref="K188">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3.448213496243073E-3</v>
      </c>
      <c r="L188" s="132" cm="1">
        <f t="array" ref="L188">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3.3881448843140964E-3</v>
      </c>
    </row>
    <row r="189" spans="3:12" outlineLevel="1" x14ac:dyDescent="0.25">
      <c r="C189" s="48" t="s">
        <v>166</v>
      </c>
      <c r="D189" s="48" t="s">
        <v>364</v>
      </c>
      <c r="E189" s="48" t="s">
        <v>218</v>
      </c>
      <c r="F189" s="48" t="s">
        <v>32</v>
      </c>
      <c r="G189" s="48" t="s">
        <v>87</v>
      </c>
      <c r="H189" s="132" cm="1">
        <f t="array" ref="H189">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3.4352084792230904E-3</v>
      </c>
      <c r="I189" s="132" cm="1">
        <f t="array" ref="I189">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3.3758312601402558E-3</v>
      </c>
      <c r="J189" s="132" cm="1">
        <f t="array" ref="J189">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3.3405663613799248E-3</v>
      </c>
      <c r="K189" s="132" cm="1">
        <f t="array" ref="K189">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3.448213496243073E-3</v>
      </c>
      <c r="L189" s="132" cm="1">
        <f t="array" ref="L189">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3.3881448843140964E-3</v>
      </c>
    </row>
    <row r="190" spans="3:12" outlineLevel="1" x14ac:dyDescent="0.25">
      <c r="C190" s="48" t="s">
        <v>370</v>
      </c>
      <c r="D190" s="48" t="s">
        <v>364</v>
      </c>
      <c r="E190" s="48" t="s">
        <v>218</v>
      </c>
      <c r="F190" s="48" t="s">
        <v>31</v>
      </c>
      <c r="G190" s="48" t="s">
        <v>87</v>
      </c>
      <c r="H190" s="132" cm="1">
        <f t="array" ref="H190">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3.4352084792230904E-3</v>
      </c>
      <c r="I190" s="132" cm="1">
        <f t="array" ref="I190">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3.3758312601402558E-3</v>
      </c>
      <c r="J190" s="132" cm="1">
        <f t="array" ref="J190">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3.3405663613799248E-3</v>
      </c>
      <c r="K190" s="132" cm="1">
        <f t="array" ref="K190">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3.448213496243073E-3</v>
      </c>
      <c r="L190" s="132" cm="1">
        <f t="array" ref="L190">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3.3881448843140964E-3</v>
      </c>
    </row>
    <row r="191" spans="3:12" outlineLevel="1" x14ac:dyDescent="0.25">
      <c r="C191" s="48" t="s">
        <v>370</v>
      </c>
      <c r="D191" s="48" t="s">
        <v>364</v>
      </c>
      <c r="E191" s="48" t="s">
        <v>218</v>
      </c>
      <c r="F191" s="48" t="s">
        <v>32</v>
      </c>
      <c r="G191" s="48" t="s">
        <v>87</v>
      </c>
      <c r="H191" s="132" cm="1">
        <f t="array" ref="H191">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3.4352084792230904E-3</v>
      </c>
      <c r="I191" s="132" cm="1">
        <f t="array" ref="I191">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3.3758312601402558E-3</v>
      </c>
      <c r="J191" s="132" cm="1">
        <f t="array" ref="J191">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3.3405663613799248E-3</v>
      </c>
      <c r="K191" s="132" cm="1">
        <f t="array" ref="K191">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3.448213496243073E-3</v>
      </c>
      <c r="L191" s="132" cm="1">
        <f t="array" ref="L191">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3.3881448843140964E-3</v>
      </c>
    </row>
    <row r="192" spans="3:12" outlineLevel="1" x14ac:dyDescent="0.25">
      <c r="C192" s="48" t="s">
        <v>338</v>
      </c>
      <c r="D192" s="48" t="s">
        <v>365</v>
      </c>
      <c r="E192" s="48" t="s">
        <v>218</v>
      </c>
      <c r="F192" s="48" t="s">
        <v>31</v>
      </c>
      <c r="G192" s="48" t="s">
        <v>87</v>
      </c>
      <c r="H192" s="132" t="str" cm="1">
        <f t="array" ref="H192">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v>
      </c>
      <c r="I192" s="132" cm="1">
        <f t="array" ref="I192">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0</v>
      </c>
      <c r="J192" s="132" cm="1">
        <f t="array" ref="J192">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0</v>
      </c>
      <c r="K192" s="132" cm="1">
        <f t="array" ref="K192">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0</v>
      </c>
      <c r="L192" s="132" cm="1">
        <f t="array" ref="L192">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0</v>
      </c>
    </row>
    <row r="193" spans="3:12" outlineLevel="1" x14ac:dyDescent="0.25">
      <c r="C193" s="48" t="s">
        <v>338</v>
      </c>
      <c r="D193" s="48" t="s">
        <v>365</v>
      </c>
      <c r="E193" s="48" t="s">
        <v>218</v>
      </c>
      <c r="F193" s="48" t="s">
        <v>32</v>
      </c>
      <c r="G193" s="48" t="s">
        <v>87</v>
      </c>
      <c r="H193" s="132" t="str" cm="1">
        <f t="array" ref="H193">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v>
      </c>
      <c r="I193" s="132" cm="1">
        <f t="array" ref="I193">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0</v>
      </c>
      <c r="J193" s="132" cm="1">
        <f t="array" ref="J193">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0</v>
      </c>
      <c r="K193" s="132" cm="1">
        <f t="array" ref="K193">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0</v>
      </c>
      <c r="L193" s="132" cm="1">
        <f t="array" ref="L193">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0</v>
      </c>
    </row>
    <row r="194" spans="3:12" outlineLevel="1" x14ac:dyDescent="0.25">
      <c r="C194" s="48" t="s">
        <v>157</v>
      </c>
      <c r="D194" s="48" t="s">
        <v>365</v>
      </c>
      <c r="E194" s="48" t="s">
        <v>218</v>
      </c>
      <c r="F194" s="48" t="s">
        <v>31</v>
      </c>
      <c r="G194" s="48" t="s">
        <v>87</v>
      </c>
      <c r="H194" s="132" cm="1">
        <f t="array" ref="H194">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0</v>
      </c>
      <c r="I194" s="132" t="str" cm="1">
        <f t="array" ref="I194">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v>
      </c>
      <c r="J194" s="132" t="str" cm="1">
        <f t="array" ref="J194">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v>
      </c>
      <c r="K194" s="132" t="str" cm="1">
        <f t="array" ref="K194">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v>
      </c>
      <c r="L194" s="132" t="str" cm="1">
        <f t="array" ref="L194">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v>
      </c>
    </row>
    <row r="195" spans="3:12" outlineLevel="1" x14ac:dyDescent="0.25">
      <c r="C195" s="48" t="s">
        <v>157</v>
      </c>
      <c r="D195" s="48" t="s">
        <v>365</v>
      </c>
      <c r="E195" s="48" t="s">
        <v>218</v>
      </c>
      <c r="F195" s="48" t="s">
        <v>32</v>
      </c>
      <c r="G195" s="48" t="s">
        <v>87</v>
      </c>
      <c r="H195" s="132" cm="1">
        <f t="array" ref="H195">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0</v>
      </c>
      <c r="I195" s="132" t="str" cm="1">
        <f t="array" ref="I195">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v>
      </c>
      <c r="J195" s="132" t="str" cm="1">
        <f t="array" ref="J195">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v>
      </c>
      <c r="K195" s="132" t="str" cm="1">
        <f t="array" ref="K195">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v>
      </c>
      <c r="L195" s="132" t="str" cm="1">
        <f t="array" ref="L195">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v>
      </c>
    </row>
    <row r="196" spans="3:12" outlineLevel="1" x14ac:dyDescent="0.25">
      <c r="C196" s="48" t="s">
        <v>223</v>
      </c>
      <c r="D196" s="48" t="s">
        <v>365</v>
      </c>
      <c r="E196" s="48" t="s">
        <v>218</v>
      </c>
      <c r="F196" s="48" t="s">
        <v>31</v>
      </c>
      <c r="G196" s="48" t="s">
        <v>87</v>
      </c>
      <c r="H196" s="132" cm="1">
        <f t="array" ref="H196">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0</v>
      </c>
      <c r="I196" s="132" cm="1">
        <f t="array" ref="I196">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0</v>
      </c>
      <c r="J196" s="132" cm="1">
        <f t="array" ref="J196">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0</v>
      </c>
      <c r="K196" s="132" cm="1">
        <f t="array" ref="K196">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0</v>
      </c>
      <c r="L196" s="132" cm="1">
        <f t="array" ref="L196">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0</v>
      </c>
    </row>
    <row r="197" spans="3:12" outlineLevel="1" x14ac:dyDescent="0.25">
      <c r="C197" s="48" t="s">
        <v>164</v>
      </c>
      <c r="D197" s="48" t="s">
        <v>365</v>
      </c>
      <c r="E197" s="48" t="s">
        <v>218</v>
      </c>
      <c r="F197" s="48" t="s">
        <v>31</v>
      </c>
      <c r="G197" s="48" t="s">
        <v>87</v>
      </c>
      <c r="H197" s="132" cm="1">
        <f t="array" ref="H197">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0</v>
      </c>
      <c r="I197" s="132" t="str" cm="1">
        <f t="array" ref="I197">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v>
      </c>
      <c r="J197" s="132" t="str" cm="1">
        <f t="array" ref="J197">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v>
      </c>
      <c r="K197" s="132" t="str" cm="1">
        <f t="array" ref="K197">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v>
      </c>
      <c r="L197" s="132" t="str" cm="1">
        <f t="array" ref="L197">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v>
      </c>
    </row>
    <row r="198" spans="3:12" outlineLevel="1" x14ac:dyDescent="0.25">
      <c r="C198" s="48" t="s">
        <v>164</v>
      </c>
      <c r="D198" s="48" t="s">
        <v>365</v>
      </c>
      <c r="E198" s="48" t="s">
        <v>218</v>
      </c>
      <c r="F198" s="48" t="s">
        <v>32</v>
      </c>
      <c r="G198" s="48" t="s">
        <v>87</v>
      </c>
      <c r="H198" s="132" cm="1">
        <f t="array" ref="H198">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0</v>
      </c>
      <c r="I198" s="132" t="str" cm="1">
        <f t="array" ref="I198">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v>
      </c>
      <c r="J198" s="132" t="str" cm="1">
        <f t="array" ref="J198">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v>
      </c>
      <c r="K198" s="132" t="str" cm="1">
        <f t="array" ref="K198">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v>
      </c>
      <c r="L198" s="132" t="str" cm="1">
        <f t="array" ref="L198">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v>
      </c>
    </row>
    <row r="199" spans="3:12" outlineLevel="1" x14ac:dyDescent="0.25">
      <c r="C199" s="48" t="s">
        <v>166</v>
      </c>
      <c r="D199" s="48" t="s">
        <v>365</v>
      </c>
      <c r="E199" s="48" t="s">
        <v>218</v>
      </c>
      <c r="F199" s="48" t="s">
        <v>31</v>
      </c>
      <c r="G199" s="48" t="s">
        <v>87</v>
      </c>
      <c r="H199" s="132" cm="1">
        <f t="array" ref="H199">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0</v>
      </c>
      <c r="I199" s="132" cm="1">
        <f t="array" ref="I199">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0</v>
      </c>
      <c r="J199" s="132" cm="1">
        <f t="array" ref="J199">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0</v>
      </c>
      <c r="K199" s="132" cm="1">
        <f t="array" ref="K199">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0</v>
      </c>
      <c r="L199" s="132" cm="1">
        <f t="array" ref="L199">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0</v>
      </c>
    </row>
    <row r="200" spans="3:12" outlineLevel="1" x14ac:dyDescent="0.25">
      <c r="C200" s="48" t="s">
        <v>166</v>
      </c>
      <c r="D200" s="48" t="s">
        <v>365</v>
      </c>
      <c r="E200" s="48" t="s">
        <v>218</v>
      </c>
      <c r="F200" s="48" t="s">
        <v>32</v>
      </c>
      <c r="G200" s="48" t="s">
        <v>87</v>
      </c>
      <c r="H200" s="132" cm="1">
        <f t="array" ref="H200">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0</v>
      </c>
      <c r="I200" s="132" cm="1">
        <f t="array" ref="I200">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0</v>
      </c>
      <c r="J200" s="132" cm="1">
        <f t="array" ref="J200">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0</v>
      </c>
      <c r="K200" s="132" cm="1">
        <f t="array" ref="K200">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0</v>
      </c>
      <c r="L200" s="132" cm="1">
        <f t="array" ref="L200">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0</v>
      </c>
    </row>
    <row r="201" spans="3:12" outlineLevel="1" x14ac:dyDescent="0.25">
      <c r="C201" s="48" t="s">
        <v>370</v>
      </c>
      <c r="D201" s="48" t="s">
        <v>365</v>
      </c>
      <c r="E201" s="48" t="s">
        <v>218</v>
      </c>
      <c r="F201" s="48" t="s">
        <v>31</v>
      </c>
      <c r="G201" s="48" t="s">
        <v>87</v>
      </c>
      <c r="H201" s="132" cm="1">
        <f t="array" ref="H201">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0</v>
      </c>
      <c r="I201" s="132" cm="1">
        <f t="array" ref="I201">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0</v>
      </c>
      <c r="J201" s="132" cm="1">
        <f t="array" ref="J201">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0</v>
      </c>
      <c r="K201" s="132" cm="1">
        <f t="array" ref="K201">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0</v>
      </c>
      <c r="L201" s="132" cm="1">
        <f t="array" ref="L201">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0</v>
      </c>
    </row>
    <row r="202" spans="3:12" outlineLevel="1" x14ac:dyDescent="0.25">
      <c r="C202" s="48" t="s">
        <v>370</v>
      </c>
      <c r="D202" s="48" t="s">
        <v>365</v>
      </c>
      <c r="E202" s="48" t="s">
        <v>218</v>
      </c>
      <c r="F202" s="48" t="s">
        <v>32</v>
      </c>
      <c r="G202" s="48" t="s">
        <v>87</v>
      </c>
      <c r="H202" s="132" cm="1">
        <f t="array" ref="H202">IFERROR(
IF(OR(
AND(Calc_TUR_ENV_2[[#Headers],[Ausnet]]="Ausnet",Calc_TUR_ENV_2[[#This Row],[Rate type]]="Single rate"),
AND(Calc_TUR_ENV_2[[#Headers],[Ausnet]]&lt;&gt;"Ausnet",OR(Calc_TUR_ENV_2[[#This Row],[Rate type]]="Block 1",Calc_TUR_ENV_2[[#This Row],[Rate type]]="Balance"))),"-",
SUMIFS(Calc_TUV_ENVGroup_2[Ausnet],
Calc_TUV_ENVGroup_2[Cost item],Calc_TUR_ENV_2[[#This Row],[True up]],
Calc_TUV_ENVGroup_2[Cost element],Calc_TUR_ENV_2[[#This Row],[Cost element]])
*
(TU_ENV_CostMths/TU_ENV_RateMths)),"-")</f>
        <v>0</v>
      </c>
      <c r="I202" s="132" cm="1">
        <f t="array" ref="I202">IFERROR(
IF(OR(
AND(Calc_TUR_ENV_2[[#Headers],[Citipower]]="Ausnet",Calc_TUR_ENV_2[[#This Row],[Rate type]]="Single rate"),
AND(Calc_TUR_ENV_2[[#Headers],[Citipower]]&lt;&gt;"Ausnet",OR(Calc_TUR_ENV_2[[#This Row],[Rate type]]="Block 1",Calc_TUR_ENV_2[[#This Row],[Rate type]]="Balance"))),"-",
SUMIFS(Calc_TUV_ENVGroup_2[Citipower],
Calc_TUV_ENVGroup_2[Cost item],Calc_TUR_ENV_2[[#This Row],[True up]],
Calc_TUV_ENVGroup_2[Cost element],Calc_TUR_ENV_2[[#This Row],[Cost element]])
*
(TU_ENV_CostMths/TU_ENV_RateMths)),"-")</f>
        <v>0</v>
      </c>
      <c r="J202" s="132" cm="1">
        <f t="array" ref="J202">IFERROR(
IF(OR(
AND(Calc_TUR_ENV_2[[#Headers],[Jemena]]="Ausnet",Calc_TUR_ENV_2[[#This Row],[Rate type]]="Single rate"),
AND(Calc_TUR_ENV_2[[#Headers],[Jemena]]&lt;&gt;"Ausnet",OR(Calc_TUR_ENV_2[[#This Row],[Rate type]]="Block 1",Calc_TUR_ENV_2[[#This Row],[Rate type]]="Balance"))),"-",
SUMIFS(Calc_TUV_ENVGroup_2[Jemena],
Calc_TUV_ENVGroup_2[Cost item],Calc_TUR_ENV_2[[#This Row],[True up]],
Calc_TUV_ENVGroup_2[Cost element],Calc_TUR_ENV_2[[#This Row],[Cost element]])
*
(TU_ENV_CostMths/TU_ENV_RateMths)),"-")</f>
        <v>0</v>
      </c>
      <c r="K202" s="132" cm="1">
        <f t="array" ref="K202">IFERROR(
IF(OR(
AND(Calc_TUR_ENV_2[[#Headers],[Powercor]]="Ausnet",Calc_TUR_ENV_2[[#This Row],[Rate type]]="Single rate"),
AND(Calc_TUR_ENV_2[[#Headers],[Powercor]]&lt;&gt;"Ausnet",OR(Calc_TUR_ENV_2[[#This Row],[Rate type]]="Block 1",Calc_TUR_ENV_2[[#This Row],[Rate type]]="Balance"))),"-",
SUMIFS(Calc_TUV_ENVGroup_2[Powercor],
Calc_TUV_ENVGroup_2[Cost item],Calc_TUR_ENV_2[[#This Row],[True up]],
Calc_TUV_ENVGroup_2[Cost element],Calc_TUR_ENV_2[[#This Row],[Cost element]])
*
(TU_ENV_CostMths/TU_ENV_RateMths)),"-")</f>
        <v>0</v>
      </c>
      <c r="L202" s="132" cm="1">
        <f t="array" ref="L202">IFERROR(
IF(OR(
AND(Calc_TUR_ENV_2[[#Headers],[United Energy]]="Ausnet",Calc_TUR_ENV_2[[#This Row],[Rate type]]="Single rate"),
AND(Calc_TUR_ENV_2[[#Headers],[United Energy]]&lt;&gt;"Ausnet",OR(Calc_TUR_ENV_2[[#This Row],[Rate type]]="Block 1",Calc_TUR_ENV_2[[#This Row],[Rate type]]="Balance"))),"-",
SUMIFS(Calc_TUV_ENVGroup_2[United Energy],
Calc_TUV_ENVGroup_2[Cost item],Calc_TUR_ENV_2[[#This Row],[True up]],
Calc_TUV_ENVGroup_2[Cost element],Calc_TUR_ENV_2[[#This Row],[Cost element]])
*
(TU_ENV_CostMths/TU_ENV_RateMths)),"-")</f>
        <v>0</v>
      </c>
    </row>
    <row r="203" spans="3:12" outlineLevel="1" x14ac:dyDescent="0.25"/>
    <row r="204" spans="3:12" ht="15.75" outlineLevel="1" x14ac:dyDescent="0.25">
      <c r="C204" s="23" t="s">
        <v>367</v>
      </c>
    </row>
    <row r="205" spans="3:12" ht="15.75" outlineLevel="1" x14ac:dyDescent="0.25">
      <c r="C205" s="33" t="s">
        <v>308</v>
      </c>
      <c r="D205" s="33" t="s">
        <v>249</v>
      </c>
      <c r="E205" s="33" t="s">
        <v>38</v>
      </c>
      <c r="F205" s="33" t="s">
        <v>30</v>
      </c>
      <c r="G205" s="33" t="s">
        <v>23</v>
      </c>
      <c r="H205" s="42" t="s">
        <v>204</v>
      </c>
      <c r="I205" s="42" t="s">
        <v>205</v>
      </c>
      <c r="J205" s="42" t="s">
        <v>206</v>
      </c>
      <c r="K205" s="42" t="s">
        <v>207</v>
      </c>
      <c r="L205" s="42" t="s">
        <v>208</v>
      </c>
    </row>
    <row r="206" spans="3:12" ht="15.75" outlineLevel="1" x14ac:dyDescent="0.25">
      <c r="C206" s="48" t="s">
        <v>338</v>
      </c>
      <c r="D206" s="48" t="s">
        <v>363</v>
      </c>
      <c r="E206" s="48" t="s">
        <v>218</v>
      </c>
      <c r="F206" s="48" t="s">
        <v>31</v>
      </c>
      <c r="G206" s="48" t="s">
        <v>87</v>
      </c>
      <c r="H206" s="79" t="str">
        <f>IF(H170="-","-",
IF(
ROUND(H170,8)=
ROUND(SUMIFS(Calc_TUV_ENVGroup_2[Ausnet],Calc_TUV_ENVGroup_2[Cost item],$D206,Calc_TUV_ENVGroup_2[Cost element],$G206)*(TU_ENV_CostMths/TU_ENV_RateMths),8),
0,1))</f>
        <v>-</v>
      </c>
      <c r="I206" s="79">
        <f>IF(I170="-","-",
IF(
ROUND(I170,8)=
ROUND(SUMIFS(Calc_TUV_ENVGroup_2[Citipower],Calc_TUV_ENVGroup_2[Cost item],$D206,Calc_TUV_ENVGroup_2[Cost element],$G206)*(TU_ENV_CostMths/TU_ENV_RateMths),8),
0,1))</f>
        <v>0</v>
      </c>
      <c r="J206" s="79">
        <f>IF(J170="-","-",
IF(
ROUND(J170,8)=
ROUND(SUMIFS(Calc_TUV_ENVGroup_2[Jemena],Calc_TUV_ENVGroup_2[Cost item],$D206,Calc_TUV_ENVGroup_2[Cost element],$G206)*(TU_ENV_CostMths/TU_ENV_RateMths),8),
0,1))</f>
        <v>0</v>
      </c>
      <c r="K206" s="79">
        <f>IF(K170="-","-",
IF(
ROUND(K170,8)=
ROUND(SUMIFS(Calc_TUV_ENVGroup_2[Powercor],Calc_TUV_ENVGroup_2[Cost item],$D206,Calc_TUV_ENVGroup_2[Cost element],$G206)*(TU_ENV_CostMths/TU_ENV_RateMths),8),
0,1))</f>
        <v>0</v>
      </c>
      <c r="L206" s="79">
        <f>IF(L170="-","-",
IF(
ROUND(L170,8)=
ROUND(SUMIFS(Calc_TUV_ENVGroup_2[United Energy],Calc_TUV_ENVGroup_2[Cost item],$D206,Calc_TUV_ENVGroup_2[Cost element],$G206)*(TU_ENV_CostMths/TU_ENV_RateMths),8),
0,1))</f>
        <v>0</v>
      </c>
    </row>
    <row r="207" spans="3:12" ht="15.75" outlineLevel="1" x14ac:dyDescent="0.25">
      <c r="C207" s="48" t="s">
        <v>338</v>
      </c>
      <c r="D207" s="48" t="s">
        <v>363</v>
      </c>
      <c r="E207" s="48" t="s">
        <v>218</v>
      </c>
      <c r="F207" s="48" t="s">
        <v>32</v>
      </c>
      <c r="G207" s="48" t="s">
        <v>87</v>
      </c>
      <c r="H207" s="79" t="str">
        <f>IF(H171="-","-",
IF(
ROUND(H171,8)=
ROUND(SUMIFS(Calc_TUV_ENVGroup_2[Ausnet],Calc_TUV_ENVGroup_2[Cost item],$D207,Calc_TUV_ENVGroup_2[Cost element],$G207)*(TU_ENV_CostMths/TU_ENV_RateMths),8),
0,1))</f>
        <v>-</v>
      </c>
      <c r="I207" s="79">
        <f>IF(I171="-","-",
IF(
ROUND(I171,8)=
ROUND(SUMIFS(Calc_TUV_ENVGroup_2[Citipower],Calc_TUV_ENVGroup_2[Cost item],$D207,Calc_TUV_ENVGroup_2[Cost element],$G207)*(TU_ENV_CostMths/TU_ENV_RateMths),8),
0,1))</f>
        <v>0</v>
      </c>
      <c r="J207" s="79">
        <f>IF(J171="-","-",
IF(
ROUND(J171,8)=
ROUND(SUMIFS(Calc_TUV_ENVGroup_2[Jemena],Calc_TUV_ENVGroup_2[Cost item],$D207,Calc_TUV_ENVGroup_2[Cost element],$G207)*(TU_ENV_CostMths/TU_ENV_RateMths),8),
0,1))</f>
        <v>0</v>
      </c>
      <c r="K207" s="79">
        <f>IF(K171="-","-",
IF(
ROUND(K171,8)=
ROUND(SUMIFS(Calc_TUV_ENVGroup_2[Powercor],Calc_TUV_ENVGroup_2[Cost item],$D207,Calc_TUV_ENVGroup_2[Cost element],$G207)*(TU_ENV_CostMths/TU_ENV_RateMths),8),
0,1))</f>
        <v>0</v>
      </c>
      <c r="L207" s="79">
        <f>IF(L171="-","-",
IF(
ROUND(L171,8)=
ROUND(SUMIFS(Calc_TUV_ENVGroup_2[United Energy],Calc_TUV_ENVGroup_2[Cost item],$D207,Calc_TUV_ENVGroup_2[Cost element],$G207)*(TU_ENV_CostMths/TU_ENV_RateMths),8),
0,1))</f>
        <v>0</v>
      </c>
    </row>
    <row r="208" spans="3:12" ht="15.75" outlineLevel="1" x14ac:dyDescent="0.25">
      <c r="C208" s="48" t="s">
        <v>157</v>
      </c>
      <c r="D208" s="48" t="s">
        <v>363</v>
      </c>
      <c r="E208" s="48" t="s">
        <v>218</v>
      </c>
      <c r="F208" s="48" t="s">
        <v>31</v>
      </c>
      <c r="G208" s="48" t="s">
        <v>87</v>
      </c>
      <c r="H208" s="79">
        <f>IF(H172="-","-",
IF(
ROUND(H172,8)=
ROUND(SUMIFS(Calc_TUV_ENVGroup_2[Ausnet],Calc_TUV_ENVGroup_2[Cost item],$D208,Calc_TUV_ENVGroup_2[Cost element],$G208)*(TU_ENV_CostMths/TU_ENV_RateMths),8),
0,1))</f>
        <v>0</v>
      </c>
      <c r="I208" s="79" t="str">
        <f>IF(I172="-","-",
IF(
ROUND(I172,8)=
ROUND(SUMIFS(Calc_TUV_ENVGroup_2[Citipower],Calc_TUV_ENVGroup_2[Cost item],$D208,Calc_TUV_ENVGroup_2[Cost element],$G208)*(TU_ENV_CostMths/TU_ENV_RateMths),8),
0,1))</f>
        <v>-</v>
      </c>
      <c r="J208" s="79" t="str">
        <f>IF(J172="-","-",
IF(
ROUND(J172,8)=
ROUND(SUMIFS(Calc_TUV_ENVGroup_2[Jemena],Calc_TUV_ENVGroup_2[Cost item],$D208,Calc_TUV_ENVGroup_2[Cost element],$G208)*(TU_ENV_CostMths/TU_ENV_RateMths),8),
0,1))</f>
        <v>-</v>
      </c>
      <c r="K208" s="79" t="str">
        <f>IF(K172="-","-",
IF(
ROUND(K172,8)=
ROUND(SUMIFS(Calc_TUV_ENVGroup_2[Powercor],Calc_TUV_ENVGroup_2[Cost item],$D208,Calc_TUV_ENVGroup_2[Cost element],$G208)*(TU_ENV_CostMths/TU_ENV_RateMths),8),
0,1))</f>
        <v>-</v>
      </c>
      <c r="L208" s="79" t="str">
        <f>IF(L172="-","-",
IF(
ROUND(L172,8)=
ROUND(SUMIFS(Calc_TUV_ENVGroup_2[United Energy],Calc_TUV_ENVGroup_2[Cost item],$D208,Calc_TUV_ENVGroup_2[Cost element],$G208)*(TU_ENV_CostMths/TU_ENV_RateMths),8),
0,1))</f>
        <v>-</v>
      </c>
    </row>
    <row r="209" spans="3:12" ht="15.75" outlineLevel="1" x14ac:dyDescent="0.25">
      <c r="C209" s="48" t="s">
        <v>157</v>
      </c>
      <c r="D209" s="48" t="s">
        <v>363</v>
      </c>
      <c r="E209" s="48" t="s">
        <v>218</v>
      </c>
      <c r="F209" s="48" t="s">
        <v>32</v>
      </c>
      <c r="G209" s="48" t="s">
        <v>87</v>
      </c>
      <c r="H209" s="79">
        <f>IF(H173="-","-",
IF(
ROUND(H173,8)=
ROUND(SUMIFS(Calc_TUV_ENVGroup_2[Ausnet],Calc_TUV_ENVGroup_2[Cost item],$D209,Calc_TUV_ENVGroup_2[Cost element],$G209)*(TU_ENV_CostMths/TU_ENV_RateMths),8),
0,1))</f>
        <v>0</v>
      </c>
      <c r="I209" s="79" t="str">
        <f>IF(I173="-","-",
IF(
ROUND(I173,8)=
ROUND(SUMIFS(Calc_TUV_ENVGroup_2[Citipower],Calc_TUV_ENVGroup_2[Cost item],$D209,Calc_TUV_ENVGroup_2[[Cost element]:[Cost element]],$G209)*(TU_ENV_CostMths/TU_ENV_RateMths),8),
0,1))</f>
        <v>-</v>
      </c>
      <c r="J209" s="79" t="str">
        <f>IF(J173="-","-",
IF(
ROUND(J173,8)=
ROUND(SUMIFS(Calc_TUV_ENVGroup_2[Jemena],Calc_TUV_ENVGroup_2[[Cost item]:[Cost item]],$D209,Calc_TUV_ENVGroup_2[[Cost element]:[Cost element]],$G209)*(TU_ENV_CostMths/TU_ENV_RateMths),8),
0,1))</f>
        <v>-</v>
      </c>
      <c r="K209" s="79" t="str">
        <f>IF(K173="-","-",
IF(
ROUND(K173,8)=
ROUND(SUMIFS(Calc_TUV_ENVGroup_2[Powercor],Calc_TUV_ENVGroup_2[[Cost item]:[Cost item]],$D209,Calc_TUV_ENVGroup_2[[Cost element]:[Cost element]],$G209)*(TU_ENV_CostMths/TU_ENV_RateMths),8),
0,1))</f>
        <v>-</v>
      </c>
      <c r="L209" s="79" t="str">
        <f>IF(L173="-","-",
IF(
ROUND(L173,8)=
ROUND(SUMIFS(Calc_TUV_ENVGroup_2[United Energy],Calc_TUV_ENVGroup_2[[Cost item]:[Cost item]],$D209,Calc_TUV_ENVGroup_2[[Cost element]:[Cost element]],$G209)*(TU_ENV_CostMths/TU_ENV_RateMths),8),
0,1))</f>
        <v>-</v>
      </c>
    </row>
    <row r="210" spans="3:12" ht="15.75" outlineLevel="1" x14ac:dyDescent="0.25">
      <c r="C210" s="48" t="s">
        <v>164</v>
      </c>
      <c r="D210" s="48" t="s">
        <v>363</v>
      </c>
      <c r="E210" s="48" t="s">
        <v>218</v>
      </c>
      <c r="F210" s="48" t="s">
        <v>31</v>
      </c>
      <c r="G210" s="48" t="s">
        <v>87</v>
      </c>
      <c r="H210" s="79">
        <f>IF(H174="-","-",
IF(
ROUND(H174,8)=
ROUND(SUMIFS(Calc_TUV_ENVGroup_2[Ausnet],Calc_TUV_ENVGroup_2[Cost item],$D210,Calc_TUV_ENVGroup_2[Cost element],$G210)*(TU_ENV_CostMths/TU_ENV_RateMths),8),
0,1))</f>
        <v>0</v>
      </c>
      <c r="I210" s="79" t="str">
        <f>IF(I174="-","-",
IF(
ROUND(I174,8)=
ROUND(SUMIFS(Calc_TUV_ENVGroup_2[Citipower],Calc_TUV_ENVGroup_2[[Cost item]:[Cost item]],$D210,Calc_TUV_ENVGroup_2[[Cost element]:[Cost element]],$G210)*(TU_ENV_CostMths/TU_ENV_RateMths),8),
0,1))</f>
        <v>-</v>
      </c>
      <c r="J210" s="79" t="str">
        <f>IF(J174="-","-",
IF(
ROUND(J174,8)=
ROUND(SUMIFS(Calc_TUV_ENVGroup_2[Jemena],Calc_TUV_ENVGroup_2[[Cost item]:[Cost item]],$D210,Calc_TUV_ENVGroup_2[[Cost element]:[Cost element]],$G210)*(TU_ENV_CostMths/TU_ENV_RateMths),8),
0,1))</f>
        <v>-</v>
      </c>
      <c r="K210" s="79" t="str">
        <f>IF(K174="-","-",
IF(
ROUND(K174,8)=
ROUND(SUMIFS(Calc_TUV_ENVGroup_2[Powercor],Calc_TUV_ENVGroup_2[[Cost item]:[Cost item]],$D210,Calc_TUV_ENVGroup_2[[Cost element]:[Cost element]],$G210)*(TU_ENV_CostMths/TU_ENV_RateMths),8),
0,1))</f>
        <v>-</v>
      </c>
      <c r="L210" s="79" t="str">
        <f>IF(L174="-","-",
IF(
ROUND(L174,8)=
ROUND(SUMIFS(Calc_TUV_ENVGroup_2[United Energy],Calc_TUV_ENVGroup_2[[Cost item]:[Cost item]],$D210,Calc_TUV_ENVGroup_2[[Cost element]:[Cost element]],$G210)*(TU_ENV_CostMths/TU_ENV_RateMths),8),
0,1))</f>
        <v>-</v>
      </c>
    </row>
    <row r="211" spans="3:12" ht="15.75" outlineLevel="1" x14ac:dyDescent="0.25">
      <c r="C211" s="48" t="s">
        <v>164</v>
      </c>
      <c r="D211" s="48" t="s">
        <v>363</v>
      </c>
      <c r="E211" s="48" t="s">
        <v>218</v>
      </c>
      <c r="F211" s="48" t="s">
        <v>32</v>
      </c>
      <c r="G211" s="48" t="s">
        <v>87</v>
      </c>
      <c r="H211" s="79">
        <f>IF(H175="-","-",
IF(
ROUND(H175,8)=
ROUND(SUMIFS(Calc_TUV_ENVGroup_2[Ausnet],Calc_TUV_ENVGroup_2[Cost item],$D211,Calc_TUV_ENVGroup_2[Cost element],$G211)*(TU_ENV_CostMths/TU_ENV_RateMths),8),
0,1))</f>
        <v>0</v>
      </c>
      <c r="I211" s="79" t="str">
        <f>IF(I175="-","-",
IF(
ROUND(I175,8)=
ROUND(SUMIFS(Calc_TUV_ENVGroup_2[Citipower],Calc_TUV_ENVGroup_2[[Cost item]:[Cost item]],$D211,Calc_TUV_ENVGroup_2[[Cost element]:[Cost element]],$G211)*(TU_ENV_CostMths/TU_ENV_RateMths),8),
0,1))</f>
        <v>-</v>
      </c>
      <c r="J211" s="79" t="str">
        <f>IF(J175="-","-",
IF(
ROUND(J175,8)=
ROUND(SUMIFS(Calc_TUV_ENVGroup_2[Jemena],Calc_TUV_ENVGroup_2[[Cost item]:[Cost item]],$D211,Calc_TUV_ENVGroup_2[[Cost element]:[Cost element]],$G211)*(TU_ENV_CostMths/TU_ENV_RateMths),8),
0,1))</f>
        <v>-</v>
      </c>
      <c r="K211" s="79" t="str">
        <f>IF(K175="-","-",
IF(
ROUND(K175,8)=
ROUND(SUMIFS(Calc_TUV_ENVGroup_2[Powercor],Calc_TUV_ENVGroup_2[[Cost item]:[Cost item]],$D211,Calc_TUV_ENVGroup_2[[Cost element]:[Cost element]],$G211)*(TU_ENV_CostMths/TU_ENV_RateMths),8),
0,1))</f>
        <v>-</v>
      </c>
      <c r="L211" s="79" t="str">
        <f>IF(L175="-","-",
IF(
ROUND(L175,8)=
ROUND(SUMIFS(Calc_TUV_ENVGroup_2[United Energy],Calc_TUV_ENVGroup_2[[Cost item]:[Cost item]],$D211,Calc_TUV_ENVGroup_2[[Cost element]:[Cost element]],$G211)*(TU_ENV_CostMths/TU_ENV_RateMths),8),
0,1))</f>
        <v>-</v>
      </c>
    </row>
    <row r="212" spans="3:12" ht="15.75" outlineLevel="1" x14ac:dyDescent="0.25">
      <c r="C212" s="48" t="s">
        <v>223</v>
      </c>
      <c r="D212" s="48" t="s">
        <v>363</v>
      </c>
      <c r="E212" s="48" t="s">
        <v>218</v>
      </c>
      <c r="F212" s="48" t="s">
        <v>31</v>
      </c>
      <c r="G212" s="48" t="s">
        <v>87</v>
      </c>
      <c r="H212" s="79">
        <f>IF(H176="-","-",
IF(
ROUND(H176,8)=
ROUND(SUMIFS(Calc_TUV_ENVGroup_2[Ausnet],Calc_TUV_ENVGroup_2[Cost item],$D212,Calc_TUV_ENVGroup_2[Cost element],$G212)*(TU_ENV_CostMths/TU_ENV_RateMths),8),
0,1))</f>
        <v>0</v>
      </c>
      <c r="I212" s="79">
        <f>IF(I176="-","-",
IF(
ROUND(I176,8)=
ROUND(SUMIFS(Calc_TUV_ENVGroup_2[Citipower],Calc_TUV_ENVGroup_2[[Cost item]:[Cost item]],$D212,Calc_TUV_ENVGroup_2[[Cost element]:[Cost element]],$G212)*(TU_ENV_CostMths/TU_ENV_RateMths),8),
0,1))</f>
        <v>0</v>
      </c>
      <c r="J212" s="79">
        <f>IF(J176="-","-",
IF(
ROUND(J176,8)=
ROUND(SUMIFS(Calc_TUV_ENVGroup_2[Jemena],Calc_TUV_ENVGroup_2[[Cost item]:[Cost item]],$D212,Calc_TUV_ENVGroup_2[[Cost element]:[Cost element]],$G212)*(TU_ENV_CostMths/TU_ENV_RateMths),8),
0,1))</f>
        <v>0</v>
      </c>
      <c r="K212" s="79">
        <f>IF(K176="-","-",
IF(
ROUND(K176,8)=
ROUND(SUMIFS(Calc_TUV_ENVGroup_2[Powercor],Calc_TUV_ENVGroup_2[[Cost item]:[Cost item]],$D212,Calc_TUV_ENVGroup_2[[Cost element]:[Cost element]],$G212)*(TU_ENV_CostMths/TU_ENV_RateMths),8),
0,1))</f>
        <v>0</v>
      </c>
      <c r="L212" s="79">
        <f>IF(L176="-","-",
IF(
ROUND(L176,8)=
ROUND(SUMIFS(Calc_TUV_ENVGroup_2[United Energy],Calc_TUV_ENVGroup_2[[Cost item]:[Cost item]],$D212,Calc_TUV_ENVGroup_2[[Cost element]:[Cost element]],$G212)*(TU_ENV_CostMths/TU_ENV_RateMths),8),
0,1))</f>
        <v>0</v>
      </c>
    </row>
    <row r="213" spans="3:12" ht="15.75" outlineLevel="1" x14ac:dyDescent="0.25">
      <c r="C213" s="48" t="s">
        <v>166</v>
      </c>
      <c r="D213" s="48" t="s">
        <v>363</v>
      </c>
      <c r="E213" s="48" t="s">
        <v>218</v>
      </c>
      <c r="F213" s="48" t="s">
        <v>31</v>
      </c>
      <c r="G213" s="48" t="s">
        <v>87</v>
      </c>
      <c r="H213" s="79">
        <f>IF(H177="-","-",
IF(
ROUND(H177,8)=
ROUND(SUMIFS(Calc_TUV_ENVGroup_2[Ausnet],Calc_TUV_ENVGroup_2[Cost item],$D213,Calc_TUV_ENVGroup_2[Cost element],$G213)*(TU_ENV_CostMths/TU_ENV_RateMths),8),
0,1))</f>
        <v>0</v>
      </c>
      <c r="I213" s="79">
        <f>IF(I177="-","-",
IF(
ROUND(I177,8)=
ROUND(SUMIFS(Calc_TUV_ENVGroup_2[Citipower],Calc_TUV_ENVGroup_2[[Cost item]:[Cost item]],$D213,Calc_TUV_ENVGroup_2[[Cost element]:[Cost element]],$G213)*(TU_ENV_CostMths/TU_ENV_RateMths),8),
0,1))</f>
        <v>0</v>
      </c>
      <c r="J213" s="79">
        <f>IF(J177="-","-",
IF(
ROUND(J177,8)=
ROUND(SUMIFS(Calc_TUV_ENVGroup_2[Jemena],Calc_TUV_ENVGroup_2[[Cost item]:[Cost item]],$D213,Calc_TUV_ENVGroup_2[[Cost element]:[Cost element]],$G213)*(TU_ENV_CostMths/TU_ENV_RateMths),8),
0,1))</f>
        <v>0</v>
      </c>
      <c r="K213" s="79">
        <f>IF(K177="-","-",
IF(
ROUND(K177,8)=
ROUND(SUMIFS(Calc_TUV_ENVGroup_2[Powercor],Calc_TUV_ENVGroup_2[[Cost item]:[Cost item]],$D213,Calc_TUV_ENVGroup_2[[Cost element]:[Cost element]],$G213)*(TU_ENV_CostMths/TU_ENV_RateMths),8),
0,1))</f>
        <v>0</v>
      </c>
      <c r="L213" s="79">
        <f>IF(L177="-","-",
IF(
ROUND(L177,8)=
ROUND(SUMIFS(Calc_TUV_ENVGroup_2[United Energy],Calc_TUV_ENVGroup_2[[Cost item]:[Cost item]],$D213,Calc_TUV_ENVGroup_2[[Cost element]:[Cost element]],$G213)*(TU_ENV_CostMths/TU_ENV_RateMths),8),
0,1))</f>
        <v>0</v>
      </c>
    </row>
    <row r="214" spans="3:12" ht="15.75" outlineLevel="1" x14ac:dyDescent="0.25">
      <c r="C214" s="48" t="s">
        <v>166</v>
      </c>
      <c r="D214" s="48" t="s">
        <v>363</v>
      </c>
      <c r="E214" s="48" t="s">
        <v>218</v>
      </c>
      <c r="F214" s="48" t="s">
        <v>32</v>
      </c>
      <c r="G214" s="48" t="s">
        <v>87</v>
      </c>
      <c r="H214" s="79">
        <f>IF(H178="-","-",
IF(
ROUND(H178,8)=
ROUND(SUMIFS(Calc_TUV_ENVGroup_2[Ausnet],Calc_TUV_ENVGroup_2[Cost item],$D214,Calc_TUV_ENVGroup_2[Cost element],$G214)*(TU_ENV_CostMths/TU_ENV_RateMths),8),
0,1))</f>
        <v>0</v>
      </c>
      <c r="I214" s="79">
        <f>IF(I178="-","-",
IF(
ROUND(I178,8)=
ROUND(SUMIFS(Calc_TUV_ENVGroup_2[Citipower],Calc_TUV_ENVGroup_2[[Cost item]:[Cost item]],$D214,Calc_TUV_ENVGroup_2[[Cost element]:[Cost element]],$G214)*(TU_ENV_CostMths/TU_ENV_RateMths),8),
0,1))</f>
        <v>0</v>
      </c>
      <c r="J214" s="79">
        <f>IF(J178="-","-",
IF(
ROUND(J178,8)=
ROUND(SUMIFS(Calc_TUV_ENVGroup_2[Jemena],Calc_TUV_ENVGroup_2[[Cost item]:[Cost item]],$D214,Calc_TUV_ENVGroup_2[[Cost element]:[Cost element]],$G214)*(TU_ENV_CostMths/TU_ENV_RateMths),8),
0,1))</f>
        <v>0</v>
      </c>
      <c r="K214" s="79">
        <f>IF(K178="-","-",
IF(
ROUND(K178,8)=
ROUND(SUMIFS(Calc_TUV_ENVGroup_2[Powercor],Calc_TUV_ENVGroup_2[[Cost item]:[Cost item]],$D214,Calc_TUV_ENVGroup_2[[Cost element]:[Cost element]],$G214)*(TU_ENV_CostMths/TU_ENV_RateMths),8),
0,1))</f>
        <v>0</v>
      </c>
      <c r="L214" s="79">
        <f>IF(L178="-","-",
IF(
ROUND(L178,8)=
ROUND(SUMIFS(Calc_TUV_ENVGroup_2[United Energy],Calc_TUV_ENVGroup_2[[Cost item]:[Cost item]],$D214,Calc_TUV_ENVGroup_2[[Cost element]:[Cost element]],$G214)*(TU_ENV_CostMths/TU_ENV_RateMths),8),
0,1))</f>
        <v>0</v>
      </c>
    </row>
    <row r="215" spans="3:12" ht="15.75" outlineLevel="1" x14ac:dyDescent="0.25">
      <c r="C215" s="48" t="s">
        <v>370</v>
      </c>
      <c r="D215" s="48" t="s">
        <v>363</v>
      </c>
      <c r="E215" s="48" t="s">
        <v>218</v>
      </c>
      <c r="F215" s="48" t="s">
        <v>31</v>
      </c>
      <c r="G215" s="48" t="s">
        <v>87</v>
      </c>
      <c r="H215" s="79">
        <f>IF(H179="-","-",
IF(
ROUND(H179,8)=
ROUND(SUMIFS(Calc_TUV_ENVGroup_2[Ausnet],Calc_TUV_ENVGroup_2[Cost item],$D215,Calc_TUV_ENVGroup_2[Cost element],$G215)*(TU_ENV_CostMths/TU_ENV_RateMths),8),
0,1))</f>
        <v>0</v>
      </c>
      <c r="I215" s="79">
        <f>IF(I179="-","-",
IF(
ROUND(I179,8)=
ROUND(SUMIFS(Calc_TUV_ENVGroup_2[Citipower],Calc_TUV_ENVGroup_2[[Cost item]:[Cost item]],$D215,Calc_TUV_ENVGroup_2[[Cost element]:[Cost element]],$G215)*(TU_ENV_CostMths/TU_ENV_RateMths),8),
0,1))</f>
        <v>0</v>
      </c>
      <c r="J215" s="79">
        <f>IF(J179="-","-",
IF(
ROUND(J179,8)=
ROUND(SUMIFS(Calc_TUV_ENVGroup_2[Jemena],Calc_TUV_ENVGroup_2[[Cost item]:[Cost item]],$D215,Calc_TUV_ENVGroup_2[[Cost element]:[Cost element]],$G215)*(TU_ENV_CostMths/TU_ENV_RateMths),8),
0,1))</f>
        <v>0</v>
      </c>
      <c r="K215" s="79">
        <f>IF(K179="-","-",
IF(
ROUND(K179,8)=
ROUND(SUMIFS(Calc_TUV_ENVGroup_2[Powercor],Calc_TUV_ENVGroup_2[[Cost item]:[Cost item]],$D215,Calc_TUV_ENVGroup_2[[Cost element]:[Cost element]],$G215)*(TU_ENV_CostMths/TU_ENV_RateMths),8),
0,1))</f>
        <v>0</v>
      </c>
      <c r="L215" s="79">
        <f>IF(L179="-","-",
IF(
ROUND(L179,8)=
ROUND(SUMIFS(Calc_TUV_ENVGroup_2[United Energy],Calc_TUV_ENVGroup_2[[Cost item]:[Cost item]],$D215,Calc_TUV_ENVGroup_2[[Cost element]:[Cost element]],$G215)*(TU_ENV_CostMths/TU_ENV_RateMths),8),
0,1))</f>
        <v>0</v>
      </c>
    </row>
    <row r="216" spans="3:12" ht="15.75" outlineLevel="1" x14ac:dyDescent="0.25">
      <c r="C216" s="48" t="s">
        <v>370</v>
      </c>
      <c r="D216" s="48" t="s">
        <v>363</v>
      </c>
      <c r="E216" s="48" t="s">
        <v>218</v>
      </c>
      <c r="F216" s="48" t="s">
        <v>32</v>
      </c>
      <c r="G216" s="48" t="s">
        <v>87</v>
      </c>
      <c r="H216" s="79">
        <f>IF(H180="-","-",
IF(
ROUND(H180,8)=
ROUND(SUMIFS(Calc_TUV_ENVGroup_2[Ausnet],Calc_TUV_ENVGroup_2[Cost item],$D216,Calc_TUV_ENVGroup_2[Cost element],$G216)*(TU_ENV_CostMths/TU_ENV_RateMths),8),
0,1))</f>
        <v>0</v>
      </c>
      <c r="I216" s="79">
        <f>IF(I180="-","-",
IF(
ROUND(I180,8)=
ROUND(SUMIFS(Calc_TUV_ENVGroup_2[Citipower],Calc_TUV_ENVGroup_2[[Cost item]:[Cost item]],$D216,Calc_TUV_ENVGroup_2[[Cost element]:[Cost element]],$G216)*(TU_ENV_CostMths/TU_ENV_RateMths),8),
0,1))</f>
        <v>0</v>
      </c>
      <c r="J216" s="79">
        <f>IF(J180="-","-",
IF(
ROUND(J180,8)=
ROUND(SUMIFS(Calc_TUV_ENVGroup_2[Jemena],Calc_TUV_ENVGroup_2[[Cost item]:[Cost item]],$D216,Calc_TUV_ENVGroup_2[[Cost element]:[Cost element]],$G216)*(TU_ENV_CostMths/TU_ENV_RateMths),8),
0,1))</f>
        <v>0</v>
      </c>
      <c r="K216" s="79">
        <f>IF(K180="-","-",
IF(
ROUND(K180,8)=
ROUND(SUMIFS(Calc_TUV_ENVGroup_2[Powercor],Calc_TUV_ENVGroup_2[[Cost item]:[Cost item]],$D216,Calc_TUV_ENVGroup_2[[Cost element]:[Cost element]],$G216)*(TU_ENV_CostMths/TU_ENV_RateMths),8),
0,1))</f>
        <v>0</v>
      </c>
      <c r="L216" s="79">
        <f>IF(L180="-","-",
IF(
ROUND(L180,8)=
ROUND(SUMIFS(Calc_TUV_ENVGroup_2[United Energy],Calc_TUV_ENVGroup_2[[Cost item]:[Cost item]],$D216,Calc_TUV_ENVGroup_2[[Cost element]:[Cost element]],$G216)*(TU_ENV_CostMths/TU_ENV_RateMths),8),
0,1))</f>
        <v>0</v>
      </c>
    </row>
    <row r="217" spans="3:12" ht="15.75" outlineLevel="1" x14ac:dyDescent="0.25">
      <c r="C217" s="48" t="s">
        <v>338</v>
      </c>
      <c r="D217" s="48" t="s">
        <v>364</v>
      </c>
      <c r="E217" s="48" t="s">
        <v>218</v>
      </c>
      <c r="F217" s="48" t="s">
        <v>31</v>
      </c>
      <c r="G217" s="48" t="s">
        <v>87</v>
      </c>
      <c r="H217" s="79" t="str">
        <f>IF(H181="-","-",
IF(
ROUND(H181,8)=
ROUND(SUMIFS(Calc_TUV_ENVGroup_2[Ausnet],Calc_TUV_ENVGroup_2[Cost item],$D217,Calc_TUV_ENVGroup_2[Cost element],$G217)*(TU_ENV_CostMths/TU_ENV_RateMths),8),
0,1))</f>
        <v>-</v>
      </c>
      <c r="I217" s="79">
        <f>IF(I181="-","-",
IF(
ROUND(I181,8)=
ROUND(SUMIFS(Calc_TUV_ENVGroup_2[Citipower],Calc_TUV_ENVGroup_2[[Cost item]:[Cost item]],$D217,Calc_TUV_ENVGroup_2[[Cost element]:[Cost element]],$G217)*(TU_ENV_CostMths/TU_ENV_RateMths),8),
0,1))</f>
        <v>0</v>
      </c>
      <c r="J217" s="79">
        <f>IF(J181="-","-",
IF(
ROUND(J181,8)=
ROUND(SUMIFS(Calc_TUV_ENVGroup_2[Jemena],Calc_TUV_ENVGroup_2[[Cost item]:[Cost item]],$D217,Calc_TUV_ENVGroup_2[[Cost element]:[Cost element]],$G217)*(TU_ENV_CostMths/TU_ENV_RateMths),8),
0,1))</f>
        <v>0</v>
      </c>
      <c r="K217" s="79">
        <f>IF(K181="-","-",
IF(
ROUND(K181,8)=
ROUND(SUMIFS(Calc_TUV_ENVGroup_2[Powercor],Calc_TUV_ENVGroup_2[[Cost item]:[Cost item]],$D217,Calc_TUV_ENVGroup_2[[Cost element]:[Cost element]],$G217)*(TU_ENV_CostMths/TU_ENV_RateMths),8),
0,1))</f>
        <v>0</v>
      </c>
      <c r="L217" s="79">
        <f>IF(L181="-","-",
IF(
ROUND(L181,8)=
ROUND(SUMIFS(Calc_TUV_ENVGroup_2[United Energy],Calc_TUV_ENVGroup_2[[Cost item]:[Cost item]],$D217,Calc_TUV_ENVGroup_2[[Cost element]:[Cost element]],$G217)*(TU_ENV_CostMths/TU_ENV_RateMths),8),
0,1))</f>
        <v>0</v>
      </c>
    </row>
    <row r="218" spans="3:12" ht="15.75" outlineLevel="1" x14ac:dyDescent="0.25">
      <c r="C218" s="48" t="s">
        <v>338</v>
      </c>
      <c r="D218" s="48" t="s">
        <v>364</v>
      </c>
      <c r="E218" s="48" t="s">
        <v>218</v>
      </c>
      <c r="F218" s="48" t="s">
        <v>32</v>
      </c>
      <c r="G218" s="48" t="s">
        <v>87</v>
      </c>
      <c r="H218" s="79" t="str">
        <f>IF(H182="-","-",
IF(
ROUND(H182,8)=
ROUND(SUMIFS(Calc_TUV_ENVGroup_2[Ausnet],Calc_TUV_ENVGroup_2[Cost item],$D218,Calc_TUV_ENVGroup_2[Cost element],$G218)*(TU_ENV_CostMths/TU_ENV_RateMths),8),
0,1))</f>
        <v>-</v>
      </c>
      <c r="I218" s="79">
        <f>IF(I182="-","-",
IF(
ROUND(I182,8)=
ROUND(SUMIFS(Calc_TUV_ENVGroup_2[Citipower],Calc_TUV_ENVGroup_2[[Cost item]:[Cost item]],$D218,Calc_TUV_ENVGroup_2[[Cost element]:[Cost element]],$G218)*(TU_ENV_CostMths/TU_ENV_RateMths),8),
0,1))</f>
        <v>0</v>
      </c>
      <c r="J218" s="79">
        <f>IF(J182="-","-",
IF(
ROUND(J182,8)=
ROUND(SUMIFS(Calc_TUV_ENVGroup_2[Jemena],Calc_TUV_ENVGroup_2[[Cost item]:[Cost item]],$D218,Calc_TUV_ENVGroup_2[[Cost element]:[Cost element]],$G218)*(TU_ENV_CostMths/TU_ENV_RateMths),8),
0,1))</f>
        <v>0</v>
      </c>
      <c r="K218" s="79">
        <f>IF(K182="-","-",
IF(
ROUND(K182,8)=
ROUND(SUMIFS(Calc_TUV_ENVGroup_2[Powercor],Calc_TUV_ENVGroup_2[[Cost item]:[Cost item]],$D218,Calc_TUV_ENVGroup_2[[Cost element]:[Cost element]],$G218)*(TU_ENV_CostMths/TU_ENV_RateMths),8),
0,1))</f>
        <v>0</v>
      </c>
      <c r="L218" s="79">
        <f>IF(L182="-","-",
IF(
ROUND(L182,8)=
ROUND(SUMIFS(Calc_TUV_ENVGroup_2[United Energy],Calc_TUV_ENVGroup_2[[Cost item]:[Cost item]],$D218,Calc_TUV_ENVGroup_2[[Cost element]:[Cost element]],$G218)*(TU_ENV_CostMths/TU_ENV_RateMths),8),
0,1))</f>
        <v>0</v>
      </c>
    </row>
    <row r="219" spans="3:12" ht="15.75" outlineLevel="1" x14ac:dyDescent="0.25">
      <c r="C219" s="48" t="s">
        <v>157</v>
      </c>
      <c r="D219" s="48" t="s">
        <v>364</v>
      </c>
      <c r="E219" s="48" t="s">
        <v>218</v>
      </c>
      <c r="F219" s="48" t="s">
        <v>31</v>
      </c>
      <c r="G219" s="48" t="s">
        <v>87</v>
      </c>
      <c r="H219" s="79">
        <f>IF(H183="-","-",
IF(
ROUND(H183,8)=
ROUND(SUMIFS(Calc_TUV_ENVGroup_2[Ausnet],Calc_TUV_ENVGroup_2[Cost item],$D219,Calc_TUV_ENVGroup_2[Cost element],$G219)*(TU_ENV_CostMths/TU_ENV_RateMths),8),
0,1))</f>
        <v>0</v>
      </c>
      <c r="I219" s="79" t="str">
        <f>IF(I183="-","-",
IF(
ROUND(I183,8)=
ROUND(SUMIFS(Calc_TUV_ENVGroup_2[Citipower],Calc_TUV_ENVGroup_2[[Cost item]:[Cost item]],$D219,Calc_TUV_ENVGroup_2[[Cost element]:[Cost element]],$G219)*(TU_ENV_CostMths/TU_ENV_RateMths),8),
0,1))</f>
        <v>-</v>
      </c>
      <c r="J219" s="79" t="str">
        <f>IF(J183="-","-",
IF(
ROUND(J183,8)=
ROUND(SUMIFS(Calc_TUV_ENVGroup_2[Jemena],Calc_TUV_ENVGroup_2[[Cost item]:[Cost item]],$D219,Calc_TUV_ENVGroup_2[[Cost element]:[Cost element]],$G219)*(TU_ENV_CostMths/TU_ENV_RateMths),8),
0,1))</f>
        <v>-</v>
      </c>
      <c r="K219" s="79" t="str">
        <f>IF(K183="-","-",
IF(
ROUND(K183,8)=
ROUND(SUMIFS(Calc_TUV_ENVGroup_2[Powercor],Calc_TUV_ENVGroup_2[[Cost item]:[Cost item]],$D219,Calc_TUV_ENVGroup_2[[Cost element]:[Cost element]],$G219)*(TU_ENV_CostMths/TU_ENV_RateMths),8),
0,1))</f>
        <v>-</v>
      </c>
      <c r="L219" s="79" t="str">
        <f>IF(L183="-","-",
IF(
ROUND(L183,8)=
ROUND(SUMIFS(Calc_TUV_ENVGroup_2[United Energy],Calc_TUV_ENVGroup_2[[Cost item]:[Cost item]],$D219,Calc_TUV_ENVGroup_2[[Cost element]:[Cost element]],$G219)*(TU_ENV_CostMths/TU_ENV_RateMths),8),
0,1))</f>
        <v>-</v>
      </c>
    </row>
    <row r="220" spans="3:12" ht="15.75" outlineLevel="1" x14ac:dyDescent="0.25">
      <c r="C220" s="48" t="s">
        <v>157</v>
      </c>
      <c r="D220" s="48" t="s">
        <v>364</v>
      </c>
      <c r="E220" s="48" t="s">
        <v>218</v>
      </c>
      <c r="F220" s="48" t="s">
        <v>32</v>
      </c>
      <c r="G220" s="48" t="s">
        <v>87</v>
      </c>
      <c r="H220" s="79">
        <f>IF(H184="-","-",
IF(
ROUND(H184,8)=
ROUND(SUMIFS(Calc_TUV_ENVGroup_2[Ausnet],Calc_TUV_ENVGroup_2[Cost item],$D220,Calc_TUV_ENVGroup_2[Cost element],$G220)*(TU_ENV_CostMths/TU_ENV_RateMths),8),
0,1))</f>
        <v>0</v>
      </c>
      <c r="I220" s="79" t="str">
        <f>IF(I184="-","-",
IF(
ROUND(I184,8)=
ROUND(SUMIFS(Calc_TUV_ENVGroup_2[Citipower],Calc_TUV_ENVGroup_2[[Cost item]:[Cost item]],$D220,Calc_TUV_ENVGroup_2[[Cost element]:[Cost element]],$G220)*(TU_ENV_CostMths/TU_ENV_RateMths),8),
0,1))</f>
        <v>-</v>
      </c>
      <c r="J220" s="79" t="str">
        <f>IF(J184="-","-",
IF(
ROUND(J184,8)=
ROUND(SUMIFS(Calc_TUV_ENVGroup_2[Jemena],Calc_TUV_ENVGroup_2[[Cost item]:[Cost item]],$D220,Calc_TUV_ENVGroup_2[[Cost element]:[Cost element]],$G220)*(TU_ENV_CostMths/TU_ENV_RateMths),8),
0,1))</f>
        <v>-</v>
      </c>
      <c r="K220" s="79" t="str">
        <f>IF(K184="-","-",
IF(
ROUND(K184,8)=
ROUND(SUMIFS(Calc_TUV_ENVGroup_2[Powercor],Calc_TUV_ENVGroup_2[[Cost item]:[Cost item]],$D220,Calc_TUV_ENVGroup_2[[Cost element]:[Cost element]],$G220)*(TU_ENV_CostMths/TU_ENV_RateMths),8),
0,1))</f>
        <v>-</v>
      </c>
      <c r="L220" s="79" t="str">
        <f>IF(L184="-","-",
IF(
ROUND(L184,8)=
ROUND(SUMIFS(Calc_TUV_ENVGroup_2[United Energy],Calc_TUV_ENVGroup_2[[Cost item]:[Cost item]],$D220,Calc_TUV_ENVGroup_2[[Cost element]:[Cost element]],$G220)*(TU_ENV_CostMths/TU_ENV_RateMths),8),
0,1))</f>
        <v>-</v>
      </c>
    </row>
    <row r="221" spans="3:12" ht="15.75" outlineLevel="1" x14ac:dyDescent="0.25">
      <c r="C221" s="48" t="s">
        <v>164</v>
      </c>
      <c r="D221" s="48" t="s">
        <v>364</v>
      </c>
      <c r="E221" s="48" t="s">
        <v>218</v>
      </c>
      <c r="F221" s="48" t="s">
        <v>31</v>
      </c>
      <c r="G221" s="48" t="s">
        <v>87</v>
      </c>
      <c r="H221" s="79">
        <f>IF(H185="-","-",
IF(
ROUND(H185,8)=
ROUND(SUMIFS(Calc_TUV_ENVGroup_2[Ausnet],Calc_TUV_ENVGroup_2[Cost item],$D221,Calc_TUV_ENVGroup_2[Cost element],$G221)*(TU_ENV_CostMths/TU_ENV_RateMths),8),
0,1))</f>
        <v>0</v>
      </c>
      <c r="I221" s="79" t="str">
        <f>IF(I185="-","-",
IF(
ROUND(I185,8)=
ROUND(SUMIFS(Calc_TUV_ENVGroup_2[Citipower],Calc_TUV_ENVGroup_2[[Cost item]:[Cost item]],$D221,Calc_TUV_ENVGroup_2[[Cost element]:[Cost element]],$G221)*(TU_ENV_CostMths/TU_ENV_RateMths),8),
0,1))</f>
        <v>-</v>
      </c>
      <c r="J221" s="79" t="str">
        <f>IF(J185="-","-",
IF(
ROUND(J185,8)=
ROUND(SUMIFS(Calc_TUV_ENVGroup_2[Jemena],Calc_TUV_ENVGroup_2[[Cost item]:[Cost item]],$D221,Calc_TUV_ENVGroup_2[[Cost element]:[Cost element]],$G221)*(TU_ENV_CostMths/TU_ENV_RateMths),8),
0,1))</f>
        <v>-</v>
      </c>
      <c r="K221" s="79" t="str">
        <f>IF(K185="-","-",
IF(
ROUND(K185,8)=
ROUND(SUMIFS(Calc_TUV_ENVGroup_2[Powercor],Calc_TUV_ENVGroup_2[[Cost item]:[Cost item]],$D221,Calc_TUV_ENVGroup_2[[Cost element]:[Cost element]],$G221)*(TU_ENV_CostMths/TU_ENV_RateMths),8),
0,1))</f>
        <v>-</v>
      </c>
      <c r="L221" s="79" t="str">
        <f>IF(L185="-","-",
IF(
ROUND(L185,8)=
ROUND(SUMIFS(Calc_TUV_ENVGroup_2[United Energy],Calc_TUV_ENVGroup_2[[Cost item]:[Cost item]],$D221,Calc_TUV_ENVGroup_2[[Cost element]:[Cost element]],$G221)*(TU_ENV_CostMths/TU_ENV_RateMths),8),
0,1))</f>
        <v>-</v>
      </c>
    </row>
    <row r="222" spans="3:12" ht="15.75" outlineLevel="1" x14ac:dyDescent="0.25">
      <c r="C222" s="48" t="s">
        <v>164</v>
      </c>
      <c r="D222" s="48" t="s">
        <v>364</v>
      </c>
      <c r="E222" s="48" t="s">
        <v>218</v>
      </c>
      <c r="F222" s="48" t="s">
        <v>32</v>
      </c>
      <c r="G222" s="48" t="s">
        <v>87</v>
      </c>
      <c r="H222" s="79">
        <f>IF(H186="-","-",
IF(
ROUND(H186,8)=
ROUND(SUMIFS(Calc_TUV_ENVGroup_2[Ausnet],Calc_TUV_ENVGroup_2[Cost item],$D222,Calc_TUV_ENVGroup_2[Cost element],$G222)*(TU_ENV_CostMths/TU_ENV_RateMths),8),
0,1))</f>
        <v>0</v>
      </c>
      <c r="I222" s="79" t="str">
        <f>IF(I186="-","-",
IF(
ROUND(I186,8)=
ROUND(SUMIFS(Calc_TUV_ENVGroup_2[Citipower],Calc_TUV_ENVGroup_2[[Cost item]:[Cost item]],$D222,Calc_TUV_ENVGroup_2[[Cost element]:[Cost element]],$G222)*(TU_ENV_CostMths/TU_ENV_RateMths),8),
0,1))</f>
        <v>-</v>
      </c>
      <c r="J222" s="79" t="str">
        <f>IF(J186="-","-",
IF(
ROUND(J186,8)=
ROUND(SUMIFS(Calc_TUV_ENVGroup_2[Jemena],Calc_TUV_ENVGroup_2[[Cost item]:[Cost item]],$D222,Calc_TUV_ENVGroup_2[[Cost element]:[Cost element]],$G222)*(TU_ENV_CostMths/TU_ENV_RateMths),8),
0,1))</f>
        <v>-</v>
      </c>
      <c r="K222" s="79" t="str">
        <f>IF(K186="-","-",
IF(
ROUND(K186,8)=
ROUND(SUMIFS(Calc_TUV_ENVGroup_2[Powercor],Calc_TUV_ENVGroup_2[[Cost item]:[Cost item]],$D222,Calc_TUV_ENVGroup_2[[Cost element]:[Cost element]],$G222)*(TU_ENV_CostMths/TU_ENV_RateMths),8),
0,1))</f>
        <v>-</v>
      </c>
      <c r="L222" s="79" t="str">
        <f>IF(L186="-","-",
IF(
ROUND(L186,8)=
ROUND(SUMIFS(Calc_TUV_ENVGroup_2[United Energy],Calc_TUV_ENVGroup_2[[Cost item]:[Cost item]],$D222,Calc_TUV_ENVGroup_2[[Cost element]:[Cost element]],$G222)*(TU_ENV_CostMths/TU_ENV_RateMths),8),
0,1))</f>
        <v>-</v>
      </c>
    </row>
    <row r="223" spans="3:12" ht="15.75" outlineLevel="1" x14ac:dyDescent="0.25">
      <c r="C223" s="48" t="s">
        <v>223</v>
      </c>
      <c r="D223" s="48" t="s">
        <v>364</v>
      </c>
      <c r="E223" s="48" t="s">
        <v>218</v>
      </c>
      <c r="F223" s="48" t="s">
        <v>31</v>
      </c>
      <c r="G223" s="48" t="s">
        <v>87</v>
      </c>
      <c r="H223" s="79">
        <f>IF(H187="-","-",
IF(
ROUND(H187,8)=
ROUND(SUMIFS(Calc_TUV_ENVGroup_2[Ausnet],Calc_TUV_ENVGroup_2[Cost item],$D223,Calc_TUV_ENVGroup_2[Cost element],$G223)*(TU_ENV_CostMths/TU_ENV_RateMths),8),
0,1))</f>
        <v>0</v>
      </c>
      <c r="I223" s="79">
        <f>IF(I187="-","-",
IF(
ROUND(I187,8)=
ROUND(SUMIFS(Calc_TUV_ENVGroup_2[Citipower],Calc_TUV_ENVGroup_2[[Cost item]:[Cost item]],$D223,Calc_TUV_ENVGroup_2[[Cost element]:[Cost element]],$G223)*(TU_ENV_CostMths/TU_ENV_RateMths),8),
0,1))</f>
        <v>0</v>
      </c>
      <c r="J223" s="79">
        <f>IF(J187="-","-",
IF(
ROUND(J187,8)=
ROUND(SUMIFS(Calc_TUV_ENVGroup_2[Jemena],Calc_TUV_ENVGroup_2[[Cost item]:[Cost item]],$D223,Calc_TUV_ENVGroup_2[[Cost element]:[Cost element]],$G223)*(TU_ENV_CostMths/TU_ENV_RateMths),8),
0,1))</f>
        <v>0</v>
      </c>
      <c r="K223" s="79">
        <f>IF(K187="-","-",
IF(
ROUND(K187,8)=
ROUND(SUMIFS(Calc_TUV_ENVGroup_2[Powercor],Calc_TUV_ENVGroup_2[[Cost item]:[Cost item]],$D223,Calc_TUV_ENVGroup_2[[Cost element]:[Cost element]],$G223)*(TU_ENV_CostMths/TU_ENV_RateMths),8),
0,1))</f>
        <v>0</v>
      </c>
      <c r="L223" s="79">
        <f>IF(L187="-","-",
IF(
ROUND(L187,8)=
ROUND(SUMIFS(Calc_TUV_ENVGroup_2[United Energy],Calc_TUV_ENVGroup_2[[Cost item]:[Cost item]],$D223,Calc_TUV_ENVGroup_2[[Cost element]:[Cost element]],$G223)*(TU_ENV_CostMths/TU_ENV_RateMths),8),
0,1))</f>
        <v>0</v>
      </c>
    </row>
    <row r="224" spans="3:12" ht="15.75" outlineLevel="1" x14ac:dyDescent="0.25">
      <c r="C224" s="48" t="s">
        <v>166</v>
      </c>
      <c r="D224" s="48" t="s">
        <v>364</v>
      </c>
      <c r="E224" s="48" t="s">
        <v>218</v>
      </c>
      <c r="F224" s="48" t="s">
        <v>31</v>
      </c>
      <c r="G224" s="48" t="s">
        <v>87</v>
      </c>
      <c r="H224" s="79">
        <f>IF(H188="-","-",
IF(
ROUND(H188,8)=
ROUND(SUMIFS(Calc_TUV_ENVGroup_2[Ausnet],Calc_TUV_ENVGroup_2[Cost item],$D224,Calc_TUV_ENVGroup_2[Cost element],$G224)*(TU_ENV_CostMths/TU_ENV_RateMths),8),
0,1))</f>
        <v>0</v>
      </c>
      <c r="I224" s="79">
        <f>IF(I188="-","-",
IF(
ROUND(I188,8)=
ROUND(SUMIFS(Calc_TUV_ENVGroup_2[Citipower],Calc_TUV_ENVGroup_2[[Cost item]:[Cost item]],$D224,Calc_TUV_ENVGroup_2[[Cost element]:[Cost element]],$G224)*(TU_ENV_CostMths/TU_ENV_RateMths),8),
0,1))</f>
        <v>0</v>
      </c>
      <c r="J224" s="79">
        <f>IF(J188="-","-",
IF(
ROUND(J188,8)=
ROUND(SUMIFS(Calc_TUV_ENVGroup_2[Jemena],Calc_TUV_ENVGroup_2[[Cost item]:[Cost item]],$D224,Calc_TUV_ENVGroup_2[[Cost element]:[Cost element]],$G224)*(TU_ENV_CostMths/TU_ENV_RateMths),8),
0,1))</f>
        <v>0</v>
      </c>
      <c r="K224" s="79">
        <f>IF(K188="-","-",
IF(
ROUND(K188,8)=
ROUND(SUMIFS(Calc_TUV_ENVGroup_2[Powercor],Calc_TUV_ENVGroup_2[[Cost item]:[Cost item]],$D224,Calc_TUV_ENVGroup_2[[Cost element]:[Cost element]],$G224)*(TU_ENV_CostMths/TU_ENV_RateMths),8),
0,1))</f>
        <v>0</v>
      </c>
      <c r="L224" s="79">
        <f>IF(L188="-","-",
IF(
ROUND(L188,8)=
ROUND(SUMIFS(Calc_TUV_ENVGroup_2[United Energy],Calc_TUV_ENVGroup_2[[Cost item]:[Cost item]],$D224,Calc_TUV_ENVGroup_2[[Cost element]:[Cost element]],$G224)*(TU_ENV_CostMths/TU_ENV_RateMths),8),
0,1))</f>
        <v>0</v>
      </c>
    </row>
    <row r="225" spans="3:12" ht="15.75" outlineLevel="1" x14ac:dyDescent="0.25">
      <c r="C225" s="48" t="s">
        <v>166</v>
      </c>
      <c r="D225" s="48" t="s">
        <v>364</v>
      </c>
      <c r="E225" s="48" t="s">
        <v>218</v>
      </c>
      <c r="F225" s="48" t="s">
        <v>32</v>
      </c>
      <c r="G225" s="48" t="s">
        <v>87</v>
      </c>
      <c r="H225" s="79">
        <f>IF(H189="-","-",
IF(
ROUND(H189,8)=
ROUND(SUMIFS(Calc_TUV_ENVGroup_2[Ausnet],Calc_TUV_ENVGroup_2[Cost item],$D225,Calc_TUV_ENVGroup_2[Cost element],$G225)*(TU_ENV_CostMths/TU_ENV_RateMths),8),
0,1))</f>
        <v>0</v>
      </c>
      <c r="I225" s="79">
        <f>IF(I189="-","-",
IF(
ROUND(I189,8)=
ROUND(SUMIFS(Calc_TUV_ENVGroup_2[Citipower],Calc_TUV_ENVGroup_2[[Cost item]:[Cost item]],$D225,Calc_TUV_ENVGroup_2[[Cost element]:[Cost element]],$G225)*(TU_ENV_CostMths/TU_ENV_RateMths),8),
0,1))</f>
        <v>0</v>
      </c>
      <c r="J225" s="79">
        <f>IF(J189="-","-",
IF(
ROUND(J189,8)=
ROUND(SUMIFS(Calc_TUV_ENVGroup_2[Jemena],Calc_TUV_ENVGroup_2[[Cost item]:[Cost item]],$D225,Calc_TUV_ENVGroup_2[[Cost element]:[Cost element]],$G225)*(TU_ENV_CostMths/TU_ENV_RateMths),8),
0,1))</f>
        <v>0</v>
      </c>
      <c r="K225" s="79">
        <f>IF(K189="-","-",
IF(
ROUND(K189,8)=
ROUND(SUMIFS(Calc_TUV_ENVGroup_2[Powercor],Calc_TUV_ENVGroup_2[[Cost item]:[Cost item]],$D225,Calc_TUV_ENVGroup_2[[Cost element]:[Cost element]],$G225)*(TU_ENV_CostMths/TU_ENV_RateMths),8),
0,1))</f>
        <v>0</v>
      </c>
      <c r="L225" s="79">
        <f>IF(L189="-","-",
IF(
ROUND(L189,8)=
ROUND(SUMIFS(Calc_TUV_ENVGroup_2[United Energy],Calc_TUV_ENVGroup_2[[Cost item]:[Cost item]],$D225,Calc_TUV_ENVGroup_2[[Cost element]:[Cost element]],$G225)*(TU_ENV_CostMths/TU_ENV_RateMths),8),
0,1))</f>
        <v>0</v>
      </c>
    </row>
    <row r="226" spans="3:12" ht="15.75" outlineLevel="1" x14ac:dyDescent="0.25">
      <c r="C226" s="48" t="s">
        <v>370</v>
      </c>
      <c r="D226" s="48" t="s">
        <v>364</v>
      </c>
      <c r="E226" s="48" t="s">
        <v>218</v>
      </c>
      <c r="F226" s="48" t="s">
        <v>31</v>
      </c>
      <c r="G226" s="48" t="s">
        <v>87</v>
      </c>
      <c r="H226" s="79">
        <f>IF(H190="-","-",
IF(
ROUND(H190,8)=
ROUND(SUMIFS(Calc_TUV_ENVGroup_2[Ausnet],Calc_TUV_ENVGroup_2[Cost item],$D226,Calc_TUV_ENVGroup_2[Cost element],$G226)*(TU_ENV_CostMths/TU_ENV_RateMths),8),
0,1))</f>
        <v>0</v>
      </c>
      <c r="I226" s="79">
        <f>IF(I190="-","-",
IF(
ROUND(I190,8)=
ROUND(SUMIFS(Calc_TUV_ENVGroup_2[Citipower],Calc_TUV_ENVGroup_2[[Cost item]:[Cost item]],$D226,Calc_TUV_ENVGroup_2[[Cost element]:[Cost element]],$G226)*(TU_ENV_CostMths/TU_ENV_RateMths),8),
0,1))</f>
        <v>0</v>
      </c>
      <c r="J226" s="79">
        <f>IF(J190="-","-",
IF(
ROUND(J190,8)=
ROUND(SUMIFS(Calc_TUV_ENVGroup_2[Jemena],Calc_TUV_ENVGroup_2[[Cost item]:[Cost item]],$D226,Calc_TUV_ENVGroup_2[[Cost element]:[Cost element]],$G226)*(TU_ENV_CostMths/TU_ENV_RateMths),8),
0,1))</f>
        <v>0</v>
      </c>
      <c r="K226" s="79">
        <f>IF(K190="-","-",
IF(
ROUND(K190,8)=
ROUND(SUMIFS(Calc_TUV_ENVGroup_2[Powercor],Calc_TUV_ENVGroup_2[[Cost item]:[Cost item]],$D226,Calc_TUV_ENVGroup_2[[Cost element]:[Cost element]],$G226)*(TU_ENV_CostMths/TU_ENV_RateMths),8),
0,1))</f>
        <v>0</v>
      </c>
      <c r="L226" s="79">
        <f>IF(L190="-","-",
IF(
ROUND(L190,8)=
ROUND(SUMIFS(Calc_TUV_ENVGroup_2[United Energy],Calc_TUV_ENVGroup_2[[Cost item]:[Cost item]],$D226,Calc_TUV_ENVGroup_2[[Cost element]:[Cost element]],$G226)*(TU_ENV_CostMths/TU_ENV_RateMths),8),
0,1))</f>
        <v>0</v>
      </c>
    </row>
    <row r="227" spans="3:12" ht="15.75" outlineLevel="1" x14ac:dyDescent="0.25">
      <c r="C227" s="48" t="s">
        <v>370</v>
      </c>
      <c r="D227" s="48" t="s">
        <v>364</v>
      </c>
      <c r="E227" s="48" t="s">
        <v>218</v>
      </c>
      <c r="F227" s="48" t="s">
        <v>32</v>
      </c>
      <c r="G227" s="48" t="s">
        <v>87</v>
      </c>
      <c r="H227" s="79">
        <f>IF(H191="-","-",
IF(
ROUND(H191,8)=
ROUND(SUMIFS(Calc_TUV_ENVGroup_2[Ausnet],Calc_TUV_ENVGroup_2[Cost item],$D227,Calc_TUV_ENVGroup_2[Cost element],$G227)*(TU_ENV_CostMths/TU_ENV_RateMths),8),
0,1))</f>
        <v>0</v>
      </c>
      <c r="I227" s="79">
        <f>IF(I191="-","-",
IF(
ROUND(I191,8)=
ROUND(SUMIFS(Calc_TUV_ENVGroup_2[Citipower],Calc_TUV_ENVGroup_2[[Cost item]:[Cost item]],$D227,Calc_TUV_ENVGroup_2[[Cost element]:[Cost element]],$G227)*(TU_ENV_CostMths/TU_ENV_RateMths),8),
0,1))</f>
        <v>0</v>
      </c>
      <c r="J227" s="79">
        <f>IF(J191="-","-",
IF(
ROUND(J191,8)=
ROUND(SUMIFS(Calc_TUV_ENVGroup_2[Jemena],Calc_TUV_ENVGroup_2[[Cost item]:[Cost item]],$D227,Calc_TUV_ENVGroup_2[[Cost element]:[Cost element]],$G227)*(TU_ENV_CostMths/TU_ENV_RateMths),8),
0,1))</f>
        <v>0</v>
      </c>
      <c r="K227" s="79">
        <f>IF(K191="-","-",
IF(
ROUND(K191,8)=
ROUND(SUMIFS(Calc_TUV_ENVGroup_2[Powercor],Calc_TUV_ENVGroup_2[[Cost item]:[Cost item]],$D227,Calc_TUV_ENVGroup_2[[Cost element]:[Cost element]],$G227)*(TU_ENV_CostMths/TU_ENV_RateMths),8),
0,1))</f>
        <v>0</v>
      </c>
      <c r="L227" s="79">
        <f>IF(L191="-","-",
IF(
ROUND(L191,8)=
ROUND(SUMIFS(Calc_TUV_ENVGroup_2[United Energy],Calc_TUV_ENVGroup_2[[Cost item]:[Cost item]],$D227,Calc_TUV_ENVGroup_2[[Cost element]:[Cost element]],$G227)*(TU_ENV_CostMths/TU_ENV_RateMths),8),
0,1))</f>
        <v>0</v>
      </c>
    </row>
    <row r="228" spans="3:12" ht="15.75" outlineLevel="1" x14ac:dyDescent="0.25">
      <c r="C228" s="48" t="s">
        <v>338</v>
      </c>
      <c r="D228" s="48" t="s">
        <v>365</v>
      </c>
      <c r="E228" s="48" t="s">
        <v>218</v>
      </c>
      <c r="F228" s="48" t="s">
        <v>31</v>
      </c>
      <c r="G228" s="48" t="s">
        <v>87</v>
      </c>
      <c r="H228" s="79" t="str">
        <f>IF(H192="-","-",
IF(
ROUND(H192,8)=
ROUND(SUMIFS(Calc_TUV_ENVGroup_2[Ausnet],Calc_TUV_ENVGroup_2[Cost item],$D228,Calc_TUV_ENVGroup_2[Cost element],$G228)*(TU_ENV_CostMths/TU_ENV_RateMths),8),
0,1))</f>
        <v>-</v>
      </c>
      <c r="I228" s="79">
        <f>IF(I192="-","-",
IF(
ROUND(I192,8)=
ROUND(SUMIFS(Calc_TUV_ENVGroup_2[Citipower],Calc_TUV_ENVGroup_2[[Cost item]:[Cost item]],$D228,Calc_TUV_ENVGroup_2[[Cost element]:[Cost element]],$G228)*(TU_ENV_CostMths/TU_ENV_RateMths),8),
0,1))</f>
        <v>0</v>
      </c>
      <c r="J228" s="79">
        <f>IF(J192="-","-",
IF(
ROUND(J192,8)=
ROUND(SUMIFS(Calc_TUV_ENVGroup_2[Jemena],Calc_TUV_ENVGroup_2[[Cost item]:[Cost item]],$D228,Calc_TUV_ENVGroup_2[[Cost element]:[Cost element]],$G228)*(TU_ENV_CostMths/TU_ENV_RateMths),8),
0,1))</f>
        <v>0</v>
      </c>
      <c r="K228" s="79">
        <f>IF(K192="-","-",
IF(
ROUND(K192,8)=
ROUND(SUMIFS(Calc_TUV_ENVGroup_2[Powercor],Calc_TUV_ENVGroup_2[[Cost item]:[Cost item]],$D228,Calc_TUV_ENVGroup_2[[Cost element]:[Cost element]],$G228)*(TU_ENV_CostMths/TU_ENV_RateMths),8),
0,1))</f>
        <v>0</v>
      </c>
      <c r="L228" s="79">
        <f>IF(L192="-","-",
IF(
ROUND(L192,8)=
ROUND(SUMIFS(Calc_TUV_ENVGroup_2[United Energy],Calc_TUV_ENVGroup_2[[Cost item]:[Cost item]],$D228,Calc_TUV_ENVGroup_2[[Cost element]:[Cost element]],$G228)*(TU_ENV_CostMths/TU_ENV_RateMths),8),
0,1))</f>
        <v>0</v>
      </c>
    </row>
    <row r="229" spans="3:12" ht="15.75" outlineLevel="1" x14ac:dyDescent="0.25">
      <c r="C229" s="48" t="s">
        <v>338</v>
      </c>
      <c r="D229" s="48" t="s">
        <v>365</v>
      </c>
      <c r="E229" s="48" t="s">
        <v>218</v>
      </c>
      <c r="F229" s="48" t="s">
        <v>32</v>
      </c>
      <c r="G229" s="48" t="s">
        <v>87</v>
      </c>
      <c r="H229" s="79" t="str">
        <f>IF(H193="-","-",
IF(
ROUND(H193,8)=
ROUND(SUMIFS(Calc_TUV_ENVGroup_2[Ausnet],Calc_TUV_ENVGroup_2[Cost item],$D229,Calc_TUV_ENVGroup_2[Cost element],$G229)*(TU_ENV_CostMths/TU_ENV_RateMths),8),
0,1))</f>
        <v>-</v>
      </c>
      <c r="I229" s="79">
        <f>IF(I193="-","-",
IF(
ROUND(I193,8)=
ROUND(SUMIFS(Calc_TUV_ENVGroup_2[Citipower],Calc_TUV_ENVGroup_2[[Cost item]:[Cost item]],$D229,Calc_TUV_ENVGroup_2[[Cost element]:[Cost element]],$G229)*(TU_ENV_CostMths/TU_ENV_RateMths),8),
0,1))</f>
        <v>0</v>
      </c>
      <c r="J229" s="79">
        <f>IF(J193="-","-",
IF(
ROUND(J193,8)=
ROUND(SUMIFS(Calc_TUV_ENVGroup_2[Jemena],Calc_TUV_ENVGroup_2[[Cost item]:[Cost item]],$D229,Calc_TUV_ENVGroup_2[[Cost element]:[Cost element]],$G229)*(TU_ENV_CostMths/TU_ENV_RateMths),8),
0,1))</f>
        <v>0</v>
      </c>
      <c r="K229" s="79">
        <f>IF(K193="-","-",
IF(
ROUND(K193,8)=
ROUND(SUMIFS(Calc_TUV_ENVGroup_2[Powercor],Calc_TUV_ENVGroup_2[[Cost item]:[Cost item]],$D229,Calc_TUV_ENVGroup_2[[Cost element]:[Cost element]],$G229)*(TU_ENV_CostMths/TU_ENV_RateMths),8),
0,1))</f>
        <v>0</v>
      </c>
      <c r="L229" s="79">
        <f>IF(L193="-","-",
IF(
ROUND(L193,8)=
ROUND(SUMIFS(Calc_TUV_ENVGroup_2[United Energy],Calc_TUV_ENVGroup_2[[Cost item]:[Cost item]],$D229,Calc_TUV_ENVGroup_2[[Cost element]:[Cost element]],$G229)*(TU_ENV_CostMths/TU_ENV_RateMths),8),
0,1))</f>
        <v>0</v>
      </c>
    </row>
    <row r="230" spans="3:12" ht="15.75" outlineLevel="1" x14ac:dyDescent="0.25">
      <c r="C230" s="48" t="s">
        <v>157</v>
      </c>
      <c r="D230" s="48" t="s">
        <v>365</v>
      </c>
      <c r="E230" s="48" t="s">
        <v>218</v>
      </c>
      <c r="F230" s="48" t="s">
        <v>31</v>
      </c>
      <c r="G230" s="48" t="s">
        <v>87</v>
      </c>
      <c r="H230" s="79">
        <f>IF(H194="-","-",
IF(
ROUND(H194,8)=
ROUND(SUMIFS(Calc_TUV_ENVGroup_2[Ausnet],Calc_TUV_ENVGroup_2[Cost item],$D230,Calc_TUV_ENVGroup_2[Cost element],$G230)*(TU_ENV_CostMths/TU_ENV_RateMths),8),
0,1))</f>
        <v>0</v>
      </c>
      <c r="I230" s="79" t="str">
        <f>IF(I194="-","-",
IF(
ROUND(I194,8)=
ROUND(SUMIFS(Calc_TUV_ENVGroup_2[Citipower],Calc_TUV_ENVGroup_2[[Cost item]:[Cost item]],$D230,Calc_TUV_ENVGroup_2[[Cost element]:[Cost element]],$G230)*(TU_ENV_CostMths/TU_ENV_RateMths),8),
0,1))</f>
        <v>-</v>
      </c>
      <c r="J230" s="79" t="str">
        <f>IF(J194="-","-",
IF(
ROUND(J194,8)=
ROUND(SUMIFS(Calc_TUV_ENVGroup_2[Jemena],Calc_TUV_ENVGroup_2[[Cost item]:[Cost item]],$D230,Calc_TUV_ENVGroup_2[[Cost element]:[Cost element]],$G230)*(TU_ENV_CostMths/TU_ENV_RateMths),8),
0,1))</f>
        <v>-</v>
      </c>
      <c r="K230" s="79" t="str">
        <f>IF(K194="-","-",
IF(
ROUND(K194,8)=
ROUND(SUMIFS(Calc_TUV_ENVGroup_2[Powercor],Calc_TUV_ENVGroup_2[[Cost item]:[Cost item]],$D230,Calc_TUV_ENVGroup_2[[Cost element]:[Cost element]],$G230)*(TU_ENV_CostMths/TU_ENV_RateMths),8),
0,1))</f>
        <v>-</v>
      </c>
      <c r="L230" s="79" t="str">
        <f>IF(L194="-","-",
IF(
ROUND(L194,8)=
ROUND(SUMIFS(Calc_TUV_ENVGroup_2[United Energy],Calc_TUV_ENVGroup_2[[Cost item]:[Cost item]],$D230,Calc_TUV_ENVGroup_2[[Cost element]:[Cost element]],$G230)*(TU_ENV_CostMths/TU_ENV_RateMths),8),
0,1))</f>
        <v>-</v>
      </c>
    </row>
    <row r="231" spans="3:12" ht="15.75" outlineLevel="1" x14ac:dyDescent="0.25">
      <c r="C231" s="48" t="s">
        <v>157</v>
      </c>
      <c r="D231" s="48" t="s">
        <v>365</v>
      </c>
      <c r="E231" s="48" t="s">
        <v>218</v>
      </c>
      <c r="F231" s="48" t="s">
        <v>32</v>
      </c>
      <c r="G231" s="48" t="s">
        <v>87</v>
      </c>
      <c r="H231" s="79">
        <f>IF(H195="-","-",
IF(
ROUND(H195,8)=
ROUND(SUMIFS(Calc_TUV_ENVGroup_2[Ausnet],Calc_TUV_ENVGroup_2[Cost item],$D231,Calc_TUV_ENVGroup_2[Cost element],$G231)*(TU_ENV_CostMths/TU_ENV_RateMths),8),
0,1))</f>
        <v>0</v>
      </c>
      <c r="I231" s="79" t="str">
        <f>IF(I195="-","-",
IF(
ROUND(I195,8)=
ROUND(SUMIFS(Calc_TUV_ENVGroup_2[Citipower],Calc_TUV_ENVGroup_2[[Cost item]:[Cost item]],$D231,Calc_TUV_ENVGroup_2[[Cost element]:[Cost element]],$G231)*(TU_ENV_CostMths/TU_ENV_RateMths),8),
0,1))</f>
        <v>-</v>
      </c>
      <c r="J231" s="79" t="str">
        <f>IF(J195="-","-",
IF(
ROUND(J195,8)=
ROUND(SUMIFS(Calc_TUV_ENVGroup_2[Jemena],Calc_TUV_ENVGroup_2[[Cost item]:[Cost item]],$D231,Calc_TUV_ENVGroup_2[[Cost element]:[Cost element]],$G231)*(TU_ENV_CostMths/TU_ENV_RateMths),8),
0,1))</f>
        <v>-</v>
      </c>
      <c r="K231" s="79" t="str">
        <f>IF(K195="-","-",
IF(
ROUND(K195,8)=
ROUND(SUMIFS(Calc_TUV_ENVGroup_2[Powercor],Calc_TUV_ENVGroup_2[[Cost item]:[Cost item]],$D231,Calc_TUV_ENVGroup_2[[Cost element]:[Cost element]],$G231)*(TU_ENV_CostMths/TU_ENV_RateMths),8),
0,1))</f>
        <v>-</v>
      </c>
      <c r="L231" s="79" t="str">
        <f>IF(L195="-","-",
IF(
ROUND(L195,8)=
ROUND(SUMIFS(Calc_TUV_ENVGroup_2[United Energy],Calc_TUV_ENVGroup_2[[Cost item]:[Cost item]],$D231,Calc_TUV_ENVGroup_2[[Cost element]:[Cost element]],$G231)*(TU_ENV_CostMths/TU_ENV_RateMths),8),
0,1))</f>
        <v>-</v>
      </c>
    </row>
    <row r="232" spans="3:12" ht="15.75" outlineLevel="1" x14ac:dyDescent="0.25">
      <c r="C232" s="48" t="s">
        <v>223</v>
      </c>
      <c r="D232" s="48" t="s">
        <v>365</v>
      </c>
      <c r="E232" s="48" t="s">
        <v>218</v>
      </c>
      <c r="F232" s="48" t="s">
        <v>31</v>
      </c>
      <c r="G232" s="48" t="s">
        <v>87</v>
      </c>
      <c r="H232" s="79">
        <f>IF(H196="-","-",
IF(
ROUND(H196,8)=
ROUND(SUMIFS(Calc_TUV_ENVGroup_2[Ausnet],Calc_TUV_ENVGroup_2[Cost item],$D232,Calc_TUV_ENVGroup_2[Cost element],$G232)*(TU_ENV_CostMths/TU_ENV_RateMths),8),
0,1))</f>
        <v>0</v>
      </c>
      <c r="I232" s="79">
        <f>IF(I196="-","-",
IF(
ROUND(I196,8)=
ROUND(SUMIFS(Calc_TUV_ENVGroup_2[Citipower],Calc_TUV_ENVGroup_2[[Cost item]:[Cost item]],$D232,Calc_TUV_ENVGroup_2[[Cost element]:[Cost element]],$G232)*(TU_ENV_CostMths/TU_ENV_RateMths),8),
0,1))</f>
        <v>0</v>
      </c>
      <c r="J232" s="79">
        <f>IF(J196="-","-",
IF(
ROUND(J196,8)=
ROUND(SUMIFS(Calc_TUV_ENVGroup_2[Jemena],Calc_TUV_ENVGroup_2[[Cost item]:[Cost item]],$D232,Calc_TUV_ENVGroup_2[[Cost element]:[Cost element]],$G232)*(TU_ENV_CostMths/TU_ENV_RateMths),8),
0,1))</f>
        <v>0</v>
      </c>
      <c r="K232" s="79">
        <f>IF(K196="-","-",
IF(
ROUND(K196,8)=
ROUND(SUMIFS(Calc_TUV_ENVGroup_2[Powercor],Calc_TUV_ENVGroup_2[[Cost item]:[Cost item]],$D232,Calc_TUV_ENVGroup_2[[Cost element]:[Cost element]],$G232)*(TU_ENV_CostMths/TU_ENV_RateMths),8),
0,1))</f>
        <v>0</v>
      </c>
      <c r="L232" s="79">
        <f>IF(L196="-","-",
IF(
ROUND(L196,8)=
ROUND(SUMIFS(Calc_TUV_ENVGroup_2[United Energy],Calc_TUV_ENVGroup_2[[Cost item]:[Cost item]],$D232,Calc_TUV_ENVGroup_2[[Cost element]:[Cost element]],$G232)*(TU_ENV_CostMths/TU_ENV_RateMths),8),
0,1))</f>
        <v>0</v>
      </c>
    </row>
    <row r="233" spans="3:12" ht="15.75" outlineLevel="1" x14ac:dyDescent="0.25">
      <c r="C233" s="48" t="s">
        <v>164</v>
      </c>
      <c r="D233" s="48" t="s">
        <v>365</v>
      </c>
      <c r="E233" s="48" t="s">
        <v>218</v>
      </c>
      <c r="F233" s="48" t="s">
        <v>31</v>
      </c>
      <c r="G233" s="48" t="s">
        <v>87</v>
      </c>
      <c r="H233" s="79">
        <f>IF(H197="-","-",
IF(
ROUND(H197,8)=
ROUND(SUMIFS(Calc_TUV_ENVGroup_2[Ausnet],Calc_TUV_ENVGroup_2[Cost item],$D233,Calc_TUV_ENVGroup_2[Cost element],$G233)*(TU_ENV_CostMths/TU_ENV_RateMths),8),
0,1))</f>
        <v>0</v>
      </c>
      <c r="I233" s="79" t="str">
        <f>IF(I197="-","-",
IF(
ROUND(I197,8)=
ROUND(SUMIFS(Calc_TUV_ENVGroup_2[Citipower],Calc_TUV_ENVGroup_2[[Cost item]:[Cost item]],$D233,Calc_TUV_ENVGroup_2[[Cost element]:[Cost element]],$G233)*(TU_ENV_CostMths/TU_ENV_RateMths),8),
0,1))</f>
        <v>-</v>
      </c>
      <c r="J233" s="79" t="str">
        <f>IF(J197="-","-",
IF(
ROUND(J197,8)=
ROUND(SUMIFS(Calc_TUV_ENVGroup_2[Jemena],Calc_TUV_ENVGroup_2[[Cost item]:[Cost item]],$D233,Calc_TUV_ENVGroup_2[[Cost element]:[Cost element]],$G233)*(TU_ENV_CostMths/TU_ENV_RateMths),8),
0,1))</f>
        <v>-</v>
      </c>
      <c r="K233" s="79" t="str">
        <f>IF(K197="-","-",
IF(
ROUND(K197,8)=
ROUND(SUMIFS(Calc_TUV_ENVGroup_2[Powercor],Calc_TUV_ENVGroup_2[[Cost item]:[Cost item]],$D233,Calc_TUV_ENVGroup_2[[Cost element]:[Cost element]],$G233)*(TU_ENV_CostMths/TU_ENV_RateMths),8),
0,1))</f>
        <v>-</v>
      </c>
      <c r="L233" s="79" t="str">
        <f>IF(L197="-","-",
IF(
ROUND(L197,8)=
ROUND(SUMIFS(Calc_TUV_ENVGroup_2[United Energy],Calc_TUV_ENVGroup_2[[Cost item]:[Cost item]],$D233,Calc_TUV_ENVGroup_2[[Cost element]:[Cost element]],$G233)*(TU_ENV_CostMths/TU_ENV_RateMths),8),
0,1))</f>
        <v>-</v>
      </c>
    </row>
    <row r="234" spans="3:12" ht="15.75" outlineLevel="1" x14ac:dyDescent="0.25">
      <c r="C234" s="48" t="s">
        <v>164</v>
      </c>
      <c r="D234" s="48" t="s">
        <v>365</v>
      </c>
      <c r="E234" s="48" t="s">
        <v>218</v>
      </c>
      <c r="F234" s="48" t="s">
        <v>32</v>
      </c>
      <c r="G234" s="48" t="s">
        <v>87</v>
      </c>
      <c r="H234" s="79">
        <f>IF(H198="-","-",
IF(
ROUND(H198,8)=
ROUND(SUMIFS(Calc_TUV_ENVGroup_2[Ausnet],Calc_TUV_ENVGroup_2[Cost item],$D234,Calc_TUV_ENVGroup_2[Cost element],$G234)*(TU_ENV_CostMths/TU_ENV_RateMths),8),
0,1))</f>
        <v>0</v>
      </c>
      <c r="I234" s="79" t="str">
        <f>IF(I198="-","-",
IF(
ROUND(I198,8)=
ROUND(SUMIFS(Calc_TUV_ENVGroup_2[Citipower],Calc_TUV_ENVGroup_2[[Cost item]:[Cost item]],$D234,Calc_TUV_ENVGroup_2[[Cost element]:[Cost element]],$G234)*(TU_ENV_CostMths/TU_ENV_RateMths),8),
0,1))</f>
        <v>-</v>
      </c>
      <c r="J234" s="79" t="str">
        <f>IF(J198="-","-",
IF(
ROUND(J198,8)=
ROUND(SUMIFS(Calc_TUV_ENVGroup_2[Jemena],Calc_TUV_ENVGroup_2[[Cost item]:[Cost item]],$D234,Calc_TUV_ENVGroup_2[[Cost element]:[Cost element]],$G234)*(TU_ENV_CostMths/TU_ENV_RateMths),8),
0,1))</f>
        <v>-</v>
      </c>
      <c r="K234" s="79" t="str">
        <f>IF(K198="-","-",
IF(
ROUND(K198,8)=
ROUND(SUMIFS(Calc_TUV_ENVGroup_2[Powercor],Calc_TUV_ENVGroup_2[[Cost item]:[Cost item]],$D234,Calc_TUV_ENVGroup_2[[Cost element]:[Cost element]],$G234)*(TU_ENV_CostMths/TU_ENV_RateMths),8),
0,1))</f>
        <v>-</v>
      </c>
      <c r="L234" s="79" t="str">
        <f>IF(L198="-","-",
IF(
ROUND(L198,8)=
ROUND(SUMIFS(Calc_TUV_ENVGroup_2[United Energy],Calc_TUV_ENVGroup_2[[Cost item]:[Cost item]],$D234,Calc_TUV_ENVGroup_2[[Cost element]:[Cost element]],$G234)*(TU_ENV_CostMths/TU_ENV_RateMths),8),
0,1))</f>
        <v>-</v>
      </c>
    </row>
    <row r="235" spans="3:12" ht="15.75" outlineLevel="1" x14ac:dyDescent="0.25">
      <c r="C235" s="48" t="s">
        <v>166</v>
      </c>
      <c r="D235" s="48" t="s">
        <v>365</v>
      </c>
      <c r="E235" s="48" t="s">
        <v>218</v>
      </c>
      <c r="F235" s="48" t="s">
        <v>31</v>
      </c>
      <c r="G235" s="48" t="s">
        <v>87</v>
      </c>
      <c r="H235" s="79">
        <f>IF(H199="-","-",
IF(
ROUND(H199,8)=
ROUND(SUMIFS(Calc_TUV_ENVGroup_2[Ausnet],Calc_TUV_ENVGroup_2[Cost item],$D235,Calc_TUV_ENVGroup_2[Cost element],$G235)*(TU_ENV_CostMths/TU_ENV_RateMths),8),
0,1))</f>
        <v>0</v>
      </c>
      <c r="I235" s="79">
        <f>IF(I199="-","-",
IF(
ROUND(I199,8)=
ROUND(SUMIFS(Calc_TUV_ENVGroup_2[Citipower],Calc_TUV_ENVGroup_2[[Cost item]:[Cost item]],$D235,Calc_TUV_ENVGroup_2[[Cost element]:[Cost element]],$G235)*(TU_ENV_CostMths/TU_ENV_RateMths),8),
0,1))</f>
        <v>0</v>
      </c>
      <c r="J235" s="79">
        <f>IF(J199="-","-",
IF(
ROUND(J199,8)=
ROUND(SUMIFS(Calc_TUV_ENVGroup_2[Jemena],Calc_TUV_ENVGroup_2[[Cost item]:[Cost item]],$D235,Calc_TUV_ENVGroup_2[[Cost element]:[Cost element]],$G235)*(TU_ENV_CostMths/TU_ENV_RateMths),8),
0,1))</f>
        <v>0</v>
      </c>
      <c r="K235" s="79">
        <f>IF(K199="-","-",
IF(
ROUND(K199,8)=
ROUND(SUMIFS(Calc_TUV_ENVGroup_2[Powercor],Calc_TUV_ENVGroup_2[[Cost item]:[Cost item]],$D235,Calc_TUV_ENVGroup_2[[Cost element]:[Cost element]],$G235)*(TU_ENV_CostMths/TU_ENV_RateMths),8),
0,1))</f>
        <v>0</v>
      </c>
      <c r="L235" s="79">
        <f>IF(L199="-","-",
IF(
ROUND(L199,8)=
ROUND(SUMIFS(Calc_TUV_ENVGroup_2[United Energy],Calc_TUV_ENVGroup_2[[Cost item]:[Cost item]],$D235,Calc_TUV_ENVGroup_2[[Cost element]:[Cost element]],$G235)*(TU_ENV_CostMths/TU_ENV_RateMths),8),
0,1))</f>
        <v>0</v>
      </c>
    </row>
    <row r="236" spans="3:12" ht="15.75" outlineLevel="1" x14ac:dyDescent="0.25">
      <c r="C236" s="48" t="s">
        <v>166</v>
      </c>
      <c r="D236" s="48" t="s">
        <v>365</v>
      </c>
      <c r="E236" s="48" t="s">
        <v>218</v>
      </c>
      <c r="F236" s="48" t="s">
        <v>32</v>
      </c>
      <c r="G236" s="48" t="s">
        <v>87</v>
      </c>
      <c r="H236" s="79">
        <f>IF(H200="-","-",
IF(
ROUND(H200,8)=
ROUND(SUMIFS(Calc_TUV_ENVGroup_2[Ausnet],Calc_TUV_ENVGroup_2[Cost item],$D236,Calc_TUV_ENVGroup_2[Cost element],$G236)*(TU_ENV_CostMths/TU_ENV_RateMths),8),
0,1))</f>
        <v>0</v>
      </c>
      <c r="I236" s="79">
        <f>IF(I200="-","-",
IF(
ROUND(I200,8)=
ROUND(SUMIFS(Calc_TUV_ENVGroup_2[Citipower],Calc_TUV_ENVGroup_2[[Cost item]:[Cost item]],$D236,Calc_TUV_ENVGroup_2[[Cost element]:[Cost element]],$G236)*(TU_ENV_CostMths/TU_ENV_RateMths),8),
0,1))</f>
        <v>0</v>
      </c>
      <c r="J236" s="79">
        <f>IF(J200="-","-",
IF(
ROUND(J200,8)=
ROUND(SUMIFS(Calc_TUV_ENVGroup_2[Jemena],Calc_TUV_ENVGroup_2[[Cost item]:[Cost item]],$D236,Calc_TUV_ENVGroup_2[[Cost element]:[Cost element]],$G236)*(TU_ENV_CostMths/TU_ENV_RateMths),8),
0,1))</f>
        <v>0</v>
      </c>
      <c r="K236" s="79">
        <f>IF(K200="-","-",
IF(
ROUND(K200,8)=
ROUND(SUMIFS(Calc_TUV_ENVGroup_2[Powercor],Calc_TUV_ENVGroup_2[[Cost item]:[Cost item]],$D236,Calc_TUV_ENVGroup_2[[Cost element]:[Cost element]],$G236)*(TU_ENV_CostMths/TU_ENV_RateMths),8),
0,1))</f>
        <v>0</v>
      </c>
      <c r="L236" s="79">
        <f>IF(L200="-","-",
IF(
ROUND(L200,8)=
ROUND(SUMIFS(Calc_TUV_ENVGroup_2[United Energy],Calc_TUV_ENVGroup_2[[Cost item]:[Cost item]],$D236,Calc_TUV_ENVGroup_2[[Cost element]:[Cost element]],$G236)*(TU_ENV_CostMths/TU_ENV_RateMths),8),
0,1))</f>
        <v>0</v>
      </c>
    </row>
    <row r="237" spans="3:12" ht="15.75" outlineLevel="1" x14ac:dyDescent="0.25">
      <c r="C237" s="48" t="s">
        <v>370</v>
      </c>
      <c r="D237" s="48" t="s">
        <v>365</v>
      </c>
      <c r="E237" s="48" t="s">
        <v>218</v>
      </c>
      <c r="F237" s="48" t="s">
        <v>31</v>
      </c>
      <c r="G237" s="48" t="s">
        <v>87</v>
      </c>
      <c r="H237" s="79">
        <f>IF(H201="-","-",
IF(
ROUND(H201,8)=
ROUND(SUMIFS(Calc_TUV_ENVGroup_2[Ausnet],Calc_TUV_ENVGroup_2[Cost item],$D237,Calc_TUV_ENVGroup_2[Cost element],$G237)*(TU_ENV_CostMths/TU_ENV_RateMths),8),
0,1))</f>
        <v>0</v>
      </c>
      <c r="I237" s="79">
        <f>IF(I201="-","-",
IF(
ROUND(I201,8)=
ROUND(SUMIFS(Calc_TUV_ENVGroup_2[Citipower],Calc_TUV_ENVGroup_2[[Cost item]:[Cost item]],$D237,Calc_TUV_ENVGroup_2[[Cost element]:[Cost element]],$G237)*(TU_ENV_CostMths/TU_ENV_RateMths),8),
0,1))</f>
        <v>0</v>
      </c>
      <c r="J237" s="79">
        <f>IF(J201="-","-",
IF(
ROUND(J201,8)=
ROUND(SUMIFS(Calc_TUV_ENVGroup_2[Jemena],Calc_TUV_ENVGroup_2[[Cost item]:[Cost item]],$D237,Calc_TUV_ENVGroup_2[[Cost element]:[Cost element]],$G237)*(TU_ENV_CostMths/TU_ENV_RateMths),8),
0,1))</f>
        <v>0</v>
      </c>
      <c r="K237" s="79">
        <f>IF(K201="-","-",
IF(
ROUND(K201,8)=
ROUND(SUMIFS(Calc_TUV_ENVGroup_2[Powercor],Calc_TUV_ENVGroup_2[[Cost item]:[Cost item]],$D237,Calc_TUV_ENVGroup_2[[Cost element]:[Cost element]],$G237)*(TU_ENV_CostMths/TU_ENV_RateMths),8),
0,1))</f>
        <v>0</v>
      </c>
      <c r="L237" s="79">
        <f>IF(L201="-","-",
IF(
ROUND(L201,8)=
ROUND(SUMIFS(Calc_TUV_ENVGroup_2[United Energy],Calc_TUV_ENVGroup_2[[Cost item]:[Cost item]],$D237,Calc_TUV_ENVGroup_2[[Cost element]:[Cost element]],$G237)*(TU_ENV_CostMths/TU_ENV_RateMths),8),
0,1))</f>
        <v>0</v>
      </c>
    </row>
    <row r="238" spans="3:12" ht="15.75" outlineLevel="1" x14ac:dyDescent="0.25">
      <c r="C238" s="48" t="s">
        <v>370</v>
      </c>
      <c r="D238" s="48" t="s">
        <v>365</v>
      </c>
      <c r="E238" s="48" t="s">
        <v>218</v>
      </c>
      <c r="F238" s="48" t="s">
        <v>32</v>
      </c>
      <c r="G238" s="48" t="s">
        <v>87</v>
      </c>
      <c r="H238" s="79">
        <f>IF(H202="-","-",
IF(
ROUND(H202,8)=
ROUND(SUMIFS(Calc_TUV_ENVGroup_2[Ausnet],Calc_TUV_ENVGroup_2[Cost item],$D238,Calc_TUV_ENVGroup_2[Cost element],$G238)*(TU_ENV_CostMths/TU_ENV_RateMths),8),
0,1))</f>
        <v>0</v>
      </c>
      <c r="I238" s="79">
        <f>IF(I202="-","-",
IF(
ROUND(I202,8)=
ROUND(SUMIFS(Calc_TUV_ENVGroup_2[Citipower],Calc_TUV_ENVGroup_2[[Cost item]:[Cost item]],$D238,Calc_TUV_ENVGroup_2[[Cost element]:[Cost element]],$G238)*(TU_ENV_CostMths/TU_ENV_RateMths),8),
0,1))</f>
        <v>0</v>
      </c>
      <c r="J238" s="79">
        <f>IF(J202="-","-",
IF(
ROUND(J202,8)=
ROUND(SUMIFS(Calc_TUV_ENVGroup_2[Jemena],Calc_TUV_ENVGroup_2[[Cost item]:[Cost item]],$D238,Calc_TUV_ENVGroup_2[[Cost element]:[Cost element]],$G238)*(TU_ENV_CostMths/TU_ENV_RateMths),8),
0,1))</f>
        <v>0</v>
      </c>
      <c r="K238" s="79">
        <f>IF(K202="-","-",
IF(
ROUND(K202,8)=
ROUND(SUMIFS(Calc_TUV_ENVGroup_2[Powercor],Calc_TUV_ENVGroup_2[[Cost item]:[Cost item]],$D238,Calc_TUV_ENVGroup_2[[Cost element]:[Cost element]],$G238)*(TU_ENV_CostMths/TU_ENV_RateMths),8),
0,1))</f>
        <v>0</v>
      </c>
      <c r="L238" s="79">
        <f>IF(L202="-","-",
IF(
ROUND(L202,8)=
ROUND(SUMIFS(Calc_TUV_ENVGroup_2[United Energy],Calc_TUV_ENVGroup_2[[Cost item]:[Cost item]],$D238,Calc_TUV_ENVGroup_2[[Cost element]:[Cost element]],$G238)*(TU_ENV_CostMths/TU_ENV_RateMths),8),
0,1))</f>
        <v>0</v>
      </c>
    </row>
  </sheetData>
  <sheetProtection algorithmName="SHA-512" hashValue="hibflrT21TMqyp4QM9j/D+OSymKeDNWM0OcZXB2BZUx8tmCgnr6iUDpiEpDqGBtq19GQTJidQ1DS6/kLYR7Frw==" saltValue="wdoSa8QCgHk1sEBp1LiiSw==" spinCount="100000" sheet="1" objects="1" scenarios="1"/>
  <mergeCells count="1">
    <mergeCell ref="A2:A3"/>
  </mergeCells>
  <phoneticPr fontId="30" type="noConversion"/>
  <dataValidations count="2">
    <dataValidation type="list" allowBlank="1" showInputMessage="1" showErrorMessage="1" sqref="F52:F84 F88:F120 F164:F166 F11:F19 F86 F28:F34 F129:F137 F170:F202 F146:F152 F204 F46:F48 F206:F238 F154:F159 F36:F40" xr:uid="{6617A46C-B968-43BA-9E13-719722B65CFE}">
      <formula1>#REF!</formula1>
    </dataValidation>
    <dataValidation type="list" allowBlank="1" showInputMessage="1" showErrorMessage="1" sqref="E88:E120 E52:E84 E170:E202 E206:E238 D164:E166 D86:E86 D11:E19 D28:E34 D129:E137 D204:E204 D46:E48 D146:E152 D154:E159 D36:E40" xr:uid="{24461534-7B65-4CD7-AC66-5EE85C5EAA2D}">
      <formula1>#REF!</formula1>
    </dataValidation>
  </dataValidation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36FE-7522-432C-9E07-B6421590DE6E}">
  <sheetPr>
    <tabColor rgb="FFCE0058"/>
  </sheetPr>
  <dimension ref="A1:X173"/>
  <sheetViews>
    <sheetView showGridLines="0" zoomScale="70" zoomScaleNormal="70" workbookViewId="0">
      <pane ySplit="3" topLeftCell="A4" activePane="bottomLeft" state="frozen"/>
      <selection pane="bottomLeft" activeCell="C2" sqref="C2"/>
    </sheetView>
  </sheetViews>
  <sheetFormatPr defaultColWidth="9.140625" defaultRowHeight="15" outlineLevelRow="2" outlineLevelCol="1" x14ac:dyDescent="0.25"/>
  <cols>
    <col min="1" max="1" width="100.7109375" hidden="1" customWidth="1" outlineLevel="1"/>
    <col min="2" max="2" width="10.7109375" style="6" customWidth="1" collapsed="1"/>
    <col min="3" max="3" width="30.5703125" customWidth="1"/>
    <col min="4" max="4" width="15.5703125" customWidth="1"/>
    <col min="5" max="5" width="16.28515625" customWidth="1"/>
    <col min="6" max="12" width="15.5703125" customWidth="1"/>
    <col min="13" max="13" width="30.5703125" customWidth="1"/>
    <col min="14" max="14" width="15.5703125" customWidth="1"/>
    <col min="15" max="15" width="16.28515625" customWidth="1"/>
    <col min="16" max="22" width="15.5703125" customWidth="1"/>
  </cols>
  <sheetData>
    <row r="1" spans="1:22" ht="15" customHeight="1" x14ac:dyDescent="0.25">
      <c r="A1" s="1" t="s">
        <v>16</v>
      </c>
      <c r="B1" s="16"/>
      <c r="C1" s="17"/>
      <c r="D1" s="17"/>
      <c r="E1" s="17"/>
      <c r="F1" s="100" t="s">
        <v>293</v>
      </c>
      <c r="G1" s="82"/>
      <c r="H1" s="17"/>
      <c r="I1" s="17"/>
      <c r="J1" s="17"/>
      <c r="K1" s="17"/>
      <c r="L1" s="17"/>
      <c r="M1" s="17"/>
      <c r="N1" s="17"/>
      <c r="O1" s="17"/>
      <c r="P1" s="17"/>
      <c r="Q1" s="17"/>
      <c r="R1" s="17"/>
      <c r="S1" s="17"/>
      <c r="T1" s="17"/>
      <c r="U1" s="17"/>
      <c r="V1" s="17"/>
    </row>
    <row r="2" spans="1:22" s="4" customFormat="1" ht="50.1" customHeight="1" x14ac:dyDescent="0.25">
      <c r="A2" s="183" t="s">
        <v>17</v>
      </c>
      <c r="B2" s="19"/>
      <c r="C2" s="19" t="str">
        <f>Disclaimer!$B$1</f>
        <v>VDO calculation model</v>
      </c>
      <c r="D2" s="19"/>
      <c r="E2" s="19"/>
      <c r="F2" s="170" t="str">
        <f>Calc_Rates!$D$5</f>
        <v>VDO 2021 - Variation final</v>
      </c>
      <c r="G2" s="170" t="str">
        <f>Calc_Rates!$D$249</f>
        <v>VDO 2022 - Draft</v>
      </c>
      <c r="H2" s="19"/>
      <c r="I2" s="19"/>
      <c r="J2" s="19"/>
      <c r="K2" s="19"/>
      <c r="L2" s="19"/>
      <c r="M2" s="19"/>
      <c r="N2" s="19"/>
      <c r="O2" s="19"/>
      <c r="P2" s="19"/>
      <c r="Q2" s="19"/>
      <c r="R2" s="19"/>
      <c r="S2" s="19"/>
      <c r="T2" s="19"/>
      <c r="U2" s="19"/>
      <c r="V2" s="19"/>
    </row>
    <row r="3" spans="1:22" s="4" customFormat="1" ht="30" customHeight="1" x14ac:dyDescent="0.25">
      <c r="A3" s="183"/>
      <c r="B3" s="21">
        <f ca="1">_xlfn.SHEET()</f>
        <v>10</v>
      </c>
      <c r="C3" s="20" t="str">
        <f>"VDO rates"</f>
        <v>VDO rates</v>
      </c>
      <c r="D3" s="20"/>
      <c r="E3" s="20"/>
      <c r="F3" s="81">
        <f>SUM(G55:K62,Q55:U62,G44:K51,Q44:U51,G66:K74,Q66:U74)</f>
        <v>0</v>
      </c>
      <c r="G3" s="81">
        <f>SUM(G128:K135,Q128:U135,G117:K124,Q117:U124,G139:K147,Q139:U147)</f>
        <v>0</v>
      </c>
      <c r="H3" s="20"/>
      <c r="I3" s="20"/>
      <c r="J3" s="20"/>
      <c r="K3" s="20"/>
      <c r="L3" s="20"/>
      <c r="M3" s="20"/>
      <c r="N3" s="20"/>
      <c r="O3" s="20"/>
      <c r="P3" s="20"/>
      <c r="Q3" s="20"/>
      <c r="R3" s="20"/>
      <c r="S3" s="20"/>
      <c r="T3" s="20"/>
      <c r="U3" s="20"/>
      <c r="V3" s="20"/>
    </row>
    <row r="4" spans="1:22" x14ac:dyDescent="0.25">
      <c r="B4"/>
    </row>
    <row r="5" spans="1:22" ht="16.5" thickBot="1" x14ac:dyDescent="0.3">
      <c r="A5" s="1" t="s">
        <v>19</v>
      </c>
      <c r="B5" s="7">
        <f ca="1">MAX(B$3:B4)+0.1</f>
        <v>10.1</v>
      </c>
      <c r="C5" s="22" t="str">
        <f>"VDO rates - "&amp;Calc_Rates!$D$5</f>
        <v>VDO rates - VDO 2021 - Variation final</v>
      </c>
      <c r="D5" s="22"/>
      <c r="E5" s="22"/>
      <c r="F5" s="22"/>
      <c r="G5" s="22"/>
      <c r="H5" s="22"/>
      <c r="I5" s="22"/>
      <c r="J5" s="22"/>
      <c r="K5" s="22"/>
      <c r="L5" s="22"/>
      <c r="M5" s="22"/>
      <c r="N5" s="22"/>
      <c r="O5" s="22"/>
      <c r="P5" s="22"/>
      <c r="Q5" s="22"/>
      <c r="R5" s="22"/>
      <c r="S5" s="22"/>
      <c r="T5" s="22"/>
      <c r="U5" s="22"/>
      <c r="V5" s="22"/>
    </row>
    <row r="6" spans="1:22" hidden="1" outlineLevel="1" x14ac:dyDescent="0.25"/>
    <row r="7" spans="1:22" ht="15.75" hidden="1" outlineLevel="1" x14ac:dyDescent="0.25">
      <c r="C7" s="23" t="s">
        <v>378</v>
      </c>
      <c r="M7" s="23" t="s">
        <v>379</v>
      </c>
      <c r="P7" s="74"/>
      <c r="Q7" s="74"/>
      <c r="R7" s="74"/>
    </row>
    <row r="8" spans="1:22" ht="15.75" hidden="1" outlineLevel="1" x14ac:dyDescent="0.25">
      <c r="C8" s="111" t="s">
        <v>263</v>
      </c>
      <c r="D8" s="111" t="s">
        <v>38</v>
      </c>
      <c r="E8" s="111" t="s">
        <v>30</v>
      </c>
      <c r="F8" s="111" t="s">
        <v>9</v>
      </c>
      <c r="G8" s="112" t="s">
        <v>204</v>
      </c>
      <c r="H8" s="112" t="s">
        <v>205</v>
      </c>
      <c r="I8" s="112" t="s">
        <v>206</v>
      </c>
      <c r="J8" s="112" t="s">
        <v>207</v>
      </c>
      <c r="K8" s="112" t="s">
        <v>208</v>
      </c>
      <c r="M8" s="111" t="s">
        <v>263</v>
      </c>
      <c r="N8" s="111" t="s">
        <v>38</v>
      </c>
      <c r="O8" s="111" t="s">
        <v>30</v>
      </c>
      <c r="P8" s="111" t="s">
        <v>9</v>
      </c>
      <c r="Q8" s="112" t="s">
        <v>204</v>
      </c>
      <c r="R8" s="112" t="s">
        <v>205</v>
      </c>
      <c r="S8" s="112" t="s">
        <v>206</v>
      </c>
      <c r="T8" s="112" t="s">
        <v>207</v>
      </c>
      <c r="U8" s="112" t="s">
        <v>208</v>
      </c>
    </row>
    <row r="9" spans="1:22" hidden="1" outlineLevel="1" x14ac:dyDescent="0.25">
      <c r="C9" s="18" t="s">
        <v>339</v>
      </c>
      <c r="D9" s="18" t="s">
        <v>45</v>
      </c>
      <c r="E9" s="18" t="s">
        <v>31</v>
      </c>
      <c r="F9" s="18" t="s">
        <v>9</v>
      </c>
      <c r="G9" s="138" cm="1">
        <f t="array" ref="G9">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1.1937</v>
      </c>
      <c r="H9" s="138" cm="1">
        <f t="array" ref="H9">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1.1126</v>
      </c>
      <c r="I9" s="138" cm="1">
        <f t="array" ref="I9">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1.071</v>
      </c>
      <c r="J9" s="138" cm="1">
        <f t="array" ref="J9">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1.2678</v>
      </c>
      <c r="K9" s="138" cm="1">
        <f t="array" ref="K9">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1.0279</v>
      </c>
      <c r="M9" s="18" t="s">
        <v>339</v>
      </c>
      <c r="N9" s="18" t="s">
        <v>45</v>
      </c>
      <c r="O9" s="18" t="s">
        <v>32</v>
      </c>
      <c r="P9" s="18" t="s">
        <v>9</v>
      </c>
      <c r="Q9" s="138" cm="1">
        <f t="array" ref="Q9">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1.1937</v>
      </c>
      <c r="R9" s="138" cm="1">
        <f t="array" ref="R9">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1.3363</v>
      </c>
      <c r="S9" s="138" cm="1">
        <f t="array" ref="S9">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1.238</v>
      </c>
      <c r="T9" s="138" cm="1">
        <f t="array" ref="T9">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1.3956</v>
      </c>
      <c r="U9" s="138" cm="1">
        <f t="array" ref="U9">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1.1557999999999999</v>
      </c>
    </row>
    <row r="10" spans="1:22" hidden="1" outlineLevel="1" x14ac:dyDescent="0.25">
      <c r="C10" s="18" t="s">
        <v>157</v>
      </c>
      <c r="D10" s="18" t="s">
        <v>218</v>
      </c>
      <c r="E10" s="18" t="s">
        <v>31</v>
      </c>
      <c r="F10" s="18" t="s">
        <v>9</v>
      </c>
      <c r="G10" s="138" cm="1">
        <f t="array" ref="G10">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0.28100000000000003</v>
      </c>
      <c r="H10" s="138" cm="1">
        <f t="array" ref="H10">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I10" s="138" cm="1">
        <f t="array" ref="I10">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J10" s="138" cm="1">
        <f t="array" ref="J10">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K10" s="138" cm="1">
        <f t="array" ref="K10">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M10" s="18" t="s">
        <v>157</v>
      </c>
      <c r="N10" s="18" t="s">
        <v>218</v>
      </c>
      <c r="O10" s="18" t="s">
        <v>32</v>
      </c>
      <c r="P10" s="18" t="s">
        <v>9</v>
      </c>
      <c r="Q10" s="138" cm="1">
        <f t="array" ref="Q10">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0.31390000000000001</v>
      </c>
      <c r="R10" s="138" cm="1">
        <f t="array" ref="R10">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0" s="138" cm="1">
        <f t="array" ref="S10">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0" s="138" cm="1">
        <f t="array" ref="T10">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0" s="138" cm="1">
        <f t="array" ref="U10">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1" spans="1:22" hidden="1" outlineLevel="1" x14ac:dyDescent="0.25">
      <c r="C11" s="18" t="s">
        <v>164</v>
      </c>
      <c r="D11" s="18" t="s">
        <v>218</v>
      </c>
      <c r="E11" s="18" t="s">
        <v>31</v>
      </c>
      <c r="F11" s="18" t="s">
        <v>9</v>
      </c>
      <c r="G11" s="138" cm="1">
        <f t="array" ref="G11">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0.29720000000000002</v>
      </c>
      <c r="H11" s="138" cm="1">
        <f t="array" ref="H11">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I11" s="138" cm="1">
        <f t="array" ref="I11">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J11" s="138" cm="1">
        <f t="array" ref="J11">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K11" s="138" cm="1">
        <f t="array" ref="K11">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M11" s="18" t="s">
        <v>164</v>
      </c>
      <c r="N11" s="18" t="s">
        <v>218</v>
      </c>
      <c r="O11" s="18" t="s">
        <v>32</v>
      </c>
      <c r="P11" s="18" t="s">
        <v>9</v>
      </c>
      <c r="Q11" s="138" cm="1">
        <f t="array" ref="Q11">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0.34570000000000001</v>
      </c>
      <c r="R11" s="138" cm="1">
        <f t="array" ref="R11">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1" s="138" cm="1">
        <f t="array" ref="S11">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1" s="138" cm="1">
        <f t="array" ref="T11">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1" s="138" cm="1">
        <f t="array" ref="U11">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2" spans="1:22" hidden="1" outlineLevel="1" x14ac:dyDescent="0.25">
      <c r="C12" s="18" t="s">
        <v>338</v>
      </c>
      <c r="D12" s="18" t="s">
        <v>218</v>
      </c>
      <c r="E12" s="18" t="s">
        <v>31</v>
      </c>
      <c r="F12" s="18" t="s">
        <v>9</v>
      </c>
      <c r="G12" s="138" cm="1">
        <f t="array" ref="G12">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H12" s="138" cm="1">
        <f t="array" ref="H12">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0.2324</v>
      </c>
      <c r="I12" s="138" cm="1">
        <f t="array" ref="I12">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0.249</v>
      </c>
      <c r="J12" s="138" cm="1">
        <f t="array" ref="J12">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0.24049999999999999</v>
      </c>
      <c r="K12" s="138" cm="1">
        <f t="array" ref="K12">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0.2437</v>
      </c>
      <c r="M12" s="18" t="s">
        <v>338</v>
      </c>
      <c r="N12" s="18" t="s">
        <v>218</v>
      </c>
      <c r="O12" s="18" t="s">
        <v>32</v>
      </c>
      <c r="P12" s="18" t="s">
        <v>9</v>
      </c>
      <c r="Q12" s="138" cm="1">
        <f t="array" ref="Q12">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R12" s="138" cm="1">
        <f t="array" ref="R12">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0.2296</v>
      </c>
      <c r="S12" s="138" cm="1">
        <f t="array" ref="S12">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0.25969999999999999</v>
      </c>
      <c r="T12" s="138" cm="1">
        <f t="array" ref="T12">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0.2387</v>
      </c>
      <c r="U12" s="138" cm="1">
        <f t="array" ref="U12">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0.23880000000000001</v>
      </c>
    </row>
    <row r="13" spans="1:22" hidden="1" outlineLevel="1" x14ac:dyDescent="0.25">
      <c r="C13" s="18" t="s">
        <v>340</v>
      </c>
      <c r="D13" s="18" t="s">
        <v>45</v>
      </c>
      <c r="E13" s="18" t="s">
        <v>31</v>
      </c>
      <c r="F13" s="18" t="s">
        <v>9</v>
      </c>
      <c r="G13" s="138" cm="1">
        <f t="array" ref="G13">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1.1937</v>
      </c>
      <c r="H13" s="138" cm="1">
        <f t="array" ref="H13">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1.1126</v>
      </c>
      <c r="I13" s="138" cm="1">
        <f t="array" ref="I13">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1.071</v>
      </c>
      <c r="J13" s="138" cm="1">
        <f t="array" ref="J13">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1.2678</v>
      </c>
      <c r="K13" s="138" cm="1">
        <f t="array" ref="K13">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1.0279</v>
      </c>
      <c r="M13" s="18" t="s">
        <v>340</v>
      </c>
      <c r="N13" s="18" t="s">
        <v>45</v>
      </c>
      <c r="O13" s="18" t="s">
        <v>32</v>
      </c>
      <c r="P13" s="18" t="s">
        <v>9</v>
      </c>
      <c r="Q13" s="138" cm="1">
        <f t="array" ref="Q13">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1.1937</v>
      </c>
      <c r="R13" s="138" cm="1">
        <f t="array" ref="R13">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1.3363</v>
      </c>
      <c r="S13" s="138" cm="1">
        <f t="array" ref="S13">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1.5820000000000001</v>
      </c>
      <c r="T13" s="138" cm="1">
        <f t="array" ref="T13">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1.3956</v>
      </c>
      <c r="U13" s="138" cm="1">
        <f t="array" ref="U13">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1.1557999999999999</v>
      </c>
    </row>
    <row r="14" spans="1:22" hidden="1" outlineLevel="1" x14ac:dyDescent="0.25">
      <c r="C14" s="18" t="s">
        <v>166</v>
      </c>
      <c r="D14" s="18" t="s">
        <v>218</v>
      </c>
      <c r="E14" s="18" t="s">
        <v>31</v>
      </c>
      <c r="F14" s="18" t="s">
        <v>9</v>
      </c>
      <c r="G14" s="138" cm="1">
        <f t="array" ref="G14">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0.3906</v>
      </c>
      <c r="H14" s="138" cm="1">
        <f t="array" ref="H14">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0.32440000000000002</v>
      </c>
      <c r="I14" s="138" cm="1">
        <f t="array" ref="I14">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0.30530000000000002</v>
      </c>
      <c r="J14" s="138" cm="1">
        <f t="array" ref="J14">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0.33050000000000002</v>
      </c>
      <c r="K14" s="138" cm="1">
        <f t="array" ref="K14">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0.3347</v>
      </c>
      <c r="M14" s="18" t="s">
        <v>166</v>
      </c>
      <c r="N14" s="18" t="s">
        <v>218</v>
      </c>
      <c r="O14" s="18" t="s">
        <v>32</v>
      </c>
      <c r="P14" s="18" t="s">
        <v>9</v>
      </c>
      <c r="Q14" s="138" cm="1">
        <f t="array" ref="Q14">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0.33679999999999999</v>
      </c>
      <c r="R14" s="138" cm="1">
        <f t="array" ref="R14">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0.28570000000000001</v>
      </c>
      <c r="S14" s="138" cm="1">
        <f t="array" ref="S14">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0.2989</v>
      </c>
      <c r="T14" s="138" cm="1">
        <f t="array" ref="T14">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0.3024</v>
      </c>
      <c r="U14" s="138" cm="1">
        <f t="array" ref="U14">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0.2994</v>
      </c>
    </row>
    <row r="15" spans="1:22" hidden="1" outlineLevel="1" x14ac:dyDescent="0.25">
      <c r="C15" s="18" t="s">
        <v>370</v>
      </c>
      <c r="D15" s="18" t="s">
        <v>218</v>
      </c>
      <c r="E15" s="18" t="s">
        <v>31</v>
      </c>
      <c r="F15" s="18" t="s">
        <v>9</v>
      </c>
      <c r="G15" s="138" cm="1">
        <f t="array" ref="G15">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0.1981</v>
      </c>
      <c r="H15" s="138" cm="1">
        <f t="array" ref="H15">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0.18490000000000001</v>
      </c>
      <c r="I15" s="138" cm="1">
        <f t="array" ref="I15">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0.1933</v>
      </c>
      <c r="J15" s="138" cm="1">
        <f t="array" ref="J15">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0.19159999999999999</v>
      </c>
      <c r="K15" s="138" cm="1">
        <f t="array" ref="K15">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0.1966</v>
      </c>
      <c r="M15" s="18" t="s">
        <v>370</v>
      </c>
      <c r="N15" s="18" t="s">
        <v>218</v>
      </c>
      <c r="O15" s="18" t="s">
        <v>32</v>
      </c>
      <c r="P15" s="18" t="s">
        <v>9</v>
      </c>
      <c r="Q15" s="138" cm="1">
        <f t="array" ref="Q15">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0.18240000000000001</v>
      </c>
      <c r="R15" s="138" cm="1">
        <f t="array" ref="R15">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0.16750000000000001</v>
      </c>
      <c r="S15" s="138" cm="1">
        <f t="array" ref="S15">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0.1673</v>
      </c>
      <c r="T15" s="138" cm="1">
        <f t="array" ref="T15">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0.1686</v>
      </c>
      <c r="U15" s="138" cm="1">
        <f t="array" ref="U15">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0.17249999999999999</v>
      </c>
    </row>
    <row r="16" spans="1:22" hidden="1" outlineLevel="1" x14ac:dyDescent="0.25">
      <c r="C16" s="18" t="s">
        <v>223</v>
      </c>
      <c r="D16" s="18" t="s">
        <v>218</v>
      </c>
      <c r="E16" s="18" t="s">
        <v>31</v>
      </c>
      <c r="F16" s="18" t="s">
        <v>9</v>
      </c>
      <c r="G16" s="138" cm="1">
        <f t="array" ref="G16">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0.1971</v>
      </c>
      <c r="H16" s="138" cm="1">
        <f t="array" ref="H16">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0.1673</v>
      </c>
      <c r="I16" s="138" cm="1">
        <f t="array" ref="I16">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0.18990000000000001</v>
      </c>
      <c r="J16" s="138" cm="1">
        <f t="array" ref="J16">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0.17330000000000001</v>
      </c>
      <c r="K16" s="138" cm="1">
        <f t="array" ref="K16">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0.17580000000000001</v>
      </c>
      <c r="M16" s="35"/>
      <c r="N16" s="35"/>
      <c r="O16" s="18"/>
      <c r="P16" s="48" t="s">
        <v>9</v>
      </c>
      <c r="Q16" s="138" cm="1">
        <f t="array" ref="Q16">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R16" s="138" cm="1">
        <f t="array" ref="R16">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6" s="138" cm="1">
        <f t="array" ref="S16">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6" s="138" cm="1">
        <f t="array" ref="T16">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6" s="138" cm="1">
        <f t="array" ref="U16">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7" spans="3:21" hidden="1" outlineLevel="1" x14ac:dyDescent="0.25"/>
    <row r="18" spans="3:21" ht="15.75" hidden="1" outlineLevel="1" x14ac:dyDescent="0.25">
      <c r="C18" s="23" t="s">
        <v>427</v>
      </c>
      <c r="H18" s="74"/>
      <c r="M18" s="23" t="s">
        <v>428</v>
      </c>
      <c r="R18" s="74"/>
    </row>
    <row r="19" spans="3:21" ht="15.75" hidden="1" outlineLevel="2" x14ac:dyDescent="0.25">
      <c r="C19" s="34" t="s">
        <v>263</v>
      </c>
      <c r="D19" s="34" t="s">
        <v>38</v>
      </c>
      <c r="E19" s="34" t="s">
        <v>30</v>
      </c>
      <c r="F19" s="34" t="s">
        <v>9</v>
      </c>
      <c r="G19" s="49" t="s">
        <v>204</v>
      </c>
      <c r="H19" s="49" t="s">
        <v>205</v>
      </c>
      <c r="I19" s="49" t="s">
        <v>206</v>
      </c>
      <c r="J19" s="49" t="s">
        <v>207</v>
      </c>
      <c r="K19" s="72" t="s">
        <v>208</v>
      </c>
      <c r="M19" s="34" t="s">
        <v>263</v>
      </c>
      <c r="N19" s="34" t="s">
        <v>38</v>
      </c>
      <c r="O19" s="34" t="s">
        <v>30</v>
      </c>
      <c r="P19" s="34" t="s">
        <v>9</v>
      </c>
      <c r="Q19" s="49" t="s">
        <v>204</v>
      </c>
      <c r="R19" s="49" t="s">
        <v>205</v>
      </c>
      <c r="S19" s="49" t="s">
        <v>206</v>
      </c>
      <c r="T19" s="49" t="s">
        <v>207</v>
      </c>
      <c r="U19" s="72" t="s">
        <v>208</v>
      </c>
    </row>
    <row r="20" spans="3:21" hidden="1" outlineLevel="2" x14ac:dyDescent="0.25">
      <c r="C20" s="18" t="s">
        <v>339</v>
      </c>
      <c r="D20" s="18" t="s">
        <v>45</v>
      </c>
      <c r="E20" s="18" t="s">
        <v>31</v>
      </c>
      <c r="F20" s="48" t="s">
        <v>9</v>
      </c>
      <c r="G20" s="51">
        <f>SUMIFS(Calc_Rates!G$17:G$47,Calc_Rates!$C$17:$C$47,OP_Rates!$C20,Calc_Rates!$F$17:$F$47,OP_Rates!$E20)</f>
        <v>1.1937465898036663</v>
      </c>
      <c r="H20" s="51">
        <f>SUMIFS(Calc_Rates!H$17:H$47,Calc_Rates!$C$17:$C$47,OP_Rates!$C20,Calc_Rates!$F$17:$F$47,OP_Rates!$E20)</f>
        <v>1.1125719529817484</v>
      </c>
      <c r="I20" s="51">
        <f>SUMIFS(Calc_Rates!I$17:I$47,Calc_Rates!$C$17:$C$47,OP_Rates!$C20,Calc_Rates!$F$17:$F$47,OP_Rates!$E20)</f>
        <v>1.0709540129269539</v>
      </c>
      <c r="J20" s="51">
        <f>SUMIFS(Calc_Rates!J$17:J$47,Calc_Rates!$C$17:$C$47,OP_Rates!$C20,Calc_Rates!$F$17:$F$47,OP_Rates!$E20)</f>
        <v>1.2677835725433924</v>
      </c>
      <c r="K20" s="80">
        <f>SUMIFS(Calc_Rates!K$17:K$47,Calc_Rates!$C$17:$C$47,OP_Rates!$C20,Calc_Rates!$F$17:$F$47,OP_Rates!$E20)</f>
        <v>1.0279459320502415</v>
      </c>
      <c r="M20" s="18" t="s">
        <v>339</v>
      </c>
      <c r="N20" s="18" t="s">
        <v>45</v>
      </c>
      <c r="O20" s="18" t="s">
        <v>32</v>
      </c>
      <c r="P20" s="48" t="s">
        <v>9</v>
      </c>
      <c r="Q20" s="51">
        <f>IF(SUMIFS(Calc_Rates!G$17:G$47,Calc_Rates!$C$17:$C$47,OP_Rates!$M20,Calc_Rates!$F$17:$F$47,OP_Rates!$O20)=0,"-",SUMIFS(Calc_Rates!G$17:G$47,Calc_Rates!$C$17:$C$47,OP_Rates!$M20,Calc_Rates!$F$17:$F$47,OP_Rates!$O20))</f>
        <v>1.1937465898036663</v>
      </c>
      <c r="R20" s="51">
        <f>IF(SUMIFS(Calc_Rates!H$17:H$47,Calc_Rates!$C$17:$C$47,OP_Rates!$M20,Calc_Rates!$F$17:$F$47,OP_Rates!$O20)=0,"-",SUMIFS(Calc_Rates!H$17:H$47,Calc_Rates!$C$17:$C$47,OP_Rates!$M20,Calc_Rates!$F$17:$F$47,OP_Rates!$O20))</f>
        <v>1.3362951449817482</v>
      </c>
      <c r="S20" s="51">
        <f>IF(SUMIFS(Calc_Rates!I$17:I$47,Calc_Rates!$C$17:$C$47,OP_Rates!$M20,Calc_Rates!$F$17:$F$47,OP_Rates!$O20)=0,"-",SUMIFS(Calc_Rates!I$17:I$47,Calc_Rates!$C$17:$C$47,OP_Rates!$M20,Calc_Rates!$F$17:$F$47,OP_Rates!$O20))</f>
        <v>1.2379946123790087</v>
      </c>
      <c r="T20" s="51">
        <f>IF(SUMIFS(Calc_Rates!J$17:J$47,Calc_Rates!$C$17:$C$47,OP_Rates!$M20,Calc_Rates!$F$17:$F$47,OP_Rates!$O20)=0,"-",SUMIFS(Calc_Rates!J$17:J$47,Calc_Rates!$C$17:$C$47,OP_Rates!$M20,Calc_Rates!$F$17:$F$47,OP_Rates!$O20))</f>
        <v>1.3956253965433922</v>
      </c>
      <c r="U20" s="51">
        <f>IF(SUMIFS(Calc_Rates!K$17:K$47,Calc_Rates!$C$17:$C$47,OP_Rates!$M20,Calc_Rates!$F$17:$F$47,OP_Rates!$O20)=0,"-",SUMIFS(Calc_Rates!K$17:K$47,Calc_Rates!$C$17:$C$47,OP_Rates!$M20,Calc_Rates!$F$17:$F$47,OP_Rates!$O20))</f>
        <v>1.1557877560502414</v>
      </c>
    </row>
    <row r="21" spans="3:21" hidden="1" outlineLevel="2" x14ac:dyDescent="0.25">
      <c r="C21" s="18" t="s">
        <v>157</v>
      </c>
      <c r="D21" s="18" t="s">
        <v>218</v>
      </c>
      <c r="E21" s="18" t="s">
        <v>31</v>
      </c>
      <c r="F21" s="48" t="s">
        <v>9</v>
      </c>
      <c r="G21" s="51">
        <f>IF(SUMIFS(Calc_Rates!G$61:G$139,Calc_Rates!$C$61:$C$139,OP_Rates!$C21&amp;" charge",Calc_Rates!$F$61:$F$139,OP_Rates!$E21)=0,"-",SUMIFS(Calc_Rates!G$61:G$139,Calc_Rates!$C$61:$C$139,OP_Rates!$C21&amp;" charge",Calc_Rates!$F$61:$F$139,OP_Rates!$E21))</f>
        <v>0.28096607505702398</v>
      </c>
      <c r="H21" s="51" t="str">
        <f>IF(SUMIFS(Calc_Rates!H$61:H$139,Calc_Rates!$C$61:$C$139,OP_Rates!$C21&amp;" charge",Calc_Rates!$F$61:$F$139,OP_Rates!$E21)=0,"-",SUMIFS(Calc_Rates!H$61:H$139,Calc_Rates!$C$61:$C$139,OP_Rates!$C21&amp;" charge",Calc_Rates!$F$61:$F$139,OP_Rates!$E21))</f>
        <v>-</v>
      </c>
      <c r="I21" s="51" t="str">
        <f>IF(SUMIFS(Calc_Rates!I$61:I$139,Calc_Rates!$C$61:$C$139,OP_Rates!$C21&amp;" charge",Calc_Rates!$F$61:$F$139,OP_Rates!$E21)=0,"-",SUMIFS(Calc_Rates!I$61:I$139,Calc_Rates!$C$61:$C$139,OP_Rates!$C21&amp;" charge",Calc_Rates!$F$61:$F$139,OP_Rates!$E21))</f>
        <v>-</v>
      </c>
      <c r="J21" s="51" t="str">
        <f>IF(SUMIFS(Calc_Rates!J$61:J$139,Calc_Rates!$C$61:$C$139,OP_Rates!$C21&amp;" charge",Calc_Rates!$F$61:$F$139,OP_Rates!$E21)=0,"-",SUMIFS(Calc_Rates!J$61:J$139,Calc_Rates!$C$61:$C$139,OP_Rates!$C21&amp;" charge",Calc_Rates!$F$61:$F$139,OP_Rates!$E21))</f>
        <v>-</v>
      </c>
      <c r="K21" s="51" t="str">
        <f>IF(SUMIFS(Calc_Rates!K$61:K$139,Calc_Rates!$C$61:$C$139,OP_Rates!$C21&amp;" charge",Calc_Rates!$F$61:$F$139,OP_Rates!$E21)=0,"-",SUMIFS(Calc_Rates!K$61:K$139,Calc_Rates!$C$61:$C$139,OP_Rates!$C21&amp;" charge",Calc_Rates!$F$61:$F$139,OP_Rates!$E21))</f>
        <v>-</v>
      </c>
      <c r="M21" s="18" t="s">
        <v>157</v>
      </c>
      <c r="N21" s="18" t="s">
        <v>218</v>
      </c>
      <c r="O21" s="18" t="s">
        <v>32</v>
      </c>
      <c r="P21" s="48" t="s">
        <v>9</v>
      </c>
      <c r="Q21" s="51">
        <f>IF(SUMIFS(Calc_Rates!G$61:G$139,Calc_Rates!$C$61:$C$139,OP_Rates!$M21&amp;" charge",Calc_Rates!$F$61:$F$139,OP_Rates!$O21)=0,"-",SUMIFS(Calc_Rates!G$61:G$139,Calc_Rates!$C$61:$C$139,OP_Rates!$M21&amp;" charge",Calc_Rates!$F$61:$F$139,OP_Rates!$O21))</f>
        <v>0.3138673094273246</v>
      </c>
      <c r="R21" s="51" t="str">
        <f>IF(SUMIFS(Calc_Rates!H$61:H$139,Calc_Rates!$C$61:$C$139,OP_Rates!$M21&amp;" charge",Calc_Rates!$F$61:$F$139,OP_Rates!$O21)=0,"-",SUMIFS(Calc_Rates!H$61:H$139,Calc_Rates!$C$61:$C$139,OP_Rates!$M21&amp;" charge",Calc_Rates!$F$61:$F$139,OP_Rates!$O21))</f>
        <v>-</v>
      </c>
      <c r="S21" s="51" t="str">
        <f>IF(SUMIFS(Calc_Rates!I$61:I$139,Calc_Rates!$C$61:$C$139,OP_Rates!$M21&amp;" charge",Calc_Rates!$F$61:$F$139,OP_Rates!$O21)=0,"-",SUMIFS(Calc_Rates!I$61:I$139,Calc_Rates!$C$61:$C$139,OP_Rates!$M21&amp;" charge",Calc_Rates!$F$61:$F$139,OP_Rates!$O21))</f>
        <v>-</v>
      </c>
      <c r="T21" s="51" t="str">
        <f>IF(SUMIFS(Calc_Rates!J$61:J$139,Calc_Rates!$C$61:$C$139,OP_Rates!$M21&amp;" charge",Calc_Rates!$F$61:$F$139,OP_Rates!$O21)=0,"-",SUMIFS(Calc_Rates!J$61:J$139,Calc_Rates!$C$61:$C$139,OP_Rates!$M21&amp;" charge",Calc_Rates!$F$61:$F$139,OP_Rates!$O21))</f>
        <v>-</v>
      </c>
      <c r="U21" s="51" t="str">
        <f>IF(SUMIFS(Calc_Rates!K$61:K$139,Calc_Rates!$C$61:$C$139,OP_Rates!$M21&amp;" charge",Calc_Rates!$F$61:$F$139,OP_Rates!$O21)=0,"-",SUMIFS(Calc_Rates!K$61:K$139,Calc_Rates!$C$61:$C$139,OP_Rates!$M21&amp;" charge",Calc_Rates!$F$61:$F$139,OP_Rates!$O21))</f>
        <v>-</v>
      </c>
    </row>
    <row r="22" spans="3:21" hidden="1" outlineLevel="2" x14ac:dyDescent="0.25">
      <c r="C22" s="18" t="s">
        <v>164</v>
      </c>
      <c r="D22" s="18" t="s">
        <v>218</v>
      </c>
      <c r="E22" s="18" t="s">
        <v>31</v>
      </c>
      <c r="F22" s="48" t="s">
        <v>9</v>
      </c>
      <c r="G22" s="51">
        <f>IF(SUMIFS(Calc_Rates!G$61:G$139,Calc_Rates!$C$61:$C$139,OP_Rates!$C22&amp;" charge",Calc_Rates!$F$61:$F$139,OP_Rates!$E22)=0,"-",SUMIFS(Calc_Rates!G$61:G$139,Calc_Rates!$C$61:$C$139,OP_Rates!$C22&amp;" charge",Calc_Rates!$F$61:$F$139,OP_Rates!$E22))</f>
        <v>0.29715509581702393</v>
      </c>
      <c r="H22" s="51" t="str">
        <f>IF(SUMIFS(Calc_Rates!H$61:H$139,Calc_Rates!$C$61:$C$139,OP_Rates!$C22&amp;" charge",Calc_Rates!$F$61:$F$139,OP_Rates!$E22)=0,"-",SUMIFS(Calc_Rates!H$61:H$139,Calc_Rates!$C$61:$C$139,OP_Rates!$C22&amp;" charge",Calc_Rates!$F$61:$F$139,OP_Rates!$E22))</f>
        <v>-</v>
      </c>
      <c r="I22" s="51" t="str">
        <f>IF(SUMIFS(Calc_Rates!I$61:I$139,Calc_Rates!$C$61:$C$139,OP_Rates!$C22&amp;" charge",Calc_Rates!$F$61:$F$139,OP_Rates!$E22)=0,"-",SUMIFS(Calc_Rates!I$61:I$139,Calc_Rates!$C$61:$C$139,OP_Rates!$C22&amp;" charge",Calc_Rates!$F$61:$F$139,OP_Rates!$E22))</f>
        <v>-</v>
      </c>
      <c r="J22" s="51" t="str">
        <f>IF(SUMIFS(Calc_Rates!J$61:J$139,Calc_Rates!$C$61:$C$139,OP_Rates!$C22&amp;" charge",Calc_Rates!$F$61:$F$139,OP_Rates!$E22)=0,"-",SUMIFS(Calc_Rates!J$61:J$139,Calc_Rates!$C$61:$C$139,OP_Rates!$C22&amp;" charge",Calc_Rates!$F$61:$F$139,OP_Rates!$E22))</f>
        <v>-</v>
      </c>
      <c r="K22" s="51" t="str">
        <f>IF(SUMIFS(Calc_Rates!K$61:K$139,Calc_Rates!$C$61:$C$139,OP_Rates!$C22&amp;" charge",Calc_Rates!$F$61:$F$139,OP_Rates!$E22)=0,"-",SUMIFS(Calc_Rates!K$61:K$139,Calc_Rates!$C$61:$C$139,OP_Rates!$C22&amp;" charge",Calc_Rates!$F$61:$F$139,OP_Rates!$E22))</f>
        <v>-</v>
      </c>
      <c r="M22" s="18" t="s">
        <v>164</v>
      </c>
      <c r="N22" s="18" t="s">
        <v>218</v>
      </c>
      <c r="O22" s="18" t="s">
        <v>32</v>
      </c>
      <c r="P22" s="48" t="s">
        <v>9</v>
      </c>
      <c r="Q22" s="51">
        <f>IF(SUMIFS(Calc_Rates!G$61:G$139,Calc_Rates!$C$61:$C$139,OP_Rates!$M22&amp;" charge",Calc_Rates!$F$61:$F$139,OP_Rates!$O22)=0,"-",SUMIFS(Calc_Rates!G$61:G$139,Calc_Rates!$C$61:$C$139,OP_Rates!$M22&amp;" charge",Calc_Rates!$F$61:$F$139,OP_Rates!$O22))</f>
        <v>0.34568895906732455</v>
      </c>
      <c r="R22" s="51" t="str">
        <f>IF(SUMIFS(Calc_Rates!H$61:H$139,Calc_Rates!$C$61:$C$139,OP_Rates!$M22&amp;" charge",Calc_Rates!$F$61:$F$139,OP_Rates!$O22)=0,"-",SUMIFS(Calc_Rates!H$61:H$139,Calc_Rates!$C$61:$C$139,OP_Rates!$M22&amp;" charge",Calc_Rates!$F$61:$F$139,OP_Rates!$O22))</f>
        <v>-</v>
      </c>
      <c r="S22" s="51" t="str">
        <f>IF(SUMIFS(Calc_Rates!I$61:I$139,Calc_Rates!$C$61:$C$139,OP_Rates!$M22&amp;" charge",Calc_Rates!$F$61:$F$139,OP_Rates!$O22)=0,"-",SUMIFS(Calc_Rates!I$61:I$139,Calc_Rates!$C$61:$C$139,OP_Rates!$M22&amp;" charge",Calc_Rates!$F$61:$F$139,OP_Rates!$O22))</f>
        <v>-</v>
      </c>
      <c r="T22" s="51" t="str">
        <f>IF(SUMIFS(Calc_Rates!J$61:J$139,Calc_Rates!$C$61:$C$139,OP_Rates!$M22&amp;" charge",Calc_Rates!$F$61:$F$139,OP_Rates!$O22)=0,"-",SUMIFS(Calc_Rates!J$61:J$139,Calc_Rates!$C$61:$C$139,OP_Rates!$M22&amp;" charge",Calc_Rates!$F$61:$F$139,OP_Rates!$O22))</f>
        <v>-</v>
      </c>
      <c r="U22" s="51" t="str">
        <f>IF(SUMIFS(Calc_Rates!K$61:K$139,Calc_Rates!$C$61:$C$139,OP_Rates!$M22&amp;" charge",Calc_Rates!$F$61:$F$139,OP_Rates!$O22)=0,"-",SUMIFS(Calc_Rates!K$61:K$139,Calc_Rates!$C$61:$C$139,OP_Rates!$M22&amp;" charge",Calc_Rates!$F$61:$F$139,OP_Rates!$O22))</f>
        <v>-</v>
      </c>
    </row>
    <row r="23" spans="3:21" hidden="1" outlineLevel="2" x14ac:dyDescent="0.25">
      <c r="C23" s="18" t="s">
        <v>338</v>
      </c>
      <c r="D23" s="18" t="s">
        <v>218</v>
      </c>
      <c r="E23" s="18" t="s">
        <v>31</v>
      </c>
      <c r="F23" s="48" t="s">
        <v>9</v>
      </c>
      <c r="G23" s="51" t="str">
        <f>IF(SUMIFS(Calc_Rates!G$61:G$139,Calc_Rates!$C$61:$C$139,OP_Rates!$C23&amp;" charge",Calc_Rates!$F$61:$F$139,OP_Rates!$E23)=0,"-",SUMIFS(Calc_Rates!G$61:G$139,Calc_Rates!$C$61:$C$139,OP_Rates!$C23&amp;" charge",Calc_Rates!$F$61:$F$139,OP_Rates!$E23))</f>
        <v>-</v>
      </c>
      <c r="H23" s="51">
        <f>IF(SUMIFS(Calc_Rates!H$61:H$139,Calc_Rates!$C$61:$C$139,OP_Rates!$C23&amp;" charge",Calc_Rates!$F$61:$F$139,OP_Rates!$E23)=0,"-",SUMIFS(Calc_Rates!H$61:H$139,Calc_Rates!$C$61:$C$139,OP_Rates!$C23&amp;" charge",Calc_Rates!$F$61:$F$139,OP_Rates!$E23))</f>
        <v>0.23240770183227571</v>
      </c>
      <c r="I23" s="51">
        <f>IF(SUMIFS(Calc_Rates!I$61:I$139,Calc_Rates!$C$61:$C$139,OP_Rates!$C23&amp;" charge",Calc_Rates!$F$61:$F$139,OP_Rates!$E23)=0,"-",SUMIFS(Calc_Rates!I$61:I$139,Calc_Rates!$C$61:$C$139,OP_Rates!$C23&amp;" charge",Calc_Rates!$F$61:$F$139,OP_Rates!$E23))</f>
        <v>0.24901325243406419</v>
      </c>
      <c r="J23" s="51">
        <f>IF(SUMIFS(Calc_Rates!J$61:J$139,Calc_Rates!$C$61:$C$139,OP_Rates!$C23&amp;" charge",Calc_Rates!$F$61:$F$139,OP_Rates!$E23)=0,"-",SUMIFS(Calc_Rates!J$61:J$139,Calc_Rates!$C$61:$C$139,OP_Rates!$C23&amp;" charge",Calc_Rates!$F$61:$F$139,OP_Rates!$E23))</f>
        <v>0.24046692946340739</v>
      </c>
      <c r="K23" s="51">
        <f>IF(SUMIFS(Calc_Rates!K$61:K$139,Calc_Rates!$C$61:$C$139,OP_Rates!$C23&amp;" charge",Calc_Rates!$F$61:$F$139,OP_Rates!$E23)=0,"-",SUMIFS(Calc_Rates!K$61:K$139,Calc_Rates!$C$61:$C$139,OP_Rates!$C23&amp;" charge",Calc_Rates!$F$61:$F$139,OP_Rates!$E23))</f>
        <v>0.24370329238905025</v>
      </c>
      <c r="M23" s="18" t="s">
        <v>338</v>
      </c>
      <c r="N23" s="18" t="s">
        <v>218</v>
      </c>
      <c r="O23" s="18" t="s">
        <v>32</v>
      </c>
      <c r="P23" s="48" t="s">
        <v>9</v>
      </c>
      <c r="Q23" s="51" t="str">
        <f>IF(SUMIFS(Calc_Rates!G$61:G$139,Calc_Rates!$C$61:$C$139,OP_Rates!$M23&amp;" charge",Calc_Rates!$F$61:$F$139,OP_Rates!$O23)=0,"-",SUMIFS(Calc_Rates!G$61:G$139,Calc_Rates!$C$61:$C$139,OP_Rates!$M23&amp;" charge",Calc_Rates!$F$61:$F$139,OP_Rates!$O23))</f>
        <v>-</v>
      </c>
      <c r="R23" s="51">
        <f>IF(SUMIFS(Calc_Rates!H$61:H$139,Calc_Rates!$C$61:$C$139,OP_Rates!$M23&amp;" charge",Calc_Rates!$F$61:$F$139,OP_Rates!$O23)=0,"-",SUMIFS(Calc_Rates!H$61:H$139,Calc_Rates!$C$61:$C$139,OP_Rates!$M23&amp;" charge",Calc_Rates!$F$61:$F$139,OP_Rates!$O23))</f>
        <v>0.22958942839519708</v>
      </c>
      <c r="S23" s="51">
        <f>IF(SUMIFS(Calc_Rates!I$61:I$139,Calc_Rates!$C$61:$C$139,OP_Rates!$M23&amp;" charge",Calc_Rates!$F$61:$F$139,OP_Rates!$O23)=0,"-",SUMIFS(Calc_Rates!I$61:I$139,Calc_Rates!$C$61:$C$139,OP_Rates!$M23&amp;" charge",Calc_Rates!$F$61:$F$139,OP_Rates!$O23))</f>
        <v>0.25968188088215716</v>
      </c>
      <c r="T23" s="51">
        <f>IF(SUMIFS(Calc_Rates!J$61:J$139,Calc_Rates!$C$61:$C$139,OP_Rates!$M23&amp;" charge",Calc_Rates!$F$61:$F$139,OP_Rates!$O23)=0,"-",SUMIFS(Calc_Rates!J$61:J$139,Calc_Rates!$C$61:$C$139,OP_Rates!$M23&amp;" charge",Calc_Rates!$F$61:$F$139,OP_Rates!$O23))</f>
        <v>0.23873463228956526</v>
      </c>
      <c r="U23" s="51">
        <f>IF(SUMIFS(Calc_Rates!K$61:K$139,Calc_Rates!$C$61:$C$139,OP_Rates!$M23&amp;" charge",Calc_Rates!$F$61:$F$139,OP_Rates!$O23)=0,"-",SUMIFS(Calc_Rates!K$61:K$139,Calc_Rates!$C$61:$C$139,OP_Rates!$M23&amp;" charge",Calc_Rates!$F$61:$F$139,OP_Rates!$O23))</f>
        <v>0.2387579555033354</v>
      </c>
    </row>
    <row r="24" spans="3:21" hidden="1" outlineLevel="2" x14ac:dyDescent="0.25">
      <c r="C24" s="18" t="s">
        <v>340</v>
      </c>
      <c r="D24" s="18" t="s">
        <v>45</v>
      </c>
      <c r="E24" s="18" t="s">
        <v>31</v>
      </c>
      <c r="F24" s="48" t="s">
        <v>9</v>
      </c>
      <c r="G24" s="51">
        <f>IF(SUMIFS(Calc_Rates!G$17:G$47,Calc_Rates!$C$17:$C$47,OP_Rates!$C24,Calc_Rates!$F$17:$F$47,OP_Rates!$E24)=0,"-",SUMIFS(Calc_Rates!G$17:G$47,Calc_Rates!$C$17:$C$47,OP_Rates!$C24,Calc_Rates!$F$17:$F$47,OP_Rates!$E24))</f>
        <v>1.1937465898036663</v>
      </c>
      <c r="H24" s="51">
        <f>IF(SUMIFS(Calc_Rates!H$17:H$47,Calc_Rates!$C$17:$C$47,OP_Rates!$C24,Calc_Rates!$F$17:$F$47,OP_Rates!$E24)=0,"-",SUMIFS(Calc_Rates!H$17:H$47,Calc_Rates!$C$17:$C$47,OP_Rates!$C24,Calc_Rates!$F$17:$F$47,OP_Rates!$E24))</f>
        <v>1.1125719529817484</v>
      </c>
      <c r="I24" s="51">
        <f>IF(SUMIFS(Calc_Rates!I$17:I$47,Calc_Rates!$C$17:$C$47,OP_Rates!$C24,Calc_Rates!$F$17:$F$47,OP_Rates!$E24)=0,"-",SUMIFS(Calc_Rates!I$17:I$47,Calc_Rates!$C$17:$C$47,OP_Rates!$C24,Calc_Rates!$F$17:$F$47,OP_Rates!$E24))</f>
        <v>1.0709540129269539</v>
      </c>
      <c r="J24" s="51">
        <f>IF(SUMIFS(Calc_Rates!J$17:J$47,Calc_Rates!$C$17:$C$47,OP_Rates!$C24,Calc_Rates!$F$17:$F$47,OP_Rates!$E24)=0,"-",SUMIFS(Calc_Rates!J$17:J$47,Calc_Rates!$C$17:$C$47,OP_Rates!$C24,Calc_Rates!$F$17:$F$47,OP_Rates!$E24))</f>
        <v>1.2677835725433924</v>
      </c>
      <c r="K24" s="51">
        <f>IF(SUMIFS(Calc_Rates!K$17:K$47,Calc_Rates!$C$17:$C$47,OP_Rates!$C24,Calc_Rates!$F$17:$F$47,OP_Rates!$E24)=0,"-",SUMIFS(Calc_Rates!K$17:K$47,Calc_Rates!$C$17:$C$47,OP_Rates!$C24,Calc_Rates!$F$17:$F$47,OP_Rates!$E24))</f>
        <v>1.0279459320502415</v>
      </c>
      <c r="M24" s="18" t="s">
        <v>340</v>
      </c>
      <c r="N24" s="18" t="s">
        <v>45</v>
      </c>
      <c r="O24" s="18" t="s">
        <v>32</v>
      </c>
      <c r="P24" s="48" t="s">
        <v>9</v>
      </c>
      <c r="Q24" s="51">
        <f>IF(SUMIFS(Calc_Rates!G$17:G$47,Calc_Rates!$C$17:$C$47,OP_Rates!$M24,Calc_Rates!$F$17:$F$47,OP_Rates!$O24)=0,"-",SUMIFS(Calc_Rates!G$17:G$47,Calc_Rates!$C$17:$C$47,OP_Rates!$M24,Calc_Rates!$F$17:$F$47,OP_Rates!$O24))</f>
        <v>1.1937465898036663</v>
      </c>
      <c r="R24" s="51">
        <f>IF(SUMIFS(Calc_Rates!H$17:H$47,Calc_Rates!$C$17:$C$47,OP_Rates!$M24,Calc_Rates!$F$17:$F$47,OP_Rates!$O24)=0,"-",SUMIFS(Calc_Rates!H$17:H$47,Calc_Rates!$C$17:$C$47,OP_Rates!$M24,Calc_Rates!$F$17:$F$47,OP_Rates!$O24))</f>
        <v>1.3362951449817482</v>
      </c>
      <c r="S24" s="51">
        <f>IF(SUMIFS(Calc_Rates!I$17:I$47,Calc_Rates!$C$17:$C$47,OP_Rates!$M24,Calc_Rates!$F$17:$F$47,OP_Rates!$O24)=0,"-",SUMIFS(Calc_Rates!I$17:I$47,Calc_Rates!$C$17:$C$47,OP_Rates!$M24,Calc_Rates!$F$17:$F$47,OP_Rates!$O24))</f>
        <v>1.5820400850365428</v>
      </c>
      <c r="T24" s="51">
        <f>IF(SUMIFS(Calc_Rates!J$17:J$47,Calc_Rates!$C$17:$C$47,OP_Rates!$M24,Calc_Rates!$F$17:$F$47,OP_Rates!$O24)=0,"-",SUMIFS(Calc_Rates!J$17:J$47,Calc_Rates!$C$17:$C$47,OP_Rates!$M24,Calc_Rates!$F$17:$F$47,OP_Rates!$O24))</f>
        <v>1.3956253965433922</v>
      </c>
      <c r="U24" s="51">
        <f>IF(SUMIFS(Calc_Rates!K$17:K$47,Calc_Rates!$C$17:$C$47,OP_Rates!$M24,Calc_Rates!$F$17:$F$47,OP_Rates!$O24)=0,"-",SUMIFS(Calc_Rates!K$17:K$47,Calc_Rates!$C$17:$C$47,OP_Rates!$M24,Calc_Rates!$F$17:$F$47,OP_Rates!$O24))</f>
        <v>1.1557877560502414</v>
      </c>
    </row>
    <row r="25" spans="3:21" hidden="1" outlineLevel="2" x14ac:dyDescent="0.25">
      <c r="C25" s="18" t="s">
        <v>166</v>
      </c>
      <c r="D25" s="18" t="s">
        <v>218</v>
      </c>
      <c r="E25" s="18" t="s">
        <v>31</v>
      </c>
      <c r="F25" s="48" t="s">
        <v>9</v>
      </c>
      <c r="G25" s="51">
        <f>IF(SUMIFS(Calc_Rates!G$61:G$139,Calc_Rates!$C$61:$C$139,OP_Rates!$C25&amp;" charge",Calc_Rates!$F$61:$F$139,OP_Rates!$E25)=0,"-",SUMIFS(Calc_Rates!G$61:G$139,Calc_Rates!$C$61:$C$139,OP_Rates!$C25&amp;" charge",Calc_Rates!$F$61:$F$139,OP_Rates!$E25))</f>
        <v>0.39064526181702397</v>
      </c>
      <c r="H25" s="51">
        <f>IF(SUMIFS(Calc_Rates!H$61:H$139,Calc_Rates!$C$61:$C$139,OP_Rates!$C25&amp;" charge",Calc_Rates!$F$61:$F$139,OP_Rates!$E25)=0,"-",SUMIFS(Calc_Rates!H$61:H$139,Calc_Rates!$C$61:$C$139,OP_Rates!$C25&amp;" charge",Calc_Rates!$F$61:$F$139,OP_Rates!$E25))</f>
        <v>0.32443981783227571</v>
      </c>
      <c r="I25" s="51">
        <f>IF(SUMIFS(Calc_Rates!I$61:I$139,Calc_Rates!$C$61:$C$139,OP_Rates!$C25&amp;" charge",Calc_Rates!$F$61:$F$139,OP_Rates!$E25)=0,"-",SUMIFS(Calc_Rates!I$61:I$139,Calc_Rates!$C$61:$C$139,OP_Rates!$C25&amp;" charge",Calc_Rates!$F$61:$F$139,OP_Rates!$E25))</f>
        <v>0.30525898923406425</v>
      </c>
      <c r="J25" s="51">
        <f>IF(SUMIFS(Calc_Rates!J$61:J$139,Calc_Rates!$C$61:$C$139,OP_Rates!$C25&amp;" charge",Calc_Rates!$F$61:$F$139,OP_Rates!$E25)=0,"-",SUMIFS(Calc_Rates!J$61:J$139,Calc_Rates!$C$61:$C$139,OP_Rates!$C25&amp;" charge",Calc_Rates!$F$61:$F$139,OP_Rates!$E25))</f>
        <v>0.33051609746340732</v>
      </c>
      <c r="K25" s="51">
        <f>IF(SUMIFS(Calc_Rates!K$61:K$139,Calc_Rates!$C$61:$C$139,OP_Rates!$C25&amp;" charge",Calc_Rates!$F$61:$F$139,OP_Rates!$E25)=0,"-",SUMIFS(Calc_Rates!K$61:K$139,Calc_Rates!$C$61:$C$139,OP_Rates!$C25&amp;" charge",Calc_Rates!$F$61:$F$139,OP_Rates!$E25))</f>
        <v>0.3346856123890502</v>
      </c>
      <c r="M25" s="18" t="s">
        <v>166</v>
      </c>
      <c r="N25" s="18" t="s">
        <v>218</v>
      </c>
      <c r="O25" s="18" t="s">
        <v>32</v>
      </c>
      <c r="P25" s="48" t="s">
        <v>9</v>
      </c>
      <c r="Q25" s="51">
        <f>IF(SUMIFS(Calc_Rates!G$61:G$139,Calc_Rates!$C$61:$C$139,OP_Rates!$M25&amp;" charge",Calc_Rates!$F$61:$F$139,OP_Rates!$O25)=0,"-",SUMIFS(Calc_Rates!G$61:G$139,Calc_Rates!$C$61:$C$139,OP_Rates!$M25&amp;" charge",Calc_Rates!$F$61:$F$139,OP_Rates!$O25))</f>
        <v>0.33684734386732462</v>
      </c>
      <c r="R25" s="51">
        <f>IF(SUMIFS(Calc_Rates!H$61:H$139,Calc_Rates!$C$61:$C$139,OP_Rates!$M25&amp;" charge",Calc_Rates!$F$61:$F$139,OP_Rates!$O25)=0,"-",SUMIFS(Calc_Rates!H$61:H$139,Calc_Rates!$C$61:$C$139,OP_Rates!$M25&amp;" charge",Calc_Rates!$F$61:$F$139,OP_Rates!$O25))</f>
        <v>0.28569519239519703</v>
      </c>
      <c r="S25" s="51">
        <f>IF(SUMIFS(Calc_Rates!I$61:I$139,Calc_Rates!$C$61:$C$139,OP_Rates!$M25&amp;" charge",Calc_Rates!$F$61:$F$139,OP_Rates!$O25)=0,"-",SUMIFS(Calc_Rates!I$61:I$139,Calc_Rates!$C$61:$C$139,OP_Rates!$M25&amp;" charge",Calc_Rates!$F$61:$F$139,OP_Rates!$O25))</f>
        <v>0.29885093608215718</v>
      </c>
      <c r="T25" s="51">
        <f>IF(SUMIFS(Calc_Rates!J$61:J$139,Calc_Rates!$C$61:$C$139,OP_Rates!$M25&amp;" charge",Calc_Rates!$F$61:$F$139,OP_Rates!$O25)=0,"-",SUMIFS(Calc_Rates!J$61:J$139,Calc_Rates!$C$61:$C$139,OP_Rates!$M25&amp;" charge",Calc_Rates!$F$61:$F$139,OP_Rates!$O25))</f>
        <v>0.30242225628956532</v>
      </c>
      <c r="U25" s="51">
        <f>IF(SUMIFS(Calc_Rates!K$61:K$139,Calc_Rates!$C$61:$C$139,OP_Rates!$M25&amp;" charge",Calc_Rates!$F$61:$F$139,OP_Rates!$O25)=0,"-",SUMIFS(Calc_Rates!K$61:K$139,Calc_Rates!$C$61:$C$139,OP_Rates!$M25&amp;" charge",Calc_Rates!$F$61:$F$139,OP_Rates!$O25))</f>
        <v>0.29941283550333542</v>
      </c>
    </row>
    <row r="26" spans="3:21" hidden="1" outlineLevel="2" x14ac:dyDescent="0.25">
      <c r="C26" s="18" t="s">
        <v>370</v>
      </c>
      <c r="D26" s="18" t="s">
        <v>218</v>
      </c>
      <c r="E26" s="18" t="s">
        <v>31</v>
      </c>
      <c r="F26" s="48" t="s">
        <v>9</v>
      </c>
      <c r="G26" s="51">
        <f>IF(SUMIFS(Calc_Rates!G$61:G$139,Calc_Rates!$C$61:$C$139,OP_Rates!$C26&amp;" charge",Calc_Rates!$F$61:$F$139,OP_Rates!$E26)=0,"-",SUMIFS(Calc_Rates!G$61:G$139,Calc_Rates!$C$61:$C$139,OP_Rates!$C26&amp;" charge",Calc_Rates!$F$61:$F$139,OP_Rates!$E26))</f>
        <v>0.19805085409702394</v>
      </c>
      <c r="H26" s="51">
        <f>IF(SUMIFS(Calc_Rates!H$61:H$139,Calc_Rates!$C$61:$C$139,OP_Rates!$C26&amp;" charge",Calc_Rates!$F$61:$F$139,OP_Rates!$E26)=0,"-",SUMIFS(Calc_Rates!H$61:H$139,Calc_Rates!$C$61:$C$139,OP_Rates!$C26&amp;" charge",Calc_Rates!$F$61:$F$139,OP_Rates!$E26))</f>
        <v>0.18493359383227576</v>
      </c>
      <c r="I26" s="51">
        <f>IF(SUMIFS(Calc_Rates!I$61:I$139,Calc_Rates!$C$61:$C$139,OP_Rates!$C26&amp;" charge",Calc_Rates!$F$61:$F$139,OP_Rates!$E26)=0,"-",SUMIFS(Calc_Rates!I$61:I$139,Calc_Rates!$C$61:$C$139,OP_Rates!$C26&amp;" charge",Calc_Rates!$F$61:$F$139,OP_Rates!$E26))</f>
        <v>0.19325742043406419</v>
      </c>
      <c r="J26" s="51">
        <f>IF(SUMIFS(Calc_Rates!J$61:J$139,Calc_Rates!$C$61:$C$139,OP_Rates!$C26&amp;" charge",Calc_Rates!$F$61:$F$139,OP_Rates!$E26)=0,"-",SUMIFS(Calc_Rates!J$61:J$139,Calc_Rates!$C$61:$C$139,OP_Rates!$C26&amp;" charge",Calc_Rates!$F$61:$F$139,OP_Rates!$E26))</f>
        <v>0.19159309346340736</v>
      </c>
      <c r="K26" s="51">
        <f>IF(SUMIFS(Calc_Rates!K$61:K$139,Calc_Rates!$C$61:$C$139,OP_Rates!$C26&amp;" charge",Calc_Rates!$F$61:$F$139,OP_Rates!$E26)=0,"-",SUMIFS(Calc_Rates!K$61:K$139,Calc_Rates!$C$61:$C$139,OP_Rates!$C26&amp;" charge",Calc_Rates!$F$61:$F$139,OP_Rates!$E26))</f>
        <v>0.19657911638905026</v>
      </c>
      <c r="M26" s="18" t="s">
        <v>370</v>
      </c>
      <c r="N26" s="18" t="s">
        <v>218</v>
      </c>
      <c r="O26" s="18" t="s">
        <v>32</v>
      </c>
      <c r="P26" s="48" t="s">
        <v>9</v>
      </c>
      <c r="Q26" s="51">
        <f>IF(SUMIFS(Calc_Rates!G$61:G$139,Calc_Rates!$C$61:$C$139,OP_Rates!$M26&amp;" charge",Calc_Rates!$F$61:$F$139,OP_Rates!$O26)=0,"-",SUMIFS(Calc_Rates!G$61:G$139,Calc_Rates!$C$61:$C$139,OP_Rates!$M26&amp;" charge",Calc_Rates!$F$61:$F$139,OP_Rates!$O26))</f>
        <v>0.18237452822732461</v>
      </c>
      <c r="R26" s="51">
        <f>IF(SUMIFS(Calc_Rates!H$61:H$139,Calc_Rates!$C$61:$C$139,OP_Rates!$M26&amp;" charge",Calc_Rates!$F$61:$F$139,OP_Rates!$O26)=0,"-",SUMIFS(Calc_Rates!H$61:H$139,Calc_Rates!$C$61:$C$139,OP_Rates!$M26&amp;" charge",Calc_Rates!$F$61:$F$139,OP_Rates!$O26))</f>
        <v>0.16753482039519704</v>
      </c>
      <c r="S26" s="51">
        <f>IF(SUMIFS(Calc_Rates!I$61:I$139,Calc_Rates!$C$61:$C$139,OP_Rates!$M26&amp;" charge",Calc_Rates!$F$61:$F$139,OP_Rates!$O26)=0,"-",SUMIFS(Calc_Rates!I$61:I$139,Calc_Rates!$C$61:$C$139,OP_Rates!$M26&amp;" charge",Calc_Rates!$F$61:$F$139,OP_Rates!$O26))</f>
        <v>0.16728816848215716</v>
      </c>
      <c r="T26" s="51">
        <f>IF(SUMIFS(Calc_Rates!J$61:J$139,Calc_Rates!$C$61:$C$139,OP_Rates!$M26&amp;" charge",Calc_Rates!$F$61:$F$139,OP_Rates!$O26)=0,"-",SUMIFS(Calc_Rates!J$61:J$139,Calc_Rates!$C$61:$C$139,OP_Rates!$M26&amp;" charge",Calc_Rates!$F$61:$F$139,OP_Rates!$O26))</f>
        <v>0.16863158828956526</v>
      </c>
      <c r="U26" s="51">
        <f>IF(SUMIFS(Calc_Rates!K$61:K$139,Calc_Rates!$C$61:$C$139,OP_Rates!$M26&amp;" charge",Calc_Rates!$F$61:$F$139,OP_Rates!$O26)=0,"-",SUMIFS(Calc_Rates!K$61:K$139,Calc_Rates!$C$61:$C$139,OP_Rates!$M26&amp;" charge",Calc_Rates!$F$61:$F$139,OP_Rates!$O26))</f>
        <v>0.17250416350333539</v>
      </c>
    </row>
    <row r="27" spans="3:21" hidden="1" outlineLevel="2" x14ac:dyDescent="0.25">
      <c r="C27" s="18" t="s">
        <v>223</v>
      </c>
      <c r="D27" s="18" t="s">
        <v>218</v>
      </c>
      <c r="E27" s="18" t="s">
        <v>31</v>
      </c>
      <c r="F27" s="48" t="s">
        <v>9</v>
      </c>
      <c r="G27" s="51">
        <f>IF(SUMIFS(Calc_Rates!G$61:G$139,Calc_Rates!$C$61:$C$139,OP_Rates!$C27&amp;" charge",Calc_Rates!$F$61:$F$139,OP_Rates!$E27)=0,"-",SUMIFS(Calc_Rates!G$61:G$139,Calc_Rates!$C$61:$C$139,OP_Rates!$C27&amp;" charge",Calc_Rates!$F$61:$F$139,OP_Rates!$E27))</f>
        <v>0.19712236785702394</v>
      </c>
      <c r="H27" s="51">
        <f>IF(SUMIFS(Calc_Rates!H$61:H$139,Calc_Rates!$C$61:$C$139,OP_Rates!$C27&amp;" charge",Calc_Rates!$F$61:$F$139,OP_Rates!$E27)=0,"-",SUMIFS(Calc_Rates!H$61:H$139,Calc_Rates!$C$61:$C$139,OP_Rates!$C27&amp;" charge",Calc_Rates!$F$61:$F$139,OP_Rates!$E27))</f>
        <v>0.16732034983227576</v>
      </c>
      <c r="I27" s="51">
        <f>IF(SUMIFS(Calc_Rates!I$61:I$139,Calc_Rates!$C$61:$C$139,OP_Rates!$C27&amp;" charge",Calc_Rates!$F$61:$F$139,OP_Rates!$E27)=0,"-",SUMIFS(Calc_Rates!I$61:I$139,Calc_Rates!$C$61:$C$139,OP_Rates!$C27&amp;" charge",Calc_Rates!$F$61:$F$139,OP_Rates!$E27))</f>
        <v>0.18986308003406419</v>
      </c>
      <c r="J27" s="51">
        <f>IF(SUMIFS(Calc_Rates!J$61:J$139,Calc_Rates!$C$61:$C$139,OP_Rates!$C27&amp;" charge",Calc_Rates!$F$61:$F$139,OP_Rates!$E27)=0,"-",SUMIFS(Calc_Rates!J$61:J$139,Calc_Rates!$C$61:$C$139,OP_Rates!$C27&amp;" charge",Calc_Rates!$F$61:$F$139,OP_Rates!$E27))</f>
        <v>0.17327998546340737</v>
      </c>
      <c r="K27" s="51">
        <f>IF(SUMIFS(Calc_Rates!K$61:K$139,Calc_Rates!$C$61:$C$139,OP_Rates!$C27&amp;" charge",Calc_Rates!$F$61:$F$139,OP_Rates!$E27)=0,"-",SUMIFS(Calc_Rates!K$61:K$139,Calc_Rates!$C$61:$C$139,OP_Rates!$C27&amp;" charge",Calc_Rates!$F$61:$F$139,OP_Rates!$E27))</f>
        <v>0.17581648438905023</v>
      </c>
      <c r="M27" s="18"/>
      <c r="N27" s="18"/>
      <c r="O27" s="18"/>
      <c r="P27" s="48" t="s">
        <v>9</v>
      </c>
      <c r="Q27" s="51"/>
      <c r="R27" s="51"/>
      <c r="S27" s="51"/>
      <c r="T27" s="51"/>
      <c r="U27" s="51"/>
    </row>
    <row r="28" spans="3:21" hidden="1" outlineLevel="1" collapsed="1" x14ac:dyDescent="0.25"/>
    <row r="29" spans="3:21" ht="15.75" hidden="1" outlineLevel="1" x14ac:dyDescent="0.25">
      <c r="C29" s="23" t="s">
        <v>426</v>
      </c>
      <c r="M29" s="23" t="s">
        <v>429</v>
      </c>
    </row>
    <row r="30" spans="3:21" ht="15.75" hidden="1" outlineLevel="2" x14ac:dyDescent="0.25">
      <c r="C30" s="34" t="s">
        <v>263</v>
      </c>
      <c r="D30" s="34" t="s">
        <v>38</v>
      </c>
      <c r="E30" s="34" t="s">
        <v>30</v>
      </c>
      <c r="F30" s="34" t="s">
        <v>23</v>
      </c>
      <c r="G30" s="49" t="s">
        <v>204</v>
      </c>
      <c r="H30" s="49" t="s">
        <v>205</v>
      </c>
      <c r="I30" s="49" t="s">
        <v>206</v>
      </c>
      <c r="J30" s="49" t="s">
        <v>207</v>
      </c>
      <c r="K30" s="72" t="s">
        <v>208</v>
      </c>
      <c r="M30" s="34" t="s">
        <v>263</v>
      </c>
      <c r="N30" s="34" t="s">
        <v>38</v>
      </c>
      <c r="O30" s="34" t="s">
        <v>30</v>
      </c>
      <c r="P30" s="34" t="s">
        <v>23</v>
      </c>
      <c r="Q30" s="49" t="s">
        <v>204</v>
      </c>
      <c r="R30" s="49" t="s">
        <v>205</v>
      </c>
      <c r="S30" s="49" t="s">
        <v>206</v>
      </c>
      <c r="T30" s="49" t="s">
        <v>207</v>
      </c>
      <c r="U30" s="72" t="s">
        <v>208</v>
      </c>
    </row>
    <row r="31" spans="3:21" hidden="1" outlineLevel="2" x14ac:dyDescent="0.25">
      <c r="C31" s="48" t="s">
        <v>345</v>
      </c>
      <c r="D31" s="48" t="s">
        <v>45</v>
      </c>
      <c r="E31" s="48" t="s">
        <v>31</v>
      </c>
      <c r="F31" s="18" t="s">
        <v>57</v>
      </c>
      <c r="G31" s="168" t="str" cm="1">
        <f t="array" ref="G31">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1" s="168" t="str" cm="1">
        <f t="array" ref="H31">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1" s="168" t="str" cm="1">
        <f t="array" ref="I31">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1" s="168" t="str" cm="1">
        <f t="array" ref="J31">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1" s="168" t="str" cm="1">
        <f t="array" ref="K31">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1" s="48" t="s">
        <v>345</v>
      </c>
      <c r="N31" s="48" t="s">
        <v>45</v>
      </c>
      <c r="O31" s="48" t="s">
        <v>32</v>
      </c>
      <c r="P31" s="18" t="s">
        <v>57</v>
      </c>
      <c r="Q31" s="168" t="str" cm="1">
        <f t="array" ref="Q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1" s="168" t="str" cm="1">
        <f t="array" ref="R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1" s="168" t="str" cm="1">
        <f t="array" ref="S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1" s="168" t="str" cm="1">
        <f t="array" ref="T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1" s="168" t="str" cm="1">
        <f t="array" ref="U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2" spans="3:21" hidden="1" outlineLevel="2" x14ac:dyDescent="0.25">
      <c r="C32" s="48" t="s">
        <v>346</v>
      </c>
      <c r="D32" s="48" t="s">
        <v>45</v>
      </c>
      <c r="E32" s="48" t="s">
        <v>31</v>
      </c>
      <c r="F32" s="18" t="s">
        <v>57</v>
      </c>
      <c r="G32" s="168" t="str" cm="1">
        <f t="array" ref="G32">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2" s="168" t="str" cm="1">
        <f t="array" ref="H32">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2" s="168" t="str" cm="1">
        <f t="array" ref="I32">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2" s="168" t="str" cm="1">
        <f t="array" ref="J32">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2" s="168" t="str" cm="1">
        <f t="array" ref="K32">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2" s="48" t="s">
        <v>346</v>
      </c>
      <c r="N32" s="48" t="s">
        <v>45</v>
      </c>
      <c r="O32" s="48" t="s">
        <v>32</v>
      </c>
      <c r="P32" s="18" t="s">
        <v>57</v>
      </c>
      <c r="Q32" s="168" t="str" cm="1">
        <f t="array" ref="Q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2" s="168" t="str" cm="1">
        <f t="array" ref="R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2" s="168" t="str" cm="1">
        <f t="array" ref="S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2" s="168" t="str" cm="1">
        <f t="array" ref="T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2" s="168" t="str" cm="1">
        <f t="array" ref="U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3" spans="3:21" hidden="1" outlineLevel="2" x14ac:dyDescent="0.25">
      <c r="C33" s="48" t="s">
        <v>223</v>
      </c>
      <c r="D33" s="48" t="s">
        <v>218</v>
      </c>
      <c r="E33" s="48" t="s">
        <v>31</v>
      </c>
      <c r="F33" s="18" t="s">
        <v>57</v>
      </c>
      <c r="G33" s="168" t="str" cm="1">
        <f t="array" ref="G33">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3" s="168" t="str" cm="1">
        <f t="array" ref="H33">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3" s="168" t="str" cm="1">
        <f t="array" ref="I33">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3" s="168" t="str" cm="1">
        <f t="array" ref="J33">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3" s="168" t="str" cm="1">
        <f t="array" ref="K33">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3" s="48"/>
      <c r="N33" s="48"/>
      <c r="O33" s="48"/>
      <c r="P33" s="18"/>
      <c r="Q33" s="168" t="str" cm="1">
        <f t="array" ref="Q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3" s="168" t="str" cm="1">
        <f t="array" ref="R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3" s="168" t="str" cm="1">
        <f t="array" ref="S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3" s="168" t="str" cm="1">
        <f t="array" ref="T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3" s="168" t="str" cm="1">
        <f t="array" ref="U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4" spans="3:21" hidden="1" outlineLevel="2" x14ac:dyDescent="0.25">
      <c r="C34" s="48" t="s">
        <v>157</v>
      </c>
      <c r="D34" s="48" t="s">
        <v>218</v>
      </c>
      <c r="E34" s="48" t="s">
        <v>31</v>
      </c>
      <c r="F34" s="18" t="s">
        <v>87</v>
      </c>
      <c r="G34" s="168" cm="1">
        <f t="array" ref="G34">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4" s="168" cm="1">
        <f t="array" ref="H34">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4" s="168" cm="1">
        <f t="array" ref="I34">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4" s="168" cm="1">
        <f t="array" ref="J34">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4" s="168" cm="1">
        <f t="array" ref="K34">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4" s="48" t="s">
        <v>157</v>
      </c>
      <c r="N34" s="48" t="s">
        <v>218</v>
      </c>
      <c r="O34" s="48" t="s">
        <v>32</v>
      </c>
      <c r="P34" s="18" t="s">
        <v>87</v>
      </c>
      <c r="Q34" s="168" cm="1">
        <f t="array" ref="Q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4" s="168" cm="1">
        <f t="array" ref="R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4" s="168" cm="1">
        <f t="array" ref="S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4" s="168" cm="1">
        <f t="array" ref="T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4" s="168" cm="1">
        <f t="array" ref="U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5" spans="3:21" hidden="1" outlineLevel="2" x14ac:dyDescent="0.25">
      <c r="C35" s="48" t="s">
        <v>164</v>
      </c>
      <c r="D35" s="48" t="s">
        <v>218</v>
      </c>
      <c r="E35" s="48" t="s">
        <v>31</v>
      </c>
      <c r="F35" s="18" t="s">
        <v>87</v>
      </c>
      <c r="G35" s="168" cm="1">
        <f t="array" ref="G35">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5" s="168" cm="1">
        <f t="array" ref="H35">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5" s="168" cm="1">
        <f t="array" ref="I35">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5" s="168" cm="1">
        <f t="array" ref="J35">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5" s="168" cm="1">
        <f t="array" ref="K35">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5" s="48" t="s">
        <v>164</v>
      </c>
      <c r="N35" s="48" t="s">
        <v>218</v>
      </c>
      <c r="O35" s="48" t="s">
        <v>32</v>
      </c>
      <c r="P35" s="18" t="s">
        <v>87</v>
      </c>
      <c r="Q35" s="168" cm="1">
        <f t="array" ref="Q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5" s="168" cm="1">
        <f t="array" ref="R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5" s="168" cm="1">
        <f t="array" ref="S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5" s="168" cm="1">
        <f t="array" ref="T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5" s="168" cm="1">
        <f t="array" ref="U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6" spans="3:21" hidden="1" outlineLevel="2" x14ac:dyDescent="0.25">
      <c r="C36" s="48" t="s">
        <v>338</v>
      </c>
      <c r="D36" s="48" t="s">
        <v>218</v>
      </c>
      <c r="E36" s="48" t="s">
        <v>31</v>
      </c>
      <c r="F36" s="18" t="s">
        <v>87</v>
      </c>
      <c r="G36" s="168" cm="1">
        <f t="array" ref="G36">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6" s="168" cm="1">
        <f t="array" ref="H36">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6" s="168" cm="1">
        <f t="array" ref="I36">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6" s="168" cm="1">
        <f t="array" ref="J36">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6" s="168" cm="1">
        <f t="array" ref="K36">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6" s="48" t="s">
        <v>338</v>
      </c>
      <c r="N36" s="48" t="s">
        <v>218</v>
      </c>
      <c r="O36" s="48" t="s">
        <v>32</v>
      </c>
      <c r="P36" s="18" t="s">
        <v>87</v>
      </c>
      <c r="Q36" s="168" cm="1">
        <f t="array" ref="Q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6" s="168" cm="1">
        <f t="array" ref="R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6" s="168" cm="1">
        <f t="array" ref="S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6" s="168" cm="1">
        <f t="array" ref="T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6" s="168" cm="1">
        <f t="array" ref="U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7" spans="3:21" hidden="1" outlineLevel="2" x14ac:dyDescent="0.25">
      <c r="C37" s="48" t="s">
        <v>166</v>
      </c>
      <c r="D37" s="48" t="s">
        <v>218</v>
      </c>
      <c r="E37" s="48" t="s">
        <v>31</v>
      </c>
      <c r="F37" s="18" t="s">
        <v>87</v>
      </c>
      <c r="G37" s="168" cm="1">
        <f t="array" ref="G37">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7" s="168" cm="1">
        <f t="array" ref="H37">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7" s="168" cm="1">
        <f t="array" ref="I37">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7" s="168" cm="1">
        <f t="array" ref="J37">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7" s="168" cm="1">
        <f t="array" ref="K37">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7" s="48" t="s">
        <v>166</v>
      </c>
      <c r="N37" s="48" t="s">
        <v>218</v>
      </c>
      <c r="O37" s="48" t="s">
        <v>32</v>
      </c>
      <c r="P37" s="18" t="s">
        <v>87</v>
      </c>
      <c r="Q37" s="168" cm="1">
        <f t="array" ref="Q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7" s="168" cm="1">
        <f t="array" ref="R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7" s="168" cm="1">
        <f t="array" ref="S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7" s="168" cm="1">
        <f t="array" ref="T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7" s="168" cm="1">
        <f t="array" ref="U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8" spans="3:21" hidden="1" outlineLevel="2" x14ac:dyDescent="0.25">
      <c r="C38" s="48" t="s">
        <v>370</v>
      </c>
      <c r="D38" s="48" t="s">
        <v>218</v>
      </c>
      <c r="E38" s="48" t="s">
        <v>31</v>
      </c>
      <c r="F38" s="18" t="s">
        <v>87</v>
      </c>
      <c r="G38" s="168" cm="1">
        <f t="array" ref="G38">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8" s="168" cm="1">
        <f t="array" ref="H38">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8" s="168" cm="1">
        <f t="array" ref="I38">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8" s="168" cm="1">
        <f t="array" ref="J38">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8" s="168" cm="1">
        <f t="array" ref="K38">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8" s="48" t="s">
        <v>370</v>
      </c>
      <c r="N38" s="48" t="s">
        <v>218</v>
      </c>
      <c r="O38" s="48" t="s">
        <v>32</v>
      </c>
      <c r="P38" s="18" t="s">
        <v>87</v>
      </c>
      <c r="Q38" s="168" cm="1">
        <f t="array" ref="Q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8" s="168" cm="1">
        <f t="array" ref="R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8" s="168" cm="1">
        <f t="array" ref="S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8" s="168" cm="1">
        <f t="array" ref="T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8" s="168" cm="1">
        <f t="array" ref="U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9" spans="3:21" hidden="1" outlineLevel="2" x14ac:dyDescent="0.25">
      <c r="C39" s="48" t="s">
        <v>223</v>
      </c>
      <c r="D39" s="48" t="s">
        <v>218</v>
      </c>
      <c r="E39" s="48" t="s">
        <v>31</v>
      </c>
      <c r="F39" s="18" t="s">
        <v>87</v>
      </c>
      <c r="G39" s="168" cm="1">
        <f t="array" ref="G39">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9" s="168" cm="1">
        <f t="array" ref="H39">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9" s="168" cm="1">
        <f t="array" ref="I39">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9" s="168" cm="1">
        <f t="array" ref="J39">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9" s="168" cm="1">
        <f t="array" ref="K39">IFERROR(
IF(OP_RatesTU_RES_1[[#This Row],[Cost element]:[Cost element]]="Network",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9" s="48"/>
      <c r="N39" s="48"/>
      <c r="O39" s="48"/>
      <c r="P39" s="18"/>
      <c r="Q39" s="168" t="str" cm="1">
        <f t="array" ref="Q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9" s="168" t="str" cm="1">
        <f t="array" ref="R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9" s="168" t="str" cm="1">
        <f t="array" ref="S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9" s="168" t="str" cm="1">
        <f t="array" ref="T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9" s="168" t="str" cm="1">
        <f t="array" ref="U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40" spans="3:21" hidden="1" outlineLevel="1" collapsed="1" x14ac:dyDescent="0.25"/>
    <row r="41" spans="3:21" ht="15.75" hidden="1" outlineLevel="1" x14ac:dyDescent="0.25">
      <c r="C41" s="70" t="s">
        <v>15</v>
      </c>
    </row>
    <row r="42" spans="3:21" ht="15.75" hidden="1" outlineLevel="2" x14ac:dyDescent="0.25">
      <c r="C42" s="23" t="str">
        <f>C$7&amp;" - checks"</f>
        <v>VDO residential rates - checks</v>
      </c>
      <c r="M42" s="23" t="str">
        <f>M$7&amp;" - checks"</f>
        <v>VDO small business rates - checks</v>
      </c>
    </row>
    <row r="43" spans="3:21" ht="15.75" hidden="1" outlineLevel="2" x14ac:dyDescent="0.25">
      <c r="C43" s="33" t="s">
        <v>263</v>
      </c>
      <c r="D43" s="33" t="s">
        <v>38</v>
      </c>
      <c r="E43" s="33" t="s">
        <v>30</v>
      </c>
      <c r="G43" s="42" t="s">
        <v>204</v>
      </c>
      <c r="H43" s="42" t="s">
        <v>205</v>
      </c>
      <c r="I43" s="42" t="s">
        <v>206</v>
      </c>
      <c r="J43" s="42" t="s">
        <v>207</v>
      </c>
      <c r="K43" s="42" t="s">
        <v>208</v>
      </c>
      <c r="M43" s="33" t="s">
        <v>263</v>
      </c>
      <c r="N43" s="33" t="s">
        <v>38</v>
      </c>
      <c r="O43" s="33" t="s">
        <v>30</v>
      </c>
      <c r="Q43" s="42" t="s">
        <v>204</v>
      </c>
      <c r="R43" s="42" t="s">
        <v>205</v>
      </c>
      <c r="S43" s="42" t="s">
        <v>206</v>
      </c>
      <c r="T43" s="42" t="s">
        <v>207</v>
      </c>
      <c r="U43" s="42" t="s">
        <v>208</v>
      </c>
    </row>
    <row r="44" spans="3:21" ht="15.75" hidden="1" outlineLevel="2" x14ac:dyDescent="0.25">
      <c r="C44" s="48" t="s">
        <v>339</v>
      </c>
      <c r="D44" s="48" t="s">
        <v>45</v>
      </c>
      <c r="E44" s="48" t="s">
        <v>31</v>
      </c>
      <c r="G44" s="79">
        <f>IF(ROUND(G9,4)=ROUND(
SUMIFS(OP_Rates_RES_1[Ausnet],OP_Rates_RES_1[[Rate name]:[Rate name]],$C44)+
SUMIFS(OP_RatesTU_RES_1[Ausnet],OP_RatesTU_RES_1[[Rate name]:[Rate name]],
IF($D44&lt;&gt;"$",$C44,LEFT($C44,LEN($C44)-FIND(" - supply",$C44)-1))),4),
0,1)</f>
        <v>0</v>
      </c>
      <c r="H44" s="79">
        <f>IF(ROUND(H9,4)=ROUND(
SUMIFS(OP_Rates_RES_1[Citipower],OP_Rates_RES_1[[Rate name]:[Rate name]],$C44)+
SUMIFS(OP_RatesTU_RES_1[Citipower],OP_RatesTU_RES_1[[Rate name]:[Rate name]],
IF($D44&lt;&gt;"$",$C44,LEFT($C44,LEN($C44)-FIND(" - supply",$C44)-1))),4),
0,1)</f>
        <v>0</v>
      </c>
      <c r="I44" s="79">
        <f>IF(ROUND(I9,4)=ROUND(
SUMIFS(OP_Rates_RES_1[Jemena],OP_Rates_RES_1[[Rate name]:[Rate name]],$C44)+
SUMIFS(OP_RatesTU_RES_1[Jemena],OP_RatesTU_RES_1[[Rate name]:[Rate name]],
IF($D44&lt;&gt;"$",$C44,LEFT($C44,LEN($C44)-FIND(" - supply",$C44)-1))),4),
0,1)</f>
        <v>0</v>
      </c>
      <c r="J44" s="79">
        <f>IF(ROUND(J9,4)=ROUND(
SUMIFS(OP_Rates_RES_1[Powercor],OP_Rates_RES_1[[Rate name]:[Rate name]],$C44)+
SUMIFS(OP_RatesTU_RES_1[Powercor],OP_RatesTU_RES_1[[Rate name]:[Rate name]],
IF($D44&lt;&gt;"$",$C44,LEFT($C44,LEN($C44)-FIND(" - supply",$C44)-1))),4),
0,1)</f>
        <v>0</v>
      </c>
      <c r="K44" s="79">
        <f>IF(ROUND(K9,4)=ROUND(
SUMIFS(OP_Rates_RES_1[United Energy],OP_Rates_RES_1[[Rate name]:[Rate name]],$C44)+
SUMIFS(OP_RatesTU_RES_1[United Energy],OP_RatesTU_RES_1[[Rate name]:[Rate name]],
IF($D44&lt;&gt;"$",$C44,LEFT($C44,LEN($C44)-FIND(" - supply",$C44)-1))),4),
0,1)</f>
        <v>0</v>
      </c>
      <c r="M44" s="48" t="s">
        <v>339</v>
      </c>
      <c r="N44" s="48" t="s">
        <v>45</v>
      </c>
      <c r="O44" s="48" t="s">
        <v>32</v>
      </c>
      <c r="Q44" s="79">
        <f>IF(ROUND(Q9,4)=ROUND(
SUMIFS(OP_Rates_SME_1[Ausnet],OP_Rates_SME_1[[Rate name]:[Rate name]],$C44)+
SUMIFS(OP_RatesTU_SME_1[Ausnet],OP_RatesTU_SME_1[[Rate name]:[Rate name]],
IF($D44&lt;&gt;"$",$C44,LEFT($C44,LEN($C44)-FIND(" - supply",$C44)-1))),4),
0,1)</f>
        <v>0</v>
      </c>
      <c r="R44" s="79">
        <f>IF(ROUND(R9,4)=ROUND(
SUMIFS(OP_Rates_SME_1[Citipower],OP_Rates_SME_1[[Rate name]:[Rate name]],$C44)+
SUMIFS(OP_RatesTU_SME_1[Citipower],OP_RatesTU_SME_1[[Rate name]:[Rate name]],
IF($D44&lt;&gt;"$",$C44,LEFT($C44,LEN($C44)-FIND(" - supply",$C44)-1))),4),
0,1)</f>
        <v>0</v>
      </c>
      <c r="S44" s="79">
        <f>IF(ROUND(S9,4)=ROUND(
SUMIFS(OP_Rates_SME_1[Jemena],OP_Rates_SME_1[[Rate name]:[Rate name]],$C44)+
SUMIFS(OP_RatesTU_SME_1[Jemena],OP_RatesTU_SME_1[[Rate name]:[Rate name]],
IF($D44&lt;&gt;"$",$C44,LEFT($C44,LEN($C44)-FIND(" - supply",$C44)-1))),4),
0,1)</f>
        <v>0</v>
      </c>
      <c r="T44" s="79">
        <f>IF(ROUND(T9,4)=ROUND(
SUMIFS(OP_Rates_SME_1[Powercor],OP_Rates_SME_1[[Rate name]:[Rate name]],$C44)+
SUMIFS(OP_RatesTU_SME_1[Powercor],OP_RatesTU_SME_1[[Rate name]:[Rate name]],
IF($D44&lt;&gt;"$",$C44,LEFT($C44,LEN($C44)-FIND(" - supply",$C44)-1))),4),
0,1)</f>
        <v>0</v>
      </c>
      <c r="U44" s="79">
        <f>IF(ROUND(U9,4)=ROUND(
SUMIFS(OP_Rates_SME_1[United Energy],OP_Rates_SME_1[[Rate name]:[Rate name]],$C44)+
SUMIFS(OP_RatesTU_SME_1[United Energy],OP_RatesTU_SME_1[[Rate name]:[Rate name]],
IF($D44&lt;&gt;"$",$C44,LEFT($C44,LEN($C44)-FIND(" - supply",$C44)-1))),4),
0,1)</f>
        <v>0</v>
      </c>
    </row>
    <row r="45" spans="3:21" ht="15.75" hidden="1" outlineLevel="2" x14ac:dyDescent="0.25">
      <c r="C45" s="48" t="s">
        <v>157</v>
      </c>
      <c r="D45" s="48" t="s">
        <v>218</v>
      </c>
      <c r="E45" s="48" t="s">
        <v>31</v>
      </c>
      <c r="G45" s="79">
        <f>IF(ROUND(G10,4)=ROUND(
SUMIFS(OP_Rates_RES_1[Ausnet],OP_Rates_RES_1[[Rate name]:[Rate name]],$C45)+
SUMIFS(OP_RatesTU_RES_1[Ausnet],OP_RatesTU_RES_1[[Rate name]:[Rate name]],
IF($D45&lt;&gt;"$",$C45,LEFT($C45,LEN($C45)-FIND(" - supply",$C45)-1))),4),
0,1)</f>
        <v>0</v>
      </c>
      <c r="H45" s="79">
        <f>IF(ROUND(H10,4)=ROUND(
SUMIFS(OP_Rates_RES_1[Citipower],OP_Rates_RES_1[[Rate name]:[Rate name]],$C45)+
SUMIFS(OP_RatesTU_RES_1[Citipower],OP_RatesTU_RES_1[[Rate name]:[Rate name]],
IF($D45&lt;&gt;"$",$C45,LEFT($C45,LEN($C45)-FIND(" - supply",$C45)-1))),4),
0,1)</f>
        <v>0</v>
      </c>
      <c r="I45" s="79">
        <f>IF(ROUND(I10,4)=ROUND(
SUMIFS(OP_Rates_RES_1[Jemena],OP_Rates_RES_1[[Rate name]:[Rate name]],$C45)+
SUMIFS(OP_RatesTU_RES_1[Jemena],OP_RatesTU_RES_1[[Rate name]:[Rate name]],
IF($D45&lt;&gt;"$",$C45,LEFT($C45,LEN($C45)-FIND(" - supply",$C45)-1))),4),
0,1)</f>
        <v>0</v>
      </c>
      <c r="J45" s="79">
        <f>IF(ROUND(J10,4)=ROUND(
SUMIFS(OP_Rates_RES_1[Powercor],OP_Rates_RES_1[[Rate name]:[Rate name]],$C45)+
SUMIFS(OP_RatesTU_RES_1[Powercor],OP_RatesTU_RES_1[[Rate name]:[Rate name]],
IF($D45&lt;&gt;"$",$C45,LEFT($C45,LEN($C45)-FIND(" - supply",$C45)-1))),4),
0,1)</f>
        <v>0</v>
      </c>
      <c r="K45" s="79">
        <f>IF(ROUND(K10,4)=ROUND(
SUMIFS(OP_Rates_RES_1[United Energy],OP_Rates_RES_1[[Rate name]:[Rate name]],$C45)+
SUMIFS(OP_RatesTU_RES_1[United Energy],OP_RatesTU_RES_1[[Rate name]:[Rate name]],
IF($D45&lt;&gt;"$",$C45,LEFT($C45,LEN($C45)-FIND(" - supply",$C45)-1))),4),
0,1)</f>
        <v>0</v>
      </c>
      <c r="M45" s="48" t="s">
        <v>157</v>
      </c>
      <c r="N45" s="48" t="s">
        <v>218</v>
      </c>
      <c r="O45" s="48" t="s">
        <v>32</v>
      </c>
      <c r="Q45" s="79">
        <f>IF(ROUND(Q10,4)=ROUND(
SUMIFS(OP_Rates_SME_1[Ausnet],OP_Rates_SME_1[[Rate name]:[Rate name]],$C45)+
SUMIFS(OP_RatesTU_SME_1[Ausnet],OP_RatesTU_SME_1[[Rate name]:[Rate name]],
IF($D45&lt;&gt;"$",$C45,LEFT($C45,LEN($C45)-FIND(" - supply",$C45)-1))),4),
0,1)</f>
        <v>0</v>
      </c>
      <c r="R45" s="79">
        <f>IF(ROUND(R10,4)=ROUND(
SUMIFS(OP_Rates_SME_1[Citipower],OP_Rates_SME_1[[Rate name]:[Rate name]],$C45)+
SUMIFS(OP_RatesTU_SME_1[Citipower],OP_RatesTU_SME_1[[Rate name]:[Rate name]],
IF($D45&lt;&gt;"$",$C45,LEFT($C45,LEN($C45)-FIND(" - supply",$C45)-1))),4),
0,1)</f>
        <v>0</v>
      </c>
      <c r="S45" s="79">
        <f>IF(ROUND(S10,4)=ROUND(
SUMIFS(OP_Rates_SME_1[Jemena],OP_Rates_SME_1[[Rate name]:[Rate name]],$C45)+
SUMIFS(OP_RatesTU_SME_1[Jemena],OP_RatesTU_SME_1[[Rate name]:[Rate name]],
IF($D45&lt;&gt;"$",$C45,LEFT($C45,LEN($C45)-FIND(" - supply",$C45)-1))),4),
0,1)</f>
        <v>0</v>
      </c>
      <c r="T45" s="79">
        <f>IF(ROUND(T10,4)=ROUND(
SUMIFS(OP_Rates_SME_1[Powercor],OP_Rates_SME_1[[Rate name]:[Rate name]],$C45)+
SUMIFS(OP_RatesTU_SME_1[Powercor],OP_RatesTU_SME_1[[Rate name]:[Rate name]],
IF($D45&lt;&gt;"$",$C45,LEFT($C45,LEN($C45)-FIND(" - supply",$C45)-1))),4),
0,1)</f>
        <v>0</v>
      </c>
      <c r="U45" s="79">
        <f>IF(ROUND(U10,4)=ROUND(
SUMIFS(OP_Rates_SME_1[United Energy],OP_Rates_SME_1[[Rate name]:[Rate name]],$C45)+
SUMIFS(OP_RatesTU_SME_1[United Energy],OP_RatesTU_SME_1[[Rate name]:[Rate name]],
IF($D45&lt;&gt;"$",$C45,LEFT($C45,LEN($C45)-FIND(" - supply",$C45)-1))),4),
0,1)</f>
        <v>0</v>
      </c>
    </row>
    <row r="46" spans="3:21" ht="15.75" hidden="1" outlineLevel="2" x14ac:dyDescent="0.25">
      <c r="C46" s="48" t="s">
        <v>164</v>
      </c>
      <c r="D46" s="48" t="s">
        <v>218</v>
      </c>
      <c r="E46" s="48" t="s">
        <v>31</v>
      </c>
      <c r="G46" s="79">
        <f>IF(ROUND(G11,4)=ROUND(
SUMIFS(OP_Rates_RES_1[Ausnet],OP_Rates_RES_1[[Rate name]:[Rate name]],$C46)+
SUMIFS(OP_RatesTU_RES_1[Ausnet],OP_RatesTU_RES_1[[Rate name]:[Rate name]],
IF($D46&lt;&gt;"$",$C46,LEFT($C46,LEN($C46)-FIND(" - supply",$C46)-1))),4),
0,1)</f>
        <v>0</v>
      </c>
      <c r="H46" s="79">
        <f>IF(ROUND(H11,4)=ROUND(
SUMIFS(OP_Rates_RES_1[Citipower],OP_Rates_RES_1[[Rate name]:[Rate name]],$C46)+
SUMIFS(OP_RatesTU_RES_1[Citipower],OP_RatesTU_RES_1[[Rate name]:[Rate name]],
IF($D46&lt;&gt;"$",$C46,LEFT($C46,LEN($C46)-FIND(" - supply",$C46)-1))),4),
0,1)</f>
        <v>0</v>
      </c>
      <c r="I46" s="79">
        <f>IF(ROUND(I11,4)=ROUND(
SUMIFS(OP_Rates_RES_1[Jemena],OP_Rates_RES_1[[Rate name]:[Rate name]],$C46)+
SUMIFS(OP_RatesTU_RES_1[Jemena],OP_RatesTU_RES_1[[Rate name]:[Rate name]],
IF($D46&lt;&gt;"$",$C46,LEFT($C46,LEN($C46)-FIND(" - supply",$C46)-1))),4),
0,1)</f>
        <v>0</v>
      </c>
      <c r="J46" s="79">
        <f>IF(ROUND(J11,4)=ROUND(
SUMIFS(OP_Rates_RES_1[Powercor],OP_Rates_RES_1[[Rate name]:[Rate name]],$C46)+
SUMIFS(OP_RatesTU_RES_1[Powercor],OP_RatesTU_RES_1[[Rate name]:[Rate name]],
IF($D46&lt;&gt;"$",$C46,LEFT($C46,LEN($C46)-FIND(" - supply",$C46)-1))),4),
0,1)</f>
        <v>0</v>
      </c>
      <c r="K46" s="79">
        <f>IF(ROUND(K11,4)=ROUND(
SUMIFS(OP_Rates_RES_1[United Energy],OP_Rates_RES_1[[Rate name]:[Rate name]],$C46)+
SUMIFS(OP_RatesTU_RES_1[United Energy],OP_RatesTU_RES_1[[Rate name]:[Rate name]],
IF($D46&lt;&gt;"$",$C46,LEFT($C46,LEN($C46)-FIND(" - supply",$C46)-1))),4),
0,1)</f>
        <v>0</v>
      </c>
      <c r="M46" s="48" t="s">
        <v>164</v>
      </c>
      <c r="N46" s="48" t="s">
        <v>218</v>
      </c>
      <c r="O46" s="48" t="s">
        <v>32</v>
      </c>
      <c r="Q46" s="79">
        <f>IF(ROUND(Q11,4)=ROUND(
SUMIFS(OP_Rates_SME_1[Ausnet],OP_Rates_SME_1[[Rate name]:[Rate name]],$C46)+
SUMIFS(OP_RatesTU_SME_1[Ausnet],OP_RatesTU_SME_1[[Rate name]:[Rate name]],
IF($D46&lt;&gt;"$",$C46,LEFT($C46,LEN($C46)-FIND(" - supply",$C46)-1))),4),
0,1)</f>
        <v>0</v>
      </c>
      <c r="R46" s="79">
        <f>IF(ROUND(R11,4)=ROUND(
SUMIFS(OP_Rates_SME_1[Citipower],OP_Rates_SME_1[[Rate name]:[Rate name]],$C46)+
SUMIFS(OP_RatesTU_SME_1[Citipower],OP_RatesTU_SME_1[[Rate name]:[Rate name]],
IF($D46&lt;&gt;"$",$C46,LEFT($C46,LEN($C46)-FIND(" - supply",$C46)-1))),4),
0,1)</f>
        <v>0</v>
      </c>
      <c r="S46" s="79">
        <f>IF(ROUND(S11,4)=ROUND(
SUMIFS(OP_Rates_SME_1[Jemena],OP_Rates_SME_1[[Rate name]:[Rate name]],$C46)+
SUMIFS(OP_RatesTU_SME_1[Jemena],OP_RatesTU_SME_1[[Rate name]:[Rate name]],
IF($D46&lt;&gt;"$",$C46,LEFT($C46,LEN($C46)-FIND(" - supply",$C46)-1))),4),
0,1)</f>
        <v>0</v>
      </c>
      <c r="T46" s="79">
        <f>IF(ROUND(T11,4)=ROUND(
SUMIFS(OP_Rates_SME_1[Powercor],OP_Rates_SME_1[[Rate name]:[Rate name]],$C46)+
SUMIFS(OP_RatesTU_SME_1[Powercor],OP_RatesTU_SME_1[[Rate name]:[Rate name]],
IF($D46&lt;&gt;"$",$C46,LEFT($C46,LEN($C46)-FIND(" - supply",$C46)-1))),4),
0,1)</f>
        <v>0</v>
      </c>
      <c r="U46" s="79">
        <f>IF(ROUND(U11,4)=ROUND(
SUMIFS(OP_Rates_SME_1[United Energy],OP_Rates_SME_1[[Rate name]:[Rate name]],$C46)+
SUMIFS(OP_RatesTU_SME_1[United Energy],OP_RatesTU_SME_1[[Rate name]:[Rate name]],
IF($D46&lt;&gt;"$",$C46,LEFT($C46,LEN($C46)-FIND(" - supply",$C46)-1))),4),
0,1)</f>
        <v>0</v>
      </c>
    </row>
    <row r="47" spans="3:21" ht="15.75" hidden="1" outlineLevel="2" x14ac:dyDescent="0.25">
      <c r="C47" s="48" t="s">
        <v>338</v>
      </c>
      <c r="D47" s="48" t="s">
        <v>218</v>
      </c>
      <c r="E47" s="48" t="s">
        <v>31</v>
      </c>
      <c r="G47" s="79">
        <f>IF(ROUND(G12,4)=ROUND(
SUMIFS(OP_Rates_RES_1[Ausnet],OP_Rates_RES_1[[Rate name]:[Rate name]],$C47)+
SUMIFS(OP_RatesTU_RES_1[Ausnet],OP_RatesTU_RES_1[[Rate name]:[Rate name]],
IF($D47&lt;&gt;"$",$C47,LEFT($C47,LEN($C47)-FIND(" - supply",$C47)-1))),4),
0,1)</f>
        <v>0</v>
      </c>
      <c r="H47" s="79">
        <f>IF(ROUND(H12,4)=ROUND(
SUMIFS(OP_Rates_RES_1[Citipower],OP_Rates_RES_1[[Rate name]:[Rate name]],$C47)+
SUMIFS(OP_RatesTU_RES_1[Citipower],OP_RatesTU_RES_1[[Rate name]:[Rate name]],
IF($D47&lt;&gt;"$",$C47,LEFT($C47,LEN($C47)-FIND(" - supply",$C47)-1))),4),
0,1)</f>
        <v>0</v>
      </c>
      <c r="I47" s="79">
        <f>IF(ROUND(I12,4)=ROUND(
SUMIFS(OP_Rates_RES_1[Jemena],OP_Rates_RES_1[[Rate name]:[Rate name]],$C47)+
SUMIFS(OP_RatesTU_RES_1[Jemena],OP_RatesTU_RES_1[[Rate name]:[Rate name]],
IF($D47&lt;&gt;"$",$C47,LEFT($C47,LEN($C47)-FIND(" - supply",$C47)-1))),4),
0,1)</f>
        <v>0</v>
      </c>
      <c r="J47" s="79">
        <f>IF(ROUND(J12,4)=ROUND(
SUMIFS(OP_Rates_RES_1[Powercor],OP_Rates_RES_1[[Rate name]:[Rate name]],$C47)+
SUMIFS(OP_RatesTU_RES_1[Powercor],OP_RatesTU_RES_1[[Rate name]:[Rate name]],
IF($D47&lt;&gt;"$",$C47,LEFT($C47,LEN($C47)-FIND(" - supply",$C47)-1))),4),
0,1)</f>
        <v>0</v>
      </c>
      <c r="K47" s="79">
        <f>IF(ROUND(K12,4)=ROUND(
SUMIFS(OP_Rates_RES_1[United Energy],OP_Rates_RES_1[[Rate name]:[Rate name]],$C47)+
SUMIFS(OP_RatesTU_RES_1[United Energy],OP_RatesTU_RES_1[[Rate name]:[Rate name]],
IF($D47&lt;&gt;"$",$C47,LEFT($C47,LEN($C47)-FIND(" - supply",$C47)-1))),4),
0,1)</f>
        <v>0</v>
      </c>
      <c r="M47" s="48" t="s">
        <v>338</v>
      </c>
      <c r="N47" s="48" t="s">
        <v>218</v>
      </c>
      <c r="O47" s="48" t="s">
        <v>32</v>
      </c>
      <c r="Q47" s="79">
        <f>IF(ROUND(Q12,4)=ROUND(
SUMIFS(OP_Rates_SME_1[Ausnet],OP_Rates_SME_1[[Rate name]:[Rate name]],$C47)+
SUMIFS(OP_RatesTU_SME_1[Ausnet],OP_RatesTU_SME_1[[Rate name]:[Rate name]],
IF($D47&lt;&gt;"$",$C47,LEFT($C47,LEN($C47)-FIND(" - supply",$C47)-1))),4),
0,1)</f>
        <v>0</v>
      </c>
      <c r="R47" s="79">
        <f>IF(ROUND(R12,4)=ROUND(
SUMIFS(OP_Rates_SME_1[Citipower],OP_Rates_SME_1[[Rate name]:[Rate name]],$C47)+
SUMIFS(OP_RatesTU_SME_1[Citipower],OP_RatesTU_SME_1[[Rate name]:[Rate name]],
IF($D47&lt;&gt;"$",$C47,LEFT($C47,LEN($C47)-FIND(" - supply",$C47)-1))),4),
0,1)</f>
        <v>0</v>
      </c>
      <c r="S47" s="79">
        <f>IF(ROUND(S12,4)=ROUND(
SUMIFS(OP_Rates_SME_1[Jemena],OP_Rates_SME_1[[Rate name]:[Rate name]],$C47)+
SUMIFS(OP_RatesTU_SME_1[Jemena],OP_RatesTU_SME_1[[Rate name]:[Rate name]],
IF($D47&lt;&gt;"$",$C47,LEFT($C47,LEN($C47)-FIND(" - supply",$C47)-1))),4),
0,1)</f>
        <v>0</v>
      </c>
      <c r="T47" s="79">
        <f>IF(ROUND(T12,4)=ROUND(
SUMIFS(OP_Rates_SME_1[Powercor],OP_Rates_SME_1[[Rate name]:[Rate name]],$C47)+
SUMIFS(OP_RatesTU_SME_1[Powercor],OP_RatesTU_SME_1[[Rate name]:[Rate name]],
IF($D47&lt;&gt;"$",$C47,LEFT($C47,LEN($C47)-FIND(" - supply",$C47)-1))),4),
0,1)</f>
        <v>0</v>
      </c>
      <c r="U47" s="79">
        <f>IF(ROUND(U12,4)=ROUND(
SUMIFS(OP_Rates_SME_1[United Energy],OP_Rates_SME_1[[Rate name]:[Rate name]],$C47)+
SUMIFS(OP_RatesTU_SME_1[United Energy],OP_RatesTU_SME_1[[Rate name]:[Rate name]],
IF($D47&lt;&gt;"$",$C47,LEFT($C47,LEN($C47)-FIND(" - supply",$C47)-1))),4),
0,1)</f>
        <v>0</v>
      </c>
    </row>
    <row r="48" spans="3:21" ht="15.75" hidden="1" outlineLevel="2" x14ac:dyDescent="0.25">
      <c r="C48" s="48" t="s">
        <v>340</v>
      </c>
      <c r="D48" s="48" t="s">
        <v>45</v>
      </c>
      <c r="E48" s="48" t="s">
        <v>31</v>
      </c>
      <c r="G48" s="79">
        <f>IF(ROUND(G13,4)=ROUND(
SUMIFS(OP_Rates_RES_1[Ausnet],OP_Rates_RES_1[[Rate name]:[Rate name]],$C48)+
SUMIFS(OP_RatesTU_RES_1[Ausnet],OP_RatesTU_RES_1[[Rate name]:[Rate name]],
IF($D48&lt;&gt;"$",$C48,LEFT($C48,LEN($C48)-FIND(" - supply",$C48)-1))),4),
0,1)</f>
        <v>0</v>
      </c>
      <c r="H48" s="79">
        <f>IF(ROUND(H13,4)=ROUND(
SUMIFS(OP_Rates_RES_1[Citipower],OP_Rates_RES_1[[Rate name]:[Rate name]],$C48)+
SUMIFS(OP_RatesTU_RES_1[Citipower],OP_RatesTU_RES_1[[Rate name]:[Rate name]],
IF($D48&lt;&gt;"$",$C48,LEFT($C48,LEN($C48)-FIND(" - supply",$C48)-1))),4),
0,1)</f>
        <v>0</v>
      </c>
      <c r="I48" s="79">
        <f>IF(ROUND(I13,4)=ROUND(
SUMIFS(OP_Rates_RES_1[Jemena],OP_Rates_RES_1[[Rate name]:[Rate name]],$C48)+
SUMIFS(OP_RatesTU_RES_1[Jemena],OP_RatesTU_RES_1[[Rate name]:[Rate name]],
IF($D48&lt;&gt;"$",$C48,LEFT($C48,LEN($C48)-FIND(" - supply",$C48)-1))),4),
0,1)</f>
        <v>0</v>
      </c>
      <c r="J48" s="79">
        <f>IF(ROUND(J13,4)=ROUND(
SUMIFS(OP_Rates_RES_1[Powercor],OP_Rates_RES_1[[Rate name]:[Rate name]],$C48)+
SUMIFS(OP_RatesTU_RES_1[Powercor],OP_RatesTU_RES_1[[Rate name]:[Rate name]],
IF($D48&lt;&gt;"$",$C48,LEFT($C48,LEN($C48)-FIND(" - supply",$C48)-1))),4),
0,1)</f>
        <v>0</v>
      </c>
      <c r="K48" s="79">
        <f>IF(ROUND(K13,4)=ROUND(
SUMIFS(OP_Rates_RES_1[United Energy],OP_Rates_RES_1[[Rate name]:[Rate name]],$C48)+
SUMIFS(OP_RatesTU_RES_1[United Energy],OP_RatesTU_RES_1[[Rate name]:[Rate name]],
IF($D48&lt;&gt;"$",$C48,LEFT($C48,LEN($C48)-FIND(" - supply",$C48)-1))),4),
0,1)</f>
        <v>0</v>
      </c>
      <c r="M48" s="48" t="s">
        <v>340</v>
      </c>
      <c r="N48" s="48" t="s">
        <v>45</v>
      </c>
      <c r="O48" s="48" t="s">
        <v>32</v>
      </c>
      <c r="Q48" s="79">
        <f>IF(ROUND(Q13,4)=ROUND(
SUMIFS(OP_Rates_SME_1[Ausnet],OP_Rates_SME_1[[Rate name]:[Rate name]],$C48)+
SUMIFS(OP_RatesTU_SME_1[Ausnet],OP_RatesTU_SME_1[[Rate name]:[Rate name]],
IF($D48&lt;&gt;"$",$C48,LEFT($C48,LEN($C48)-FIND(" - supply",$C48)-1))),4),
0,1)</f>
        <v>0</v>
      </c>
      <c r="R48" s="79">
        <f>IF(ROUND(R13,4)=ROUND(
SUMIFS(OP_Rates_SME_1[Citipower],OP_Rates_SME_1[[Rate name]:[Rate name]],$C48)+
SUMIFS(OP_RatesTU_SME_1[Citipower],OP_RatesTU_SME_1[[Rate name]:[Rate name]],
IF($D48&lt;&gt;"$",$C48,LEFT($C48,LEN($C48)-FIND(" - supply",$C48)-1))),4),
0,1)</f>
        <v>0</v>
      </c>
      <c r="S48" s="79">
        <f>IF(ROUND(S13,4)=ROUND(
SUMIFS(OP_Rates_SME_1[Jemena],OP_Rates_SME_1[[Rate name]:[Rate name]],$C48)+
SUMIFS(OP_RatesTU_SME_1[Jemena],OP_RatesTU_SME_1[[Rate name]:[Rate name]],
IF($D48&lt;&gt;"$",$C48,LEFT($C48,LEN($C48)-FIND(" - supply",$C48)-1))),4),
0,1)</f>
        <v>0</v>
      </c>
      <c r="T48" s="79">
        <f>IF(ROUND(T13,4)=ROUND(
SUMIFS(OP_Rates_SME_1[Powercor],OP_Rates_SME_1[[Rate name]:[Rate name]],$C48)+
SUMIFS(OP_RatesTU_SME_1[Powercor],OP_RatesTU_SME_1[[Rate name]:[Rate name]],
IF($D48&lt;&gt;"$",$C48,LEFT($C48,LEN($C48)-FIND(" - supply",$C48)-1))),4),
0,1)</f>
        <v>0</v>
      </c>
      <c r="U48" s="79">
        <f>IF(ROUND(U13,4)=ROUND(
SUMIFS(OP_Rates_SME_1[United Energy],OP_Rates_SME_1[[Rate name]:[Rate name]],$C48)+
SUMIFS(OP_RatesTU_SME_1[United Energy],OP_RatesTU_SME_1[[Rate name]:[Rate name]],
IF($D48&lt;&gt;"$",$C48,LEFT($C48,LEN($C48)-FIND(" - supply",$C48)-1))),4),
0,1)</f>
        <v>0</v>
      </c>
    </row>
    <row r="49" spans="3:21" ht="15.75" hidden="1" outlineLevel="2" x14ac:dyDescent="0.25">
      <c r="C49" s="48" t="s">
        <v>166</v>
      </c>
      <c r="D49" s="48" t="s">
        <v>218</v>
      </c>
      <c r="E49" s="48" t="s">
        <v>31</v>
      </c>
      <c r="G49" s="79">
        <f>IF(ROUND(G14,4)=ROUND(
SUMIFS(OP_Rates_RES_1[Ausnet],OP_Rates_RES_1[[Rate name]:[Rate name]],$C49)+
SUMIFS(OP_RatesTU_RES_1[Ausnet],OP_RatesTU_RES_1[[Rate name]:[Rate name]],
IF($D49&lt;&gt;"$",$C49,LEFT($C49,LEN($C49)-FIND(" - supply",$C49)-1))),4),
0,1)</f>
        <v>0</v>
      </c>
      <c r="H49" s="79">
        <f>IF(ROUND(H14,4)=ROUND(
SUMIFS(OP_Rates_RES_1[Citipower],OP_Rates_RES_1[[Rate name]:[Rate name]],$C49)+
SUMIFS(OP_RatesTU_RES_1[Citipower],OP_RatesTU_RES_1[[Rate name]:[Rate name]],
IF($D49&lt;&gt;"$",$C49,LEFT($C49,LEN($C49)-FIND(" - supply",$C49)-1))),4),
0,1)</f>
        <v>0</v>
      </c>
      <c r="I49" s="79">
        <f>IF(ROUND(I14,4)=ROUND(
SUMIFS(OP_Rates_RES_1[Jemena],OP_Rates_RES_1[[Rate name]:[Rate name]],$C49)+
SUMIFS(OP_RatesTU_RES_1[Jemena],OP_RatesTU_RES_1[[Rate name]:[Rate name]],
IF($D49&lt;&gt;"$",$C49,LEFT($C49,LEN($C49)-FIND(" - supply",$C49)-1))),4),
0,1)</f>
        <v>0</v>
      </c>
      <c r="J49" s="79">
        <f>IF(ROUND(J14,4)=ROUND(
SUMIFS(OP_Rates_RES_1[Powercor],OP_Rates_RES_1[[Rate name]:[Rate name]],$C49)+
SUMIFS(OP_RatesTU_RES_1[Powercor],OP_RatesTU_RES_1[[Rate name]:[Rate name]],
IF($D49&lt;&gt;"$",$C49,LEFT($C49,LEN($C49)-FIND(" - supply",$C49)-1))),4),
0,1)</f>
        <v>0</v>
      </c>
      <c r="K49" s="79">
        <f>IF(ROUND(K14,4)=ROUND(
SUMIFS(OP_Rates_RES_1[United Energy],OP_Rates_RES_1[[Rate name]:[Rate name]],$C49)+
SUMIFS(OP_RatesTU_RES_1[United Energy],OP_RatesTU_RES_1[[Rate name]:[Rate name]],
IF($D49&lt;&gt;"$",$C49,LEFT($C49,LEN($C49)-FIND(" - supply",$C49)-1))),4),
0,1)</f>
        <v>0</v>
      </c>
      <c r="M49" s="48" t="s">
        <v>166</v>
      </c>
      <c r="N49" s="48" t="s">
        <v>218</v>
      </c>
      <c r="O49" s="48" t="s">
        <v>32</v>
      </c>
      <c r="Q49" s="79">
        <f>IF(ROUND(Q14,4)=ROUND(
SUMIFS(OP_Rates_SME_1[Ausnet],OP_Rates_SME_1[[Rate name]:[Rate name]],$C49)+
SUMIFS(OP_RatesTU_SME_1[Ausnet],OP_RatesTU_SME_1[[Rate name]:[Rate name]],
IF($D49&lt;&gt;"$",$C49,LEFT($C49,LEN($C49)-FIND(" - supply",$C49)-1))),4),
0,1)</f>
        <v>0</v>
      </c>
      <c r="R49" s="79">
        <f>IF(ROUND(R14,4)=ROUND(
SUMIFS(OP_Rates_SME_1[Citipower],OP_Rates_SME_1[[Rate name]:[Rate name]],$C49)+
SUMIFS(OP_RatesTU_SME_1[Citipower],OP_RatesTU_SME_1[[Rate name]:[Rate name]],
IF($D49&lt;&gt;"$",$C49,LEFT($C49,LEN($C49)-FIND(" - supply",$C49)-1))),4),
0,1)</f>
        <v>0</v>
      </c>
      <c r="S49" s="79">
        <f>IF(ROUND(S14,4)=ROUND(
SUMIFS(OP_Rates_SME_1[Jemena],OP_Rates_SME_1[[Rate name]:[Rate name]],$C49)+
SUMIFS(OP_RatesTU_SME_1[Jemena],OP_RatesTU_SME_1[[Rate name]:[Rate name]],
IF($D49&lt;&gt;"$",$C49,LEFT($C49,LEN($C49)-FIND(" - supply",$C49)-1))),4),
0,1)</f>
        <v>0</v>
      </c>
      <c r="T49" s="79">
        <f>IF(ROUND(T14,4)=ROUND(
SUMIFS(OP_Rates_SME_1[Powercor],OP_Rates_SME_1[[Rate name]:[Rate name]],$C49)+
SUMIFS(OP_RatesTU_SME_1[Powercor],OP_RatesTU_SME_1[[Rate name]:[Rate name]],
IF($D49&lt;&gt;"$",$C49,LEFT($C49,LEN($C49)-FIND(" - supply",$C49)-1))),4),
0,1)</f>
        <v>0</v>
      </c>
      <c r="U49" s="79">
        <f>IF(ROUND(U14,4)=ROUND(
SUMIFS(OP_Rates_SME_1[United Energy],OP_Rates_SME_1[[Rate name]:[Rate name]],$C49)+
SUMIFS(OP_RatesTU_SME_1[United Energy],OP_RatesTU_SME_1[[Rate name]:[Rate name]],
IF($D49&lt;&gt;"$",$C49,LEFT($C49,LEN($C49)-FIND(" - supply",$C49)-1))),4),
0,1)</f>
        <v>0</v>
      </c>
    </row>
    <row r="50" spans="3:21" ht="15.75" hidden="1" outlineLevel="2" x14ac:dyDescent="0.25">
      <c r="C50" s="48" t="s">
        <v>370</v>
      </c>
      <c r="D50" s="48" t="s">
        <v>218</v>
      </c>
      <c r="E50" s="48" t="s">
        <v>31</v>
      </c>
      <c r="G50" s="79">
        <f>IF(ROUND(G15,4)=ROUND(
SUMIFS(OP_Rates_RES_1[Ausnet],OP_Rates_RES_1[[Rate name]:[Rate name]],$C50)+
SUMIFS(OP_RatesTU_RES_1[Ausnet],OP_RatesTU_RES_1[[Rate name]:[Rate name]],
IF($D50&lt;&gt;"$",$C50,LEFT($C50,LEN($C50)-FIND(" - supply",$C50)-1))),4),
0,1)</f>
        <v>0</v>
      </c>
      <c r="H50" s="79">
        <f>IF(ROUND(H15,4)=ROUND(
SUMIFS(OP_Rates_RES_1[Citipower],OP_Rates_RES_1[[Rate name]:[Rate name]],$C50)+
SUMIFS(OP_RatesTU_RES_1[Citipower],OP_RatesTU_RES_1[[Rate name]:[Rate name]],
IF($D50&lt;&gt;"$",$C50,LEFT($C50,LEN($C50)-FIND(" - supply",$C50)-1))),4),
0,1)</f>
        <v>0</v>
      </c>
      <c r="I50" s="79">
        <f>IF(ROUND(I15,4)=ROUND(
SUMIFS(OP_Rates_RES_1[Jemena],OP_Rates_RES_1[[Rate name]:[Rate name]],$C50)+
SUMIFS(OP_RatesTU_RES_1[Jemena],OP_RatesTU_RES_1[[Rate name]:[Rate name]],
IF($D50&lt;&gt;"$",$C50,LEFT($C50,LEN($C50)-FIND(" - supply",$C50)-1))),4),
0,1)</f>
        <v>0</v>
      </c>
      <c r="J50" s="79">
        <f>IF(ROUND(J15,4)=ROUND(
SUMIFS(OP_Rates_RES_1[Powercor],OP_Rates_RES_1[[Rate name]:[Rate name]],$C50)+
SUMIFS(OP_RatesTU_RES_1[Powercor],OP_RatesTU_RES_1[[Rate name]:[Rate name]],
IF($D50&lt;&gt;"$",$C50,LEFT($C50,LEN($C50)-FIND(" - supply",$C50)-1))),4),
0,1)</f>
        <v>0</v>
      </c>
      <c r="K50" s="79">
        <f>IF(ROUND(K15,4)=ROUND(
SUMIFS(OP_Rates_RES_1[United Energy],OP_Rates_RES_1[[Rate name]:[Rate name]],$C50)+
SUMIFS(OP_RatesTU_RES_1[United Energy],OP_RatesTU_RES_1[[Rate name]:[Rate name]],
IF($D50&lt;&gt;"$",$C50,LEFT($C50,LEN($C50)-FIND(" - supply",$C50)-1))),4),
0,1)</f>
        <v>0</v>
      </c>
      <c r="M50" s="48" t="s">
        <v>370</v>
      </c>
      <c r="N50" s="48" t="s">
        <v>218</v>
      </c>
      <c r="O50" s="48" t="s">
        <v>32</v>
      </c>
      <c r="Q50" s="79">
        <f>IF(ROUND(Q15,4)=ROUND(
SUMIFS(OP_Rates_SME_1[Ausnet],OP_Rates_SME_1[[Rate name]:[Rate name]],$C50)+
SUMIFS(OP_RatesTU_SME_1[Ausnet],OP_RatesTU_SME_1[[Rate name]:[Rate name]],
IF($D50&lt;&gt;"$",$C50,LEFT($C50,LEN($C50)-FIND(" - supply",$C50)-1))),4),
0,1)</f>
        <v>0</v>
      </c>
      <c r="R50" s="79">
        <f>IF(ROUND(R15,4)=ROUND(
SUMIFS(OP_Rates_SME_1[Citipower],OP_Rates_SME_1[[Rate name]:[Rate name]],$C50)+
SUMIFS(OP_RatesTU_SME_1[Citipower],OP_RatesTU_SME_1[[Rate name]:[Rate name]],
IF($D50&lt;&gt;"$",$C50,LEFT($C50,LEN($C50)-FIND(" - supply",$C50)-1))),4),
0,1)</f>
        <v>0</v>
      </c>
      <c r="S50" s="79">
        <f>IF(ROUND(S15,4)=ROUND(
SUMIFS(OP_Rates_SME_1[Jemena],OP_Rates_SME_1[[Rate name]:[Rate name]],$C50)+
SUMIFS(OP_RatesTU_SME_1[Jemena],OP_RatesTU_SME_1[[Rate name]:[Rate name]],
IF($D50&lt;&gt;"$",$C50,LEFT($C50,LEN($C50)-FIND(" - supply",$C50)-1))),4),
0,1)</f>
        <v>0</v>
      </c>
      <c r="T50" s="79">
        <f>IF(ROUND(T15,4)=ROUND(
SUMIFS(OP_Rates_SME_1[Powercor],OP_Rates_SME_1[[Rate name]:[Rate name]],$C50)+
SUMIFS(OP_RatesTU_SME_1[Powercor],OP_RatesTU_SME_1[[Rate name]:[Rate name]],
IF($D50&lt;&gt;"$",$C50,LEFT($C50,LEN($C50)-FIND(" - supply",$C50)-1))),4),
0,1)</f>
        <v>0</v>
      </c>
      <c r="U50" s="79">
        <f>IF(ROUND(U15,4)=ROUND(
SUMIFS(OP_Rates_SME_1[United Energy],OP_Rates_SME_1[[Rate name]:[Rate name]],$C50)+
SUMIFS(OP_RatesTU_SME_1[United Energy],OP_RatesTU_SME_1[[Rate name]:[Rate name]],
IF($D50&lt;&gt;"$",$C50,LEFT($C50,LEN($C50)-FIND(" - supply",$C50)-1))),4),
0,1)</f>
        <v>0</v>
      </c>
    </row>
    <row r="51" spans="3:21" ht="15.75" hidden="1" outlineLevel="2" x14ac:dyDescent="0.25">
      <c r="C51" s="48" t="s">
        <v>223</v>
      </c>
      <c r="D51" s="48" t="s">
        <v>218</v>
      </c>
      <c r="E51" s="48" t="s">
        <v>31</v>
      </c>
      <c r="G51" s="79">
        <f>IF(ROUND(G16,4)=ROUND(
SUMIFS(OP_Rates_RES_1[Ausnet],OP_Rates_RES_1[[Rate name]:[Rate name]],$C51)+
SUMIFS(OP_RatesTU_RES_1[Ausnet],OP_RatesTU_RES_1[[Rate name]:[Rate name]],
IF($D51&lt;&gt;"$",$C51,LEFT($C51,LEN($C51)-FIND(" - supply",$C51)-1))),4),
0,1)</f>
        <v>0</v>
      </c>
      <c r="H51" s="79">
        <f>IF(ROUND(H16,4)=ROUND(
SUMIFS(OP_Rates_RES_1[Citipower],OP_Rates_RES_1[[Rate name]:[Rate name]],$C51)+
SUMIFS(OP_RatesTU_RES_1[Citipower],OP_RatesTU_RES_1[[Rate name]:[Rate name]],
IF($D51&lt;&gt;"$",$C51,LEFT($C51,LEN($C51)-FIND(" - supply",$C51)-1))),4),
0,1)</f>
        <v>0</v>
      </c>
      <c r="I51" s="79">
        <f>IF(ROUND(I16,4)=ROUND(
SUMIFS(OP_Rates_RES_1[Jemena],OP_Rates_RES_1[[Rate name]:[Rate name]],$C51)+
SUMIFS(OP_RatesTU_RES_1[Jemena],OP_RatesTU_RES_1[[Rate name]:[Rate name]],
IF($D51&lt;&gt;"$",$C51,LEFT($C51,LEN($C51)-FIND(" - supply",$C51)-1))),4),
0,1)</f>
        <v>0</v>
      </c>
      <c r="J51" s="79">
        <f>IF(ROUND(J16,4)=ROUND(
SUMIFS(OP_Rates_RES_1[Powercor],OP_Rates_RES_1[[Rate name]:[Rate name]],$C51)+
SUMIFS(OP_RatesTU_RES_1[Powercor],OP_RatesTU_RES_1[[Rate name]:[Rate name]],
IF($D51&lt;&gt;"$",$C51,LEFT($C51,LEN($C51)-FIND(" - supply",$C51)-1))),4),
0,1)</f>
        <v>0</v>
      </c>
      <c r="K51" s="79">
        <f>IF(ROUND(K16,4)=ROUND(
SUMIFS(OP_Rates_RES_1[United Energy],OP_Rates_RES_1[[Rate name]:[Rate name]],$C51)+
SUMIFS(OP_RatesTU_RES_1[United Energy],OP_RatesTU_RES_1[[Rate name]:[Rate name]],
IF($D51&lt;&gt;"$",$C51,LEFT($C51,LEN($C51)-FIND(" - supply",$C51)-1))),4),
0,1)</f>
        <v>0</v>
      </c>
      <c r="M51" s="48"/>
      <c r="N51" s="48"/>
      <c r="O51" s="48"/>
      <c r="Q51" s="79"/>
      <c r="R51" s="79"/>
      <c r="S51" s="79"/>
      <c r="T51" s="79"/>
      <c r="U51" s="79"/>
    </row>
    <row r="52" spans="3:21" hidden="1" outlineLevel="2" x14ac:dyDescent="0.25"/>
    <row r="53" spans="3:21" ht="15.75" hidden="1" outlineLevel="2" x14ac:dyDescent="0.25">
      <c r="C53" s="23" t="str">
        <f>C$18&amp;" - checks"</f>
        <v>Residential calculated rate - checks</v>
      </c>
      <c r="M53" s="23" t="str">
        <f>M$18&amp;" - checks"</f>
        <v>Small business calculated rate - checks</v>
      </c>
    </row>
    <row r="54" spans="3:21" ht="15.75" hidden="1" outlineLevel="2" x14ac:dyDescent="0.25">
      <c r="C54" s="33" t="s">
        <v>263</v>
      </c>
      <c r="D54" s="33" t="s">
        <v>38</v>
      </c>
      <c r="E54" s="33" t="s">
        <v>30</v>
      </c>
      <c r="G54" s="42" t="s">
        <v>204</v>
      </c>
      <c r="H54" s="42" t="s">
        <v>205</v>
      </c>
      <c r="I54" s="42" t="s">
        <v>206</v>
      </c>
      <c r="J54" s="42" t="s">
        <v>207</v>
      </c>
      <c r="K54" s="42" t="s">
        <v>208</v>
      </c>
      <c r="M54" s="33" t="s">
        <v>263</v>
      </c>
      <c r="N54" s="33" t="s">
        <v>38</v>
      </c>
      <c r="O54" s="33" t="s">
        <v>30</v>
      </c>
      <c r="Q54" s="42" t="s">
        <v>204</v>
      </c>
      <c r="R54" s="42" t="s">
        <v>205</v>
      </c>
      <c r="S54" s="42" t="s">
        <v>206</v>
      </c>
      <c r="T54" s="42" t="s">
        <v>207</v>
      </c>
      <c r="U54" s="42" t="s">
        <v>208</v>
      </c>
    </row>
    <row r="55" spans="3:21" ht="15.75" hidden="1" outlineLevel="2" x14ac:dyDescent="0.25">
      <c r="C55" s="18" t="s">
        <v>339</v>
      </c>
      <c r="D55" s="18" t="s">
        <v>45</v>
      </c>
      <c r="E55" s="18" t="s">
        <v>31</v>
      </c>
      <c r="G55" s="79" cm="1">
        <f t="array" ref="G55">IF(G20="-","-",
IF(ROUND(G20,8)=
ROUND(((
(SUMIFS(Calc_NetworkF_1[Ausnet],Calc_NetworkF_1[[Cost item]:[Cost item]],$C55,Calc_NetworkF_1[[Customer type]:[Customer type]],$E55)+
SUMIFS(Calc_Fixed_1[Ausnet],Calc_Fixed_1[[Customer type]:[Customer type]],"All")+
SUMIFS(Calc_Fixed_1[Ausnet],Calc_Fixed_1[[Customer type]:[Customer type]],$E55))/DiY)*(1+Calc_ROM_1[Ausnet]))*(1+GST),8),0,1))</f>
        <v>0</v>
      </c>
      <c r="H55" s="79" cm="1">
        <f t="array" ref="H55">IF(H20="-","-",
IF(ROUND(H20,8)=
ROUND(((
(SUMIFS(Calc_NetworkF_1[Citipower],Calc_NetworkF_1[[Cost item]:[Cost item]],$C55,Calc_NetworkF_1[[Customer type]:[Customer type]],$E55)+
SUMIFS(Calc_Fixed_1[Citipower],Calc_Fixed_1[[Customer type]:[Customer type]],"All")+
SUMIFS(Calc_Fixed_1[Citipower],Calc_Fixed_1[[Customer type]:[Customer type]],$E55))/DiY)*(1+Calc_ROM_1[Citipower]))*(1+GST),8),0,1))</f>
        <v>0</v>
      </c>
      <c r="I55" s="79" cm="1">
        <f t="array" ref="I55">IF(I20="-","-",
IF(ROUND(I20,8)=
ROUND(((
(SUMIFS(Calc_NetworkF_1[Jemena],Calc_NetworkF_1[[Cost item]:[Cost item]],$C55,Calc_NetworkF_1[[Customer type]:[Customer type]],$E55)+
SUMIFS(Calc_Fixed_1[Jemena],Calc_Fixed_1[[Customer type]:[Customer type]],"All")+
SUMIFS(Calc_Fixed_1[Jemena],Calc_Fixed_1[[Customer type]:[Customer type]],$E55))/DiY)*(1+Calc_ROM_1[Jemena]))*(1+GST),8),0,1))</f>
        <v>0</v>
      </c>
      <c r="J55" s="79" cm="1">
        <f t="array" ref="J55">IF(J20="-","-",
IF(ROUND(J20,8)=
ROUND(((
(SUMIFS(Calc_NetworkF_1[Powercor],Calc_NetworkF_1[[Cost item]:[Cost item]],$C55,Calc_NetworkF_1[[Customer type]:[Customer type]],$E55)+
SUMIFS(Calc_Fixed_1[Powercor],Calc_Fixed_1[[Customer type]:[Customer type]],"All")+
SUMIFS(Calc_Fixed_1[Powercor],Calc_Fixed_1[[Customer type]:[Customer type]],$E55))/DiY)*(1+Calc_ROM_1[Powercor]))*(1+GST),8),0,1))</f>
        <v>0</v>
      </c>
      <c r="K55" s="79" cm="1">
        <f t="array" ref="K55">IF(K20="-","-",
IF(ROUND(K20,8)=
ROUND(((
(SUMIFS(Calc_NetworkF_1[United Energy],Calc_NetworkF_1[[Cost item]:[Cost item]],$C55,Calc_NetworkF_1[[Customer type]:[Customer type]],$E55)+
SUMIFS(Calc_Fixed_1[United Energy],Calc_Fixed_1[[Customer type]:[Customer type]],"All")+
SUMIFS(Calc_Fixed_1[United Energy],Calc_Fixed_1[[Customer type]:[Customer type]],$E55))/DiY)*(1+Calc_ROM_1[United Energy]))*(1+GST),8),0,1))</f>
        <v>0</v>
      </c>
      <c r="M55" s="18" t="s">
        <v>339</v>
      </c>
      <c r="N55" s="18" t="s">
        <v>45</v>
      </c>
      <c r="O55" s="18" t="s">
        <v>32</v>
      </c>
      <c r="Q55" s="79" cm="1">
        <f t="array" ref="Q55">IF(Q20="-","-",
IF(ROUND(Q20,8)=
ROUND(((
(SUMIFS(Calc_NetworkF_1[Ausnet],Calc_NetworkF_1[[Cost item]:[Cost item]],$M55,Calc_NetworkF_1[[Customer type]:[Customer type]],$O55)+
SUMIFS(Calc_Fixed_1[Ausnet],Calc_Fixed_1[[Customer type]:[Customer type]],"All")+
SUMIFS(Calc_Fixed_1[Ausnet],Calc_Fixed_1[[Customer type]:[Customer type]],$O55))/DiY)*(1+Calc_ROM_1[Ausnet]))*(1+GST),8),0,1))</f>
        <v>0</v>
      </c>
      <c r="R55" s="79" cm="1">
        <f t="array" ref="R55">IF(R20="-","-",
IF(ROUND(R20,8)=
ROUND(((
(SUMIFS(Calc_NetworkF_1[Citipower],Calc_NetworkF_1[[Cost item]:[Cost item]],$M55,Calc_NetworkF_1[[Customer type]:[Customer type]],$O55)+
SUMIFS(Calc_Fixed_1[Citipower],Calc_Fixed_1[[Customer type]:[Customer type]],"All")+
SUMIFS(Calc_Fixed_1[Citipower],Calc_Fixed_1[[Customer type]:[Customer type]],$O55))/DiY)*(1+Calc_ROM_1[Citipower]))*(1+GST),8),0,1))</f>
        <v>0</v>
      </c>
      <c r="S55" s="79" cm="1">
        <f t="array" ref="S55">IF(S20="-","-",
IF(ROUND(S20,8)=
ROUND(((
(SUMIFS(Calc_NetworkF_1[Jemena],Calc_NetworkF_1[[Cost item]:[Cost item]],$M55,Calc_NetworkF_1[[Customer type]:[Customer type]],$O55)+
SUMIFS(Calc_Fixed_1[Jemena],Calc_Fixed_1[[Customer type]:[Customer type]],"All")+
SUMIFS(Calc_Fixed_1[Jemena],Calc_Fixed_1[[Customer type]:[Customer type]],$O55))/DiY)*(1+Calc_ROM_1[Jemena]))*(1+GST),8),0,1))</f>
        <v>0</v>
      </c>
      <c r="T55" s="79" cm="1">
        <f t="array" ref="T55">IF(T20="-","-",
IF(ROUND(T20,8)=
ROUND(((
(SUMIFS(Calc_NetworkF_1[Powercor],Calc_NetworkF_1[[Cost item]:[Cost item]],$M55,Calc_NetworkF_1[[Customer type]:[Customer type]],$O55)+
SUMIFS(Calc_Fixed_1[Powercor],Calc_Fixed_1[[Customer type]:[Customer type]],"All")+
SUMIFS(Calc_Fixed_1[Powercor],Calc_Fixed_1[[Customer type]:[Customer type]],$O55))/DiY)*(1+Calc_ROM_1[Powercor]))*(1+GST),8),0,1))</f>
        <v>0</v>
      </c>
      <c r="U55" s="79" cm="1">
        <f t="array" ref="U55">IF(U20="-","-",
IF(ROUND(U20,8)=
ROUND(((
(SUMIFS(Calc_NetworkF_1[United Energy],Calc_NetworkF_1[[Cost item]:[Cost item]],$M55,Calc_NetworkF_1[[Customer type]:[Customer type]],$O55)+
SUMIFS(Calc_Fixed_1[United Energy],Calc_Fixed_1[[Customer type]:[Customer type]],"All")+
SUMIFS(Calc_Fixed_1[United Energy],Calc_Fixed_1[[Customer type]:[Customer type]],$O55))/DiY)*(1+Calc_ROM_1[United Energy]))*(1+GST),8),0,1))</f>
        <v>0</v>
      </c>
    </row>
    <row r="56" spans="3:21" ht="15.75" hidden="1" outlineLevel="2" x14ac:dyDescent="0.25">
      <c r="C56" s="18" t="s">
        <v>157</v>
      </c>
      <c r="D56" s="18" t="s">
        <v>218</v>
      </c>
      <c r="E56" s="18" t="s">
        <v>31</v>
      </c>
      <c r="G56" s="79" cm="1">
        <f t="array" ref="G56">IF(G21="-","-",
IF(ROUND(G21,8)=ROUND(
((SUMIFS(Calc_Variable_1[Ausnet],Calc_Variable_1[[Customer type]:[Customer type]],"All")+
SUMIFS(Calc_Variable_1[Ausnet],Calc_Variable_1[[Customer type]:[Customer type]],OP_Rates!$E56)+
SUMIFS(Calc_NetworkV_1[Ausnet],Calc_NetworkV_1[[Customer type]:[Customer type]],OP_Rates!$E56,Calc_NetworkV_1[[Cost item]:[Cost item]],OP_Rates!$C56))*(1+Calc_ROM_1[Ausnet]))*(1+GST),8),0,1))</f>
        <v>0</v>
      </c>
      <c r="H56" s="79" t="str" cm="1">
        <f t="array" ref="H56">IF(H21="-","-",
IF(ROUND(H21,8)=ROUND(
((SUMIFS(Calc_Variable_1[Citipower],Calc_Variable_1[[Customer type]:[Customer type]],"All")+
SUMIFS(Calc_Variable_1[Citipower],Calc_Variable_1[[Customer type]:[Customer type]],OP_Rates!$E56)+
SUMIFS(Calc_NetworkV_1[Citipower],Calc_NetworkV_1[[Customer type]:[Customer type]],OP_Rates!$E56,Calc_NetworkV_1[[Cost item]:[Cost item]],OP_Rates!$C56))*(1+Calc_ROM_1[Citipower]))*(1+GST),8),0,1))</f>
        <v>-</v>
      </c>
      <c r="I56" s="79" t="str" cm="1">
        <f t="array" ref="I56">IF(I21="-","-",
IF(ROUND(I21,8)=ROUND(
((SUMIFS(Calc_Variable_1[Jemena],Calc_Variable_1[[Customer type]:[Customer type]],"All")+
SUMIFS(Calc_Variable_1[Jemena],Calc_Variable_1[[Customer type]:[Customer type]],OP_Rates!$E56)+
SUMIFS(Calc_NetworkV_1[Jemena],Calc_NetworkV_1[[Customer type]:[Customer type]],OP_Rates!$E56,Calc_NetworkV_1[[Cost item]:[Cost item]],OP_Rates!$C56))*(1+Calc_ROM_1[Jemena]))*(1+GST),8),0,1))</f>
        <v>-</v>
      </c>
      <c r="J56" s="79" t="str" cm="1">
        <f t="array" ref="J56">IF(J21="-","-",
IF(ROUND(J21,8)=ROUND(
((SUMIFS(Calc_Variable_1[Powercor],Calc_Variable_1[[Customer type]:[Customer type]],"All")+
SUMIFS(Calc_Variable_1[Powercor],Calc_Variable_1[[Customer type]:[Customer type]],OP_Rates!$E56)+
SUMIFS(Calc_NetworkV_1[Powercor],Calc_NetworkV_1[[Customer type]:[Customer type]],OP_Rates!$E56,Calc_NetworkV_1[[Cost item]:[Cost item]],OP_Rates!$C56))*(1+Calc_ROM_1[Powercor]))*(1+GST),8),0,1))</f>
        <v>-</v>
      </c>
      <c r="K56" s="79" t="str" cm="1">
        <f t="array" ref="K56">IF(K21="-","-",
IF(ROUND(K21,8)=ROUND(
((SUMIFS(Calc_Variable_1[United Energy],Calc_Variable_1[[Customer type]:[Customer type]],"All")+
SUMIFS(Calc_Variable_1[United Energy],Calc_Variable_1[[Customer type]:[Customer type]],OP_Rates!$E56)+
SUMIFS(Calc_NetworkV_1[United Energy],Calc_NetworkV_1[[Customer type]:[Customer type]],OP_Rates!$E56,Calc_NetworkV_1[[Cost item]:[Cost item]],OP_Rates!$C56))*(1+Calc_ROM_1[United Energy]))*(1+GST),8),0,1))</f>
        <v>-</v>
      </c>
      <c r="M56" s="18" t="s">
        <v>157</v>
      </c>
      <c r="N56" s="18" t="s">
        <v>218</v>
      </c>
      <c r="O56" s="18" t="s">
        <v>32</v>
      </c>
      <c r="Q56" s="79" cm="1">
        <f t="array" ref="Q56">IF(Q21="-","-",
IF(ROUND(Q21,8)=ROUND(
((SUMIFS(Calc_Variable_1[Ausnet],Calc_Variable_1[[Customer type]:[Customer type]],"All")+
SUMIFS(Calc_Variable_1[Ausnet],Calc_Variable_1[[Customer type]:[Customer type]],OP_Rates!$O56)+
SUMIFS(Calc_NetworkV_1[Ausnet],Calc_NetworkV_1[[Customer type]:[Customer type]],OP_Rates!$O56,Calc_NetworkV_1[[Cost item]:[Cost item]],OP_Rates!$M56))*(1+Calc_ROM_1[Ausnet]))*(1+GST),8),0,1))</f>
        <v>0</v>
      </c>
      <c r="R56" s="79" t="str" cm="1">
        <f t="array" ref="R56">IF(R21="-","-",
IF(ROUND(R21,8)=ROUND(
((SUMIFS(Calc_Variable_1[Citipower],Calc_Variable_1[[Customer type]:[Customer type]],"All")+
SUMIFS(Calc_Variable_1[Citipower],Calc_Variable_1[[Customer type]:[Customer type]],OP_Rates!$O56)+
SUMIFS(Calc_NetworkV_1[Citipower],Calc_NetworkV_1[[Customer type]:[Customer type]],OP_Rates!$O56,Calc_NetworkV_1[[Cost item]:[Cost item]],OP_Rates!$M56))*(1+Calc_ROM_1[Citipower]))*(1+GST),8),0,1))</f>
        <v>-</v>
      </c>
      <c r="S56" s="79" t="str" cm="1">
        <f t="array" ref="S56">IF(S21="-","-",
IF(ROUND(S21,8)=ROUND(
((SUMIFS(Calc_Variable_1[Jemena],Calc_Variable_1[[Customer type]:[Customer type]],"All")+
SUMIFS(Calc_Variable_1[Jemena],Calc_Variable_1[[Customer type]:[Customer type]],OP_Rates!$O56)+
SUMIFS(Calc_NetworkV_1[Jemena],Calc_NetworkV_1[[Customer type]:[Customer type]],OP_Rates!$O56,Calc_NetworkV_1[[Cost item]:[Cost item]],OP_Rates!$M56))*(1+Calc_ROM_1[Jemena]))*(1+GST),8),0,1))</f>
        <v>-</v>
      </c>
      <c r="T56" s="79" t="str" cm="1">
        <f t="array" ref="T56">IF(T21="-","-",
IF(ROUND(T21,8)=ROUND(
((SUMIFS(Calc_Variable_1[Powercor],Calc_Variable_1[[Customer type]:[Customer type]],"All")+
SUMIFS(Calc_Variable_1[Powercor],Calc_Variable_1[[Customer type]:[Customer type]],OP_Rates!$O56)+
SUMIFS(Calc_NetworkV_1[Powercor],Calc_NetworkV_1[[Customer type]:[Customer type]],OP_Rates!$O56,Calc_NetworkV_1[[Cost item]:[Cost item]],OP_Rates!$M56))*(1+Calc_ROM_1[Powercor]))*(1+GST),8),0,1))</f>
        <v>-</v>
      </c>
      <c r="U56" s="79" t="str" cm="1">
        <f t="array" ref="U56">IF(U21="-","-",
IF(ROUND(U21,8)=ROUND(
((SUMIFS(Calc_Variable_1[United Energy],Calc_Variable_1[[Customer type]:[Customer type]],"All")+
SUMIFS(Calc_Variable_1[United Energy],Calc_Variable_1[[Customer type]:[Customer type]],OP_Rates!$O56)+
SUMIFS(Calc_NetworkV_1[United Energy],Calc_NetworkV_1[[Customer type]:[Customer type]],OP_Rates!$O56,Calc_NetworkV_1[[Cost item]:[Cost item]],OP_Rates!$M56))*(1+Calc_ROM_1[United Energy]))*(1+GST),8),0,1))</f>
        <v>-</v>
      </c>
    </row>
    <row r="57" spans="3:21" ht="15.75" hidden="1" outlineLevel="2" x14ac:dyDescent="0.25">
      <c r="C57" s="18" t="s">
        <v>164</v>
      </c>
      <c r="D57" s="18" t="s">
        <v>218</v>
      </c>
      <c r="E57" s="18" t="s">
        <v>31</v>
      </c>
      <c r="G57" s="79" cm="1">
        <f t="array" ref="G57">IF(G22="-","-",
IF(ROUND(G22,8)=ROUND(
((SUMIFS(Calc_Variable_1[Ausnet],Calc_Variable_1[[Customer type]:[Customer type]],"All")+
SUMIFS(Calc_Variable_1[Ausnet],Calc_Variable_1[[Customer type]:[Customer type]],OP_Rates!$E57)+
SUMIFS(Calc_NetworkV_1[Ausnet],Calc_NetworkV_1[[Customer type]:[Customer type]],OP_Rates!$E57,Calc_NetworkV_1[[Cost item]:[Cost item]],OP_Rates!$C57))*(1+Calc_ROM_1[Ausnet]))*(1+GST),8),0,1))</f>
        <v>0</v>
      </c>
      <c r="H57" s="79" t="str" cm="1">
        <f t="array" ref="H57">IF(H22="-","-",
IF(ROUND(H22,8)=ROUND(
((SUMIFS(Calc_Variable_1[Citipower],Calc_Variable_1[[Customer type]:[Customer type]],"All")+
SUMIFS(Calc_Variable_1[Citipower],Calc_Variable_1[[Customer type]:[Customer type]],OP_Rates!$E57)+
SUMIFS(Calc_NetworkV_1[Citipower],Calc_NetworkV_1[[Customer type]:[Customer type]],OP_Rates!$E57,Calc_NetworkV_1[[Cost item]:[Cost item]],OP_Rates!$C57))*(1+Calc_ROM_1[Citipower]))*(1+GST),8),0,1))</f>
        <v>-</v>
      </c>
      <c r="I57" s="79" t="str" cm="1">
        <f t="array" ref="I57">IF(I22="-","-",
IF(ROUND(I22,8)=ROUND(
((SUMIFS(Calc_Variable_1[Jemena],Calc_Variable_1[[Customer type]:[Customer type]],"All")+
SUMIFS(Calc_Variable_1[Jemena],Calc_Variable_1[[Customer type]:[Customer type]],OP_Rates!$E57)+
SUMIFS(Calc_NetworkV_1[Jemena],Calc_NetworkV_1[[Customer type]:[Customer type]],OP_Rates!$E57,Calc_NetworkV_1[[Cost item]:[Cost item]],OP_Rates!$C57))*(1+Calc_ROM_1[Jemena]))*(1+GST),8),0,1))</f>
        <v>-</v>
      </c>
      <c r="J57" s="79" t="str" cm="1">
        <f t="array" ref="J57">IF(J22="-","-",
IF(ROUND(J22,8)=ROUND(
((SUMIFS(Calc_Variable_1[Powercor],Calc_Variable_1[[Customer type]:[Customer type]],"All")+
SUMIFS(Calc_Variable_1[Powercor],Calc_Variable_1[[Customer type]:[Customer type]],OP_Rates!$E57)+
SUMIFS(Calc_NetworkV_1[Powercor],Calc_NetworkV_1[[Customer type]:[Customer type]],OP_Rates!$E57,Calc_NetworkV_1[[Cost item]:[Cost item]],OP_Rates!$C57))*(1+Calc_ROM_1[Powercor]))*(1+GST),8),0,1))</f>
        <v>-</v>
      </c>
      <c r="K57" s="79" t="str" cm="1">
        <f t="array" ref="K57">IF(K22="-","-",
IF(ROUND(K22,8)=ROUND(
((SUMIFS(Calc_Variable_1[United Energy],Calc_Variable_1[[Customer type]:[Customer type]],"All")+
SUMIFS(Calc_Variable_1[United Energy],Calc_Variable_1[[Customer type]:[Customer type]],OP_Rates!$E57)+
SUMIFS(Calc_NetworkV_1[United Energy],Calc_NetworkV_1[[Customer type]:[Customer type]],OP_Rates!$E57,Calc_NetworkV_1[[Cost item]:[Cost item]],OP_Rates!$C57))*(1+Calc_ROM_1[United Energy]))*(1+GST),8),0,1))</f>
        <v>-</v>
      </c>
      <c r="M57" s="18" t="s">
        <v>164</v>
      </c>
      <c r="N57" s="18" t="s">
        <v>218</v>
      </c>
      <c r="O57" s="18" t="s">
        <v>32</v>
      </c>
      <c r="Q57" s="79" cm="1">
        <f t="array" ref="Q57">IF(Q22="-","-",
IF(ROUND(Q22,8)=ROUND(
((SUMIFS(Calc_Variable_1[Ausnet],Calc_Variable_1[[Customer type]:[Customer type]],"All")+
SUMIFS(Calc_Variable_1[Ausnet],Calc_Variable_1[[Customer type]:[Customer type]],OP_Rates!$O57)+
SUMIFS(Calc_NetworkV_1[Ausnet],Calc_NetworkV_1[[Customer type]:[Customer type]],OP_Rates!$O57,Calc_NetworkV_1[[Cost item]:[Cost item]],OP_Rates!$M57))*(1+Calc_ROM_1[Ausnet]))*(1+GST),8),0,1))</f>
        <v>0</v>
      </c>
      <c r="R57" s="79" t="str" cm="1">
        <f t="array" ref="R57">IF(R22="-","-",
IF(ROUND(R22,8)=ROUND(
((SUMIFS(Calc_Variable_1[Citipower],Calc_Variable_1[[Customer type]:[Customer type]],"All")+
SUMIFS(Calc_Variable_1[Citipower],Calc_Variable_1[[Customer type]:[Customer type]],OP_Rates!$O57)+
SUMIFS(Calc_NetworkV_1[Citipower],Calc_NetworkV_1[[Customer type]:[Customer type]],OP_Rates!$O57,Calc_NetworkV_1[[Cost item]:[Cost item]],OP_Rates!$M57))*(1+Calc_ROM_1[Citipower]))*(1+GST),8),0,1))</f>
        <v>-</v>
      </c>
      <c r="S57" s="79" t="str" cm="1">
        <f t="array" ref="S57">IF(S22="-","-",
IF(ROUND(S22,8)=ROUND(
((SUMIFS(Calc_Variable_1[Jemena],Calc_Variable_1[[Customer type]:[Customer type]],"All")+
SUMIFS(Calc_Variable_1[Jemena],Calc_Variable_1[[Customer type]:[Customer type]],OP_Rates!$O57)+
SUMIFS(Calc_NetworkV_1[Jemena],Calc_NetworkV_1[[Customer type]:[Customer type]],OP_Rates!$O57,Calc_NetworkV_1[[Cost item]:[Cost item]],OP_Rates!$M57))*(1+Calc_ROM_1[Jemena]))*(1+GST),8),0,1))</f>
        <v>-</v>
      </c>
      <c r="T57" s="79" t="str" cm="1">
        <f t="array" ref="T57">IF(T22="-","-",
IF(ROUND(T22,8)=ROUND(
((SUMIFS(Calc_Variable_1[Powercor],Calc_Variable_1[[Customer type]:[Customer type]],"All")+
SUMIFS(Calc_Variable_1[Powercor],Calc_Variable_1[[Customer type]:[Customer type]],OP_Rates!$O57)+
SUMIFS(Calc_NetworkV_1[Powercor],Calc_NetworkV_1[[Customer type]:[Customer type]],OP_Rates!$O57,Calc_NetworkV_1[[Cost item]:[Cost item]],OP_Rates!$M57))*(1+Calc_ROM_1[Powercor]))*(1+GST),8),0,1))</f>
        <v>-</v>
      </c>
      <c r="U57" s="79" t="str" cm="1">
        <f t="array" ref="U57">IF(U22="-","-",
IF(ROUND(U22,8)=ROUND(
((SUMIFS(Calc_Variable_1[United Energy],Calc_Variable_1[[Customer type]:[Customer type]],"All")+
SUMIFS(Calc_Variable_1[United Energy],Calc_Variable_1[[Customer type]:[Customer type]],OP_Rates!$O57)+
SUMIFS(Calc_NetworkV_1[United Energy],Calc_NetworkV_1[[Customer type]:[Customer type]],OP_Rates!$O57,Calc_NetworkV_1[[Cost item]:[Cost item]],OP_Rates!$M57))*(1+Calc_ROM_1[United Energy]))*(1+GST),8),0,1))</f>
        <v>-</v>
      </c>
    </row>
    <row r="58" spans="3:21" ht="15.75" hidden="1" outlineLevel="2" x14ac:dyDescent="0.25">
      <c r="C58" s="18" t="s">
        <v>338</v>
      </c>
      <c r="D58" s="18" t="s">
        <v>218</v>
      </c>
      <c r="E58" s="18" t="s">
        <v>31</v>
      </c>
      <c r="G58" s="79" t="str" cm="1">
        <f t="array" ref="G58">IF(G23="-","-",
IF(ROUND(G23,8)=ROUND(
((SUMIFS(Calc_Variable_1[Ausnet],Calc_Variable_1[[Customer type]:[Customer type]],"All")+
SUMIFS(Calc_Variable_1[Ausnet],Calc_Variable_1[[Customer type]:[Customer type]],OP_Rates!$E58)+
SUMIFS(Calc_NetworkV_1[Ausnet],Calc_NetworkV_1[[Customer type]:[Customer type]],OP_Rates!$E58,Calc_NetworkV_1[[Cost item]:[Cost item]],OP_Rates!$C58))*(1+Calc_ROM_1[Ausnet]))*(1+GST),8),0,1))</f>
        <v>-</v>
      </c>
      <c r="H58" s="79" cm="1">
        <f t="array" ref="H58">IF(H23="-","-",
IF(ROUND(H23,8)=ROUND(
((SUMIFS(Calc_Variable_1[Citipower],Calc_Variable_1[[Customer type]:[Customer type]],"All")+
SUMIFS(Calc_Variable_1[Citipower],Calc_Variable_1[[Customer type]:[Customer type]],OP_Rates!$E58)+
SUMIFS(Calc_NetworkV_1[Citipower],Calc_NetworkV_1[[Customer type]:[Customer type]],OP_Rates!$E58,Calc_NetworkV_1[[Cost item]:[Cost item]],OP_Rates!$C58))*(1+Calc_ROM_1[Citipower]))*(1+GST),8),0,1))</f>
        <v>0</v>
      </c>
      <c r="I58" s="79" cm="1">
        <f t="array" ref="I58">IF(I23="-","-",
IF(ROUND(I23,8)=ROUND(
((SUMIFS(Calc_Variable_1[Jemena],Calc_Variable_1[[Customer type]:[Customer type]],"All")+
SUMIFS(Calc_Variable_1[Jemena],Calc_Variable_1[[Customer type]:[Customer type]],OP_Rates!$E58)+
SUMIFS(Calc_NetworkV_1[Jemena],Calc_NetworkV_1[[Customer type]:[Customer type]],OP_Rates!$E58,Calc_NetworkV_1[[Cost item]:[Cost item]],OP_Rates!$C58))*(1+Calc_ROM_1[Jemena]))*(1+GST),8),0,1))</f>
        <v>0</v>
      </c>
      <c r="J58" s="79" cm="1">
        <f t="array" ref="J58">IF(J23="-","-",
IF(ROUND(J23,8)=ROUND(
((SUMIFS(Calc_Variable_1[Powercor],Calc_Variable_1[[Customer type]:[Customer type]],"All")+
SUMIFS(Calc_Variable_1[Powercor],Calc_Variable_1[[Customer type]:[Customer type]],OP_Rates!$E58)+
SUMIFS(Calc_NetworkV_1[Powercor],Calc_NetworkV_1[[Customer type]:[Customer type]],OP_Rates!$E58,Calc_NetworkV_1[[Cost item]:[Cost item]],OP_Rates!$C58))*(1+Calc_ROM_1[Powercor]))*(1+GST),8),0,1))</f>
        <v>0</v>
      </c>
      <c r="K58" s="79" cm="1">
        <f t="array" ref="K58">IF(K23="-","-",
IF(ROUND(K23,8)=ROUND(
((SUMIFS(Calc_Variable_1[United Energy],Calc_Variable_1[[Customer type]:[Customer type]],"All")+
SUMIFS(Calc_Variable_1[United Energy],Calc_Variable_1[[Customer type]:[Customer type]],OP_Rates!$E58)+
SUMIFS(Calc_NetworkV_1[United Energy],Calc_NetworkV_1[[Customer type]:[Customer type]],OP_Rates!$E58,Calc_NetworkV_1[[Cost item]:[Cost item]],OP_Rates!$C58))*(1+Calc_ROM_1[United Energy]))*(1+GST),8),0,1))</f>
        <v>0</v>
      </c>
      <c r="M58" s="18" t="s">
        <v>338</v>
      </c>
      <c r="N58" s="18" t="s">
        <v>218</v>
      </c>
      <c r="O58" s="18" t="s">
        <v>32</v>
      </c>
      <c r="Q58" s="79" t="str" cm="1">
        <f t="array" ref="Q58">IF(Q23="-","-",
IF(ROUND(Q23,8)=ROUND(
((SUMIFS(Calc_Variable_1[Ausnet],Calc_Variable_1[[Customer type]:[Customer type]],"All")+
SUMIFS(Calc_Variable_1[Ausnet],Calc_Variable_1[[Customer type]:[Customer type]],OP_Rates!$O58)+
SUMIFS(Calc_NetworkV_1[Ausnet],Calc_NetworkV_1[[Customer type]:[Customer type]],OP_Rates!$O58,Calc_NetworkV_1[[Cost item]:[Cost item]],OP_Rates!$M58))*(1+Calc_ROM_1[Ausnet]))*(1+GST),8),0,1))</f>
        <v>-</v>
      </c>
      <c r="R58" s="79" cm="1">
        <f t="array" ref="R58">IF(R23="-","-",
IF(ROUND(R23,8)=ROUND(
((SUMIFS(Calc_Variable_1[Citipower],Calc_Variable_1[[Customer type]:[Customer type]],"All")+
SUMIFS(Calc_Variable_1[Citipower],Calc_Variable_1[[Customer type]:[Customer type]],OP_Rates!$O58)+
SUMIFS(Calc_NetworkV_1[Citipower],Calc_NetworkV_1[[Customer type]:[Customer type]],OP_Rates!$O58,Calc_NetworkV_1[[Cost item]:[Cost item]],OP_Rates!$M58))*(1+Calc_ROM_1[Citipower]))*(1+GST),8),0,1))</f>
        <v>0</v>
      </c>
      <c r="S58" s="79" cm="1">
        <f t="array" ref="S58">IF(S23="-","-",
IF(ROUND(S23,8)=ROUND(
((SUMIFS(Calc_Variable_1[Jemena],Calc_Variable_1[[Customer type]:[Customer type]],"All")+
SUMIFS(Calc_Variable_1[Jemena],Calc_Variable_1[[Customer type]:[Customer type]],OP_Rates!$O58)+
SUMIFS(Calc_NetworkV_1[Jemena],Calc_NetworkV_1[[Customer type]:[Customer type]],OP_Rates!$O58,Calc_NetworkV_1[[Cost item]:[Cost item]],OP_Rates!$M58))*(1+Calc_ROM_1[Jemena]))*(1+GST),8),0,1))</f>
        <v>0</v>
      </c>
      <c r="T58" s="79" cm="1">
        <f t="array" ref="T58">IF(T23="-","-",
IF(ROUND(T23,8)=ROUND(
((SUMIFS(Calc_Variable_1[Powercor],Calc_Variable_1[[Customer type]:[Customer type]],"All")+
SUMIFS(Calc_Variable_1[Powercor],Calc_Variable_1[[Customer type]:[Customer type]],OP_Rates!$O58)+
SUMIFS(Calc_NetworkV_1[Powercor],Calc_NetworkV_1[[Customer type]:[Customer type]],OP_Rates!$O58,Calc_NetworkV_1[[Cost item]:[Cost item]],OP_Rates!$M58))*(1+Calc_ROM_1[Powercor]))*(1+GST),8),0,1))</f>
        <v>0</v>
      </c>
      <c r="U58" s="79" cm="1">
        <f t="array" ref="U58">IF(U23="-","-",
IF(ROUND(U23,8)=ROUND(
((SUMIFS(Calc_Variable_1[United Energy],Calc_Variable_1[[Customer type]:[Customer type]],"All")+
SUMIFS(Calc_Variable_1[United Energy],Calc_Variable_1[[Customer type]:[Customer type]],OP_Rates!$O58)+
SUMIFS(Calc_NetworkV_1[United Energy],Calc_NetworkV_1[[Customer type]:[Customer type]],OP_Rates!$O58,Calc_NetworkV_1[[Cost item]:[Cost item]],OP_Rates!$M58))*(1+Calc_ROM_1[United Energy]))*(1+GST),8),0,1))</f>
        <v>0</v>
      </c>
    </row>
    <row r="59" spans="3:21" ht="15.75" hidden="1" outlineLevel="2" x14ac:dyDescent="0.25">
      <c r="C59" s="18" t="s">
        <v>340</v>
      </c>
      <c r="D59" s="18" t="s">
        <v>45</v>
      </c>
      <c r="E59" s="18" t="s">
        <v>31</v>
      </c>
      <c r="G59" s="79" cm="1">
        <f t="array" ref="G59">IF(G24="-","-",
IF(ROUND(G24,8)=
ROUND((((SUMIFS(Calc_NetworkF_1[Ausnet],Calc_NetworkF_1[[Cost item]:[Cost item]],$C59,Calc_NetworkF_1[[Customer type]:[Customer type]],$E59)+SUMIFS(Calc_Fixed_1[Ausnet],Calc_Fixed_1[[Customer type]:[Customer type]],"All")+SUMIFS(Calc_Fixed_1[Ausnet],Calc_Fixed_1[[Customer type]:[Customer type]],$E59))/DiY)*(1+Calc_ROM_1[Ausnet]))*(1+GST),8),0,1))</f>
        <v>0</v>
      </c>
      <c r="H59" s="79" cm="1">
        <f t="array" ref="H59">IF(H24="-","-",
IF(ROUND(H24,8)=
ROUND((((SUMIFS(Calc_NetworkF_1[Citipower],Calc_NetworkF_1[[Cost item]:[Cost item]],$C59,Calc_NetworkF_1[[Customer type]:[Customer type]],$E59)+SUMIFS(Calc_Fixed_1[Citipower],Calc_Fixed_1[[Customer type]:[Customer type]],"All")+SUMIFS(Calc_Fixed_1[Citipower],Calc_Fixed_1[[Customer type]:[Customer type]],$E59))/DiY)*(1+Calc_ROM_1[Citipower]))*(1+GST),8),0,1))</f>
        <v>0</v>
      </c>
      <c r="I59" s="79" cm="1">
        <f t="array" ref="I59">IF(I24="-","-",
IF(ROUND(I24,8)=
ROUND((((SUMIFS(Calc_NetworkF_1[Jemena],Calc_NetworkF_1[[Cost item]:[Cost item]],$C59,Calc_NetworkF_1[[Customer type]:[Customer type]],$E59)+SUMIFS(Calc_Fixed_1[Jemena],Calc_Fixed_1[[Customer type]:[Customer type]],"All")+SUMIFS(Calc_Fixed_1[Jemena],Calc_Fixed_1[[Customer type]:[Customer type]],$E59))/DiY)*(1+Calc_ROM_1[Jemena]))*(1+GST),8),0,1))</f>
        <v>0</v>
      </c>
      <c r="J59" s="79" cm="1">
        <f t="array" ref="J59">IF(J24="-","-",
IF(ROUND(J24,8)=
ROUND((((SUMIFS(Calc_NetworkF_1[Powercor],Calc_NetworkF_1[[Cost item]:[Cost item]],$C59,Calc_NetworkF_1[[Customer type]:[Customer type]],$E59)+SUMIFS(Calc_Fixed_1[Powercor],Calc_Fixed_1[[Customer type]:[Customer type]],"All")+SUMIFS(Calc_Fixed_1[Powercor],Calc_Fixed_1[[Customer type]:[Customer type]],$E59))/DiY)*(1+Calc_ROM_1[Powercor]))*(1+GST),8),0,1))</f>
        <v>0</v>
      </c>
      <c r="K59" s="79" cm="1">
        <f t="array" ref="K59">IF(K24="-","-",
IF(ROUND(K24,8)=
ROUND((((SUMIFS(Calc_NetworkF_1[United Energy],Calc_NetworkF_1[[Cost item]:[Cost item]],$C59,Calc_NetworkF_1[[Customer type]:[Customer type]],$E59)+SUMIFS(Calc_Fixed_1[United Energy],Calc_Fixed_1[[Customer type]:[Customer type]],"All")+SUMIFS(Calc_Fixed_1[United Energy],Calc_Fixed_1[[Customer type]:[Customer type]],$E59))/DiY)*(1+Calc_ROM_1[United Energy]))*(1+GST),8),0,1))</f>
        <v>0</v>
      </c>
      <c r="M59" s="18" t="s">
        <v>340</v>
      </c>
      <c r="N59" s="18" t="s">
        <v>45</v>
      </c>
      <c r="O59" s="18" t="s">
        <v>32</v>
      </c>
      <c r="Q59" s="79" cm="1">
        <f t="array" ref="Q59">IF(Q24="-","-",
IF(ROUND(Q24,8)=
ROUND((((SUMIFS(Calc_NetworkF_1[Ausnet],Calc_NetworkF_1[[Cost item]:[Cost item]],$M59,Calc_NetworkF_1[[Customer type]:[Customer type]],$O59)+SUMIFS(Calc_Fixed_1[Ausnet],Calc_Fixed_1[[Customer type]:[Customer type]],"All")+SUMIFS(Calc_Fixed_1[Ausnet],Calc_Fixed_1[[Customer type]:[Customer type]],$O59))/DiY)*(1+Calc_ROM_1[Ausnet]))*(1+GST),8),0,1))</f>
        <v>0</v>
      </c>
      <c r="R59" s="79" cm="1">
        <f t="array" ref="R59">IF(R24="-","-",
IF(ROUND(R24,8)=
ROUND((((SUMIFS(Calc_NetworkF_1[Citipower],Calc_NetworkF_1[[Cost item]:[Cost item]],$M59,Calc_NetworkF_1[[Customer type]:[Customer type]],$O59)+SUMIFS(Calc_Fixed_1[Citipower],Calc_Fixed_1[[Customer type]:[Customer type]],"All")+SUMIFS(Calc_Fixed_1[Citipower],Calc_Fixed_1[[Customer type]:[Customer type]],$O59))/DiY)*(1+Calc_ROM_1[Citipower]))*(1+GST),8),0,1))</f>
        <v>0</v>
      </c>
      <c r="S59" s="79" cm="1">
        <f t="array" ref="S59">IF(S24="-","-",
IF(ROUND(S24,8)=
ROUND((((SUMIFS(Calc_NetworkF_1[Jemena],Calc_NetworkF_1[[Cost item]:[Cost item]],$M59,Calc_NetworkF_1[[Customer type]:[Customer type]],$O59)+SUMIFS(Calc_Fixed_1[Jemena],Calc_Fixed_1[[Customer type]:[Customer type]],"All")+SUMIFS(Calc_Fixed_1[Jemena],Calc_Fixed_1[[Customer type]:[Customer type]],$O59))/DiY)*(1+Calc_ROM_1[Jemena]))*(1+GST),8),0,1))</f>
        <v>0</v>
      </c>
      <c r="T59" s="79" cm="1">
        <f t="array" ref="T59">IF(T24="-","-",
IF(ROUND(T24,8)=
ROUND((((SUMIFS(Calc_NetworkF_1[Powercor],Calc_NetworkF_1[[Cost item]:[Cost item]],$M59,Calc_NetworkF_1[[Customer type]:[Customer type]],$O59)+SUMIFS(Calc_Fixed_1[Powercor],Calc_Fixed_1[[Customer type]:[Customer type]],"All")+SUMIFS(Calc_Fixed_1[Powercor],Calc_Fixed_1[[Customer type]:[Customer type]],$O59))/DiY)*(1+Calc_ROM_1[Powercor]))*(1+GST),8),0,1))</f>
        <v>0</v>
      </c>
      <c r="U59" s="79" cm="1">
        <f t="array" ref="U59">IF(U24="-","-",
IF(ROUND(U24,8)=
ROUND((((SUMIFS(Calc_NetworkF_1[United Energy],Calc_NetworkF_1[[Cost item]:[Cost item]],$M59,Calc_NetworkF_1[[Customer type]:[Customer type]],$O59)+SUMIFS(Calc_Fixed_1[United Energy],Calc_Fixed_1[[Customer type]:[Customer type]],"All")+SUMIFS(Calc_Fixed_1[United Energy],Calc_Fixed_1[[Customer type]:[Customer type]],$O59))/DiY)*(1+Calc_ROM_1[United Energy]))*(1+GST),8),0,1))</f>
        <v>0</v>
      </c>
    </row>
    <row r="60" spans="3:21" ht="15.75" hidden="1" outlineLevel="2" x14ac:dyDescent="0.25">
      <c r="C60" s="18" t="s">
        <v>166</v>
      </c>
      <c r="D60" s="18" t="s">
        <v>218</v>
      </c>
      <c r="E60" s="18" t="s">
        <v>31</v>
      </c>
      <c r="G60" s="79" cm="1">
        <f t="array" ref="G60">IF(G25="-","-",
IF(ROUND(G25,8)=ROUND(
((SUMIFS(Calc_Variable_1[Ausnet],Calc_Variable_1[[Customer type]:[Customer type]],"All")+
SUMIFS(Calc_Variable_1[Ausnet],Calc_Variable_1[[Customer type]:[Customer type]],OP_Rates!$E60)+
SUMIFS(Calc_NetworkV_1[Ausnet],Calc_NetworkV_1[[Customer type]:[Customer type]],OP_Rates!$E60,Calc_NetworkV_1[[Cost item]:[Cost item]],OP_Rates!$C60))*(1+Calc_ROM_1[Ausnet]))*(1+GST),8),0,1))</f>
        <v>0</v>
      </c>
      <c r="H60" s="79" cm="1">
        <f t="array" ref="H60">IF(H25="-","-",
IF(ROUND(H25,8)=ROUND(
((SUMIFS(Calc_Variable_1[Citipower],Calc_Variable_1[[Customer type]:[Customer type]],"All")+
SUMIFS(Calc_Variable_1[Citipower],Calc_Variable_1[[Customer type]:[Customer type]],OP_Rates!$E60)+
SUMIFS(Calc_NetworkV_1[Citipower],Calc_NetworkV_1[[Customer type]:[Customer type]],OP_Rates!$E60,Calc_NetworkV_1[[Cost item]:[Cost item]],OP_Rates!$C60))*(1+Calc_ROM_1[Citipower]))*(1+GST),8),0,1))</f>
        <v>0</v>
      </c>
      <c r="I60" s="79" cm="1">
        <f t="array" ref="I60">IF(I25="-","-",
IF(ROUND(I25,8)=ROUND(
((SUMIFS(Calc_Variable_1[Jemena],Calc_Variable_1[[Customer type]:[Customer type]],"All")+
SUMIFS(Calc_Variable_1[Jemena],Calc_Variable_1[[Customer type]:[Customer type]],OP_Rates!$E60)+
SUMIFS(Calc_NetworkV_1[Jemena],Calc_NetworkV_1[[Customer type]:[Customer type]],OP_Rates!$E60,Calc_NetworkV_1[[Cost item]:[Cost item]],OP_Rates!$C60))*(1+Calc_ROM_1[Jemena]))*(1+GST),8),0,1))</f>
        <v>0</v>
      </c>
      <c r="J60" s="79" cm="1">
        <f t="array" ref="J60">IF(J25="-","-",
IF(ROUND(J25,8)=ROUND(
((SUMIFS(Calc_Variable_1[Powercor],Calc_Variable_1[[Customer type]:[Customer type]],"All")+
SUMIFS(Calc_Variable_1[Powercor],Calc_Variable_1[[Customer type]:[Customer type]],OP_Rates!$E60)+
SUMIFS(Calc_NetworkV_1[Powercor],Calc_NetworkV_1[[Customer type]:[Customer type]],OP_Rates!$E60,Calc_NetworkV_1[[Cost item]:[Cost item]],OP_Rates!$C60))*(1+Calc_ROM_1[Powercor]))*(1+GST),8),0,1))</f>
        <v>0</v>
      </c>
      <c r="K60" s="79" cm="1">
        <f t="array" ref="K60">IF(K25="-","-",
IF(ROUND(K25,8)=ROUND(
((SUMIFS(Calc_Variable_1[United Energy],Calc_Variable_1[[Customer type]:[Customer type]],"All")+
SUMIFS(Calc_Variable_1[United Energy],Calc_Variable_1[[Customer type]:[Customer type]],OP_Rates!$E60)+
SUMIFS(Calc_NetworkV_1[United Energy],Calc_NetworkV_1[[Customer type]:[Customer type]],OP_Rates!$E60,Calc_NetworkV_1[[Cost item]:[Cost item]],OP_Rates!$C60))*(1+Calc_ROM_1[United Energy]))*(1+GST),8),0,1))</f>
        <v>0</v>
      </c>
      <c r="M60" s="18" t="s">
        <v>166</v>
      </c>
      <c r="N60" s="18" t="s">
        <v>218</v>
      </c>
      <c r="O60" s="18" t="s">
        <v>32</v>
      </c>
      <c r="Q60" s="79" cm="1">
        <f t="array" ref="Q60">IF(Q25="-","-",
IF(ROUND(Q25,8)=ROUND(
((SUMIFS(Calc_Variable_1[Ausnet],Calc_Variable_1[[Customer type]:[Customer type]],"All")+
SUMIFS(Calc_Variable_1[Ausnet],Calc_Variable_1[[Customer type]:[Customer type]],OP_Rates!$O60)+
SUMIFS(Calc_NetworkV_1[Ausnet],Calc_NetworkV_1[[Customer type]:[Customer type]],OP_Rates!$O60,Calc_NetworkV_1[[Cost item]:[Cost item]],OP_Rates!$M60))*(1+Calc_ROM_1[Ausnet]))*(1+GST),8),0,1))</f>
        <v>0</v>
      </c>
      <c r="R60" s="79" cm="1">
        <f t="array" ref="R60">IF(R25="-","-",
IF(ROUND(R25,8)=ROUND(
((SUMIFS(Calc_Variable_1[Citipower],Calc_Variable_1[[Customer type]:[Customer type]],"All")+
SUMIFS(Calc_Variable_1[Citipower],Calc_Variable_1[[Customer type]:[Customer type]],OP_Rates!$O60)+
SUMIFS(Calc_NetworkV_1[Citipower],Calc_NetworkV_1[[Customer type]:[Customer type]],OP_Rates!$O60,Calc_NetworkV_1[[Cost item]:[Cost item]],OP_Rates!$M60))*(1+Calc_ROM_1[Citipower]))*(1+GST),8),0,1))</f>
        <v>0</v>
      </c>
      <c r="S60" s="79" cm="1">
        <f t="array" ref="S60">IF(S25="-","-",
IF(ROUND(S25,8)=ROUND(
((SUMIFS(Calc_Variable_1[Jemena],Calc_Variable_1[[Customer type]:[Customer type]],"All")+
SUMIFS(Calc_Variable_1[Jemena],Calc_Variable_1[[Customer type]:[Customer type]],OP_Rates!$O60)+
SUMIFS(Calc_NetworkV_1[Jemena],Calc_NetworkV_1[[Customer type]:[Customer type]],OP_Rates!$O60,Calc_NetworkV_1[[Cost item]:[Cost item]],OP_Rates!$M60))*(1+Calc_ROM_1[Jemena]))*(1+GST),8),0,1))</f>
        <v>0</v>
      </c>
      <c r="T60" s="79" cm="1">
        <f t="array" ref="T60">IF(T25="-","-",
IF(ROUND(T25,8)=ROUND(
((SUMIFS(Calc_Variable_1[Powercor],Calc_Variable_1[[Customer type]:[Customer type]],"All")+
SUMIFS(Calc_Variable_1[Powercor],Calc_Variable_1[[Customer type]:[Customer type]],OP_Rates!$O60)+
SUMIFS(Calc_NetworkV_1[Powercor],Calc_NetworkV_1[[Customer type]:[Customer type]],OP_Rates!$O60,Calc_NetworkV_1[[Cost item]:[Cost item]],OP_Rates!$M60))*(1+Calc_ROM_1[Powercor]))*(1+GST),8),0,1))</f>
        <v>0</v>
      </c>
      <c r="U60" s="79" cm="1">
        <f t="array" ref="U60">IF(U25="-","-",
IF(ROUND(U25,8)=ROUND(
((SUMIFS(Calc_Variable_1[United Energy],Calc_Variable_1[[Customer type]:[Customer type]],"All")+
SUMIFS(Calc_Variable_1[United Energy],Calc_Variable_1[[Customer type]:[Customer type]],OP_Rates!$O60)+
SUMIFS(Calc_NetworkV_1[United Energy],Calc_NetworkV_1[[Customer type]:[Customer type]],OP_Rates!$O60,Calc_NetworkV_1[[Cost item]:[Cost item]],OP_Rates!$M60))*(1+Calc_ROM_1[United Energy]))*(1+GST),8),0,1))</f>
        <v>0</v>
      </c>
    </row>
    <row r="61" spans="3:21" ht="15.75" hidden="1" outlineLevel="2" x14ac:dyDescent="0.25">
      <c r="C61" s="18" t="s">
        <v>370</v>
      </c>
      <c r="D61" s="18" t="s">
        <v>218</v>
      </c>
      <c r="E61" s="18" t="s">
        <v>31</v>
      </c>
      <c r="G61" s="79" cm="1">
        <f t="array" ref="G61">IF(G26="-","-",
IF(ROUND(G26,8)=ROUND(
((SUMIFS(Calc_Variable_1[Ausnet],Calc_Variable_1[[Customer type]:[Customer type]],"All")+
SUMIFS(Calc_Variable_1[Ausnet],Calc_Variable_1[[Customer type]:[Customer type]],OP_Rates!$E61)+
SUMIFS(Calc_NetworkV_1[Ausnet],Calc_NetworkV_1[[Customer type]:[Customer type]],OP_Rates!$E61,Calc_NetworkV_1[[Cost item]:[Cost item]],OP_Rates!$C61))*(1+Calc_ROM_1[Ausnet]))*(1+GST),8),0,1))</f>
        <v>0</v>
      </c>
      <c r="H61" s="79" cm="1">
        <f t="array" ref="H61">IF(H26="-","-",
IF(ROUND(H26,8)=ROUND(
((SUMIFS(Calc_Variable_1[Citipower],Calc_Variable_1[[Customer type]:[Customer type]],"All")+
SUMIFS(Calc_Variable_1[Citipower],Calc_Variable_1[[Customer type]:[Customer type]],OP_Rates!$E61)+
SUMIFS(Calc_NetworkV_1[Citipower],Calc_NetworkV_1[[Customer type]:[Customer type]],OP_Rates!$E61,Calc_NetworkV_1[[Cost item]:[Cost item]],OP_Rates!$C61))*(1+Calc_ROM_1[Citipower]))*(1+GST),8),0,1))</f>
        <v>0</v>
      </c>
      <c r="I61" s="79" cm="1">
        <f t="array" ref="I61">IF(I26="-","-",
IF(ROUND(I26,8)=ROUND(
((SUMIFS(Calc_Variable_1[Jemena],Calc_Variable_1[[Customer type]:[Customer type]],"All")+
SUMIFS(Calc_Variable_1[Jemena],Calc_Variable_1[[Customer type]:[Customer type]],OP_Rates!$E61)+
SUMIFS(Calc_NetworkV_1[Jemena],Calc_NetworkV_1[[Customer type]:[Customer type]],OP_Rates!$E61,Calc_NetworkV_1[[Cost item]:[Cost item]],OP_Rates!$C61))*(1+Calc_ROM_1[Jemena]))*(1+GST),8),0,1))</f>
        <v>0</v>
      </c>
      <c r="J61" s="79" cm="1">
        <f t="array" ref="J61">IF(J26="-","-",
IF(ROUND(J26,8)=ROUND(
((SUMIFS(Calc_Variable_1[Powercor],Calc_Variable_1[[Customer type]:[Customer type]],"All")+
SUMIFS(Calc_Variable_1[Powercor],Calc_Variable_1[[Customer type]:[Customer type]],OP_Rates!$E61)+
SUMIFS(Calc_NetworkV_1[Powercor],Calc_NetworkV_1[[Customer type]:[Customer type]],OP_Rates!$E61,Calc_NetworkV_1[[Cost item]:[Cost item]],OP_Rates!$C61))*(1+Calc_ROM_1[Powercor]))*(1+GST),8),0,1))</f>
        <v>0</v>
      </c>
      <c r="K61" s="79" cm="1">
        <f t="array" ref="K61">IF(K26="-","-",
IF(ROUND(K26,8)=ROUND(
((SUMIFS(Calc_Variable_1[United Energy],Calc_Variable_1[[Customer type]:[Customer type]],"All")+
SUMIFS(Calc_Variable_1[United Energy],Calc_Variable_1[[Customer type]:[Customer type]],OP_Rates!$E61)+
SUMIFS(Calc_NetworkV_1[United Energy],Calc_NetworkV_1[[Customer type]:[Customer type]],OP_Rates!$E61,Calc_NetworkV_1[[Cost item]:[Cost item]],OP_Rates!$C61))*(1+Calc_ROM_1[United Energy]))*(1+GST),8),0,1))</f>
        <v>0</v>
      </c>
      <c r="M61" s="18" t="s">
        <v>370</v>
      </c>
      <c r="N61" s="18" t="s">
        <v>218</v>
      </c>
      <c r="O61" s="18" t="s">
        <v>32</v>
      </c>
      <c r="Q61" s="79" cm="1">
        <f t="array" ref="Q61">IF(Q26="-","-",
IF(ROUND(Q26,8)=ROUND(
((SUMIFS(Calc_Variable_1[Ausnet],Calc_Variable_1[[Customer type]:[Customer type]],"All")+
SUMIFS(Calc_Variable_1[Ausnet],Calc_Variable_1[[Customer type]:[Customer type]],OP_Rates!$O61)+
SUMIFS(Calc_NetworkV_1[Ausnet],Calc_NetworkV_1[[Customer type]:[Customer type]],OP_Rates!$O61,Calc_NetworkV_1[[Cost item]:[Cost item]],OP_Rates!$M61))*(1+Calc_ROM_1[Ausnet]))*(1+GST),8),0,1))</f>
        <v>0</v>
      </c>
      <c r="R61" s="79" cm="1">
        <f t="array" ref="R61">IF(R26="-","-",
IF(ROUND(R26,8)=ROUND(
((SUMIFS(Calc_Variable_1[Citipower],Calc_Variable_1[[Customer type]:[Customer type]],"All")+
SUMIFS(Calc_Variable_1[Citipower],Calc_Variable_1[[Customer type]:[Customer type]],OP_Rates!$O61)+
SUMIFS(Calc_NetworkV_1[Citipower],Calc_NetworkV_1[[Customer type]:[Customer type]],OP_Rates!$O61,Calc_NetworkV_1[[Cost item]:[Cost item]],OP_Rates!$M61))*(1+Calc_ROM_1[Citipower]))*(1+GST),8),0,1))</f>
        <v>0</v>
      </c>
      <c r="S61" s="79" cm="1">
        <f t="array" ref="S61">IF(S26="-","-",
IF(ROUND(S26,8)=ROUND(
((SUMIFS(Calc_Variable_1[Jemena],Calc_Variable_1[[Customer type]:[Customer type]],"All")+
SUMIFS(Calc_Variable_1[Jemena],Calc_Variable_1[[Customer type]:[Customer type]],OP_Rates!$O61)+
SUMIFS(Calc_NetworkV_1[Jemena],Calc_NetworkV_1[[Customer type]:[Customer type]],OP_Rates!$O61,Calc_NetworkV_1[[Cost item]:[Cost item]],OP_Rates!$M61))*(1+Calc_ROM_1[Jemena]))*(1+GST),8),0,1))</f>
        <v>0</v>
      </c>
      <c r="T61" s="79" cm="1">
        <f t="array" ref="T61">IF(T26="-","-",
IF(ROUND(T26,8)=ROUND(
((SUMIFS(Calc_Variable_1[Powercor],Calc_Variable_1[[Customer type]:[Customer type]],"All")+
SUMIFS(Calc_Variable_1[Powercor],Calc_Variable_1[[Customer type]:[Customer type]],OP_Rates!$O61)+
SUMIFS(Calc_NetworkV_1[Powercor],Calc_NetworkV_1[[Customer type]:[Customer type]],OP_Rates!$O61,Calc_NetworkV_1[[Cost item]:[Cost item]],OP_Rates!$M61))*(1+Calc_ROM_1[Powercor]))*(1+GST),8),0,1))</f>
        <v>0</v>
      </c>
      <c r="U61" s="79" cm="1">
        <f t="array" ref="U61">IF(U26="-","-",
IF(ROUND(U26,8)=ROUND(
((SUMIFS(Calc_Variable_1[United Energy],Calc_Variable_1[[Customer type]:[Customer type]],"All")+
SUMIFS(Calc_Variable_1[United Energy],Calc_Variable_1[[Customer type]:[Customer type]],OP_Rates!$O61)+
SUMIFS(Calc_NetworkV_1[United Energy],Calc_NetworkV_1[[Customer type]:[Customer type]],OP_Rates!$O61,Calc_NetworkV_1[[Cost item]:[Cost item]],OP_Rates!$M61))*(1+Calc_ROM_1[United Energy]))*(1+GST),8),0,1))</f>
        <v>0</v>
      </c>
    </row>
    <row r="62" spans="3:21" ht="15.75" hidden="1" outlineLevel="2" x14ac:dyDescent="0.25">
      <c r="C62" s="18" t="s">
        <v>223</v>
      </c>
      <c r="D62" s="18" t="s">
        <v>218</v>
      </c>
      <c r="E62" s="18" t="s">
        <v>31</v>
      </c>
      <c r="G62" s="79" cm="1">
        <f t="array" ref="G62">IF(G27="-","-",
IF(ROUND(G27,8)=ROUND(
((SUMIFS(Calc_Variable_1[Ausnet],Calc_Variable_1[[Customer type]:[Customer type]],"All")+
SUMIFS(Calc_Variable_1[Ausnet],Calc_Variable_1[[Customer type]:[Customer type]],OP_Rates!$E62)+
SUMIFS(Calc_NetworkV_1[Ausnet],Calc_NetworkV_1[[Customer type]:[Customer type]],OP_Rates!$E62,Calc_NetworkV_1[[Cost item]:[Cost item]],OP_Rates!$C62))*(1+Calc_ROM_1[Ausnet]))*(1+GST),8),0,1))</f>
        <v>0</v>
      </c>
      <c r="H62" s="79" cm="1">
        <f t="array" ref="H62">IF(H27="-","-",
IF(ROUND(H27,8)=ROUND(
((SUMIFS(Calc_Variable_1[Citipower],Calc_Variable_1[[Customer type]:[Customer type]],"All")+
SUMIFS(Calc_Variable_1[Citipower],Calc_Variable_1[[Customer type]:[Customer type]],OP_Rates!$E62)+
SUMIFS(Calc_NetworkV_1[Citipower],Calc_NetworkV_1[[Customer type]:[Customer type]],OP_Rates!$E62,Calc_NetworkV_1[[Cost item]:[Cost item]],OP_Rates!$C62))*(1+Calc_ROM_1[Citipower]))*(1+GST),8),0,1))</f>
        <v>0</v>
      </c>
      <c r="I62" s="79" cm="1">
        <f t="array" ref="I62">IF(I27="-","-",
IF(ROUND(I27,8)=ROUND(
((SUMIFS(Calc_Variable_1[Jemena],Calc_Variable_1[[Customer type]:[Customer type]],"All")+
SUMIFS(Calc_Variable_1[Jemena],Calc_Variable_1[[Customer type]:[Customer type]],OP_Rates!$E62)+
SUMIFS(Calc_NetworkV_1[Jemena],Calc_NetworkV_1[[Customer type]:[Customer type]],OP_Rates!$E62,Calc_NetworkV_1[[Cost item]:[Cost item]],OP_Rates!$C62))*(1+Calc_ROM_1[Jemena]))*(1+GST),8),0,1))</f>
        <v>0</v>
      </c>
      <c r="J62" s="79" cm="1">
        <f t="array" ref="J62">IF(J27="-","-",
IF(ROUND(J27,8)=ROUND(
((SUMIFS(Calc_Variable_1[Powercor],Calc_Variable_1[[Customer type]:[Customer type]],"All")+
SUMIFS(Calc_Variable_1[Powercor],Calc_Variable_1[[Customer type]:[Customer type]],OP_Rates!$E62)+
SUMIFS(Calc_NetworkV_1[Powercor],Calc_NetworkV_1[[Customer type]:[Customer type]],OP_Rates!$E62,Calc_NetworkV_1[[Cost item]:[Cost item]],OP_Rates!$C62))*(1+Calc_ROM_1[Powercor]))*(1+GST),8),0,1))</f>
        <v>0</v>
      </c>
      <c r="K62" s="79" cm="1">
        <f t="array" ref="K62">IF(K27="-","-",
IF(ROUND(K27,8)=ROUND(
((SUMIFS(Calc_Variable_1[United Energy],Calc_Variable_1[[Customer type]:[Customer type]],"All")+
SUMIFS(Calc_Variable_1[United Energy],Calc_Variable_1[[Customer type]:[Customer type]],OP_Rates!$E62)+
SUMIFS(Calc_NetworkV_1[United Energy],Calc_NetworkV_1[[Customer type]:[Customer type]],OP_Rates!$E62,Calc_NetworkV_1[[Cost item]:[Cost item]],OP_Rates!$C62))*(1+Calc_ROM_1[United Energy]))*(1+GST),8),0,1))</f>
        <v>0</v>
      </c>
      <c r="M62" s="18"/>
      <c r="N62" s="18"/>
      <c r="O62" s="18"/>
      <c r="Q62" s="79"/>
      <c r="R62" s="79"/>
      <c r="S62" s="79"/>
      <c r="T62" s="79"/>
      <c r="U62" s="79"/>
    </row>
    <row r="63" spans="3:21" hidden="1" outlineLevel="2" x14ac:dyDescent="0.25"/>
    <row r="64" spans="3:21" ht="15.75" hidden="1" outlineLevel="2" x14ac:dyDescent="0.25">
      <c r="C64" s="23" t="str">
        <f>C$29&amp;" - checks"</f>
        <v>Residential True Up - checks</v>
      </c>
      <c r="M64" s="23" t="str">
        <f>M$29&amp;" - checks"</f>
        <v>Small business True Up - checks</v>
      </c>
    </row>
    <row r="65" spans="2:22" ht="15.75" hidden="1" outlineLevel="2" x14ac:dyDescent="0.25">
      <c r="C65" s="33" t="s">
        <v>263</v>
      </c>
      <c r="D65" s="33" t="s">
        <v>38</v>
      </c>
      <c r="E65" s="33" t="s">
        <v>30</v>
      </c>
      <c r="F65" s="110" t="s">
        <v>23</v>
      </c>
      <c r="G65" s="42" t="s">
        <v>204</v>
      </c>
      <c r="H65" s="42" t="s">
        <v>205</v>
      </c>
      <c r="I65" s="42" t="s">
        <v>206</v>
      </c>
      <c r="J65" s="42" t="s">
        <v>207</v>
      </c>
      <c r="K65" s="42" t="s">
        <v>208</v>
      </c>
      <c r="M65" s="33" t="s">
        <v>263</v>
      </c>
      <c r="N65" s="33" t="s">
        <v>38</v>
      </c>
      <c r="O65" s="33" t="s">
        <v>30</v>
      </c>
      <c r="P65" s="110" t="s">
        <v>23</v>
      </c>
      <c r="Q65" s="42" t="s">
        <v>204</v>
      </c>
      <c r="R65" s="42" t="s">
        <v>205</v>
      </c>
      <c r="S65" s="42" t="s">
        <v>206</v>
      </c>
      <c r="T65" s="42" t="s">
        <v>207</v>
      </c>
      <c r="U65" s="42" t="s">
        <v>208</v>
      </c>
    </row>
    <row r="66" spans="2:22" ht="15.75" hidden="1" outlineLevel="2" x14ac:dyDescent="0.25">
      <c r="C66" s="48" t="s">
        <v>345</v>
      </c>
      <c r="D66" s="48" t="s">
        <v>45</v>
      </c>
      <c r="E66" s="48" t="s">
        <v>31</v>
      </c>
      <c r="F66" s="18" t="s">
        <v>57</v>
      </c>
      <c r="G66" s="169" t="str" cm="1">
        <f t="array" ref="G66">IF(G31="-","-",
IF(ROUND(G31,8)=
IF($F66="Network",
ROUND(INDEX(Calc_TUR_Net_1[[Ausnet]:[United Energy]],MATCH(1,(Calc_TUR_Net_1[[Customer type]:[Customer type]]=OP_Rates!$E66)*(Calc_TUR_Net_1[[Rate type]:[Rate type]]=OP_Rates!$C66),0),MATCH(OP_Rates!G$65,Calc_TUR_Net_1[[#Headers],[Ausnet]:[United Energy]],0)),8),
IF($F66="Environmental",
ROUND(SUMIFS(Calc_TUR_Env_1[Ausnet],Calc_TUR_Env_1[[Customer type]:[Customer type]],OP_Rates!$E66,Calc_TUR_Env_1[[Rate type]:[Rate type]],OP_Rates!$C66),8))),0,1))</f>
        <v>-</v>
      </c>
      <c r="H66" s="169" t="str" cm="1">
        <f t="array" ref="H66">IF(H31="-","-",
IF(ROUND(H31,8)=
IF($F66="Network",
ROUND(INDEX(Calc_TUR_Net_1[[Ausnet]:[United Energy]],MATCH(1,(Calc_TUR_Net_1[[Customer type]:[Customer type]]=OP_Rates!$E66)*(Calc_TUR_Net_1[[Rate type]:[Rate type]]=OP_Rates!$C66),0),MATCH(OP_Rates!H$65,Calc_TUR_Net_1[[#Headers],[Ausnet]:[United Energy]],0)),8),
IF($F66="Environmental",
ROUND(SUMIFS(Calc_TUR_Env_1[Citipower],Calc_TUR_Env_1[[Customer type]:[Customer type]],OP_Rates!$E66,Calc_TUR_Env_1[[Rate type]:[Rate type]],OP_Rates!$C66),8))),0,1))</f>
        <v>-</v>
      </c>
      <c r="I66" s="169" t="str" cm="1">
        <f t="array" ref="I66">IF(I31="-","-",
IF(ROUND(I31,8)=
IF($F66="Network",
ROUND(INDEX(Calc_TUR_Net_1[[Ausnet]:[United Energy]],MATCH(1,(Calc_TUR_Net_1[[Customer type]:[Customer type]]=OP_Rates!$E66)*(Calc_TUR_Net_1[[Rate type]:[Rate type]]=OP_Rates!$C66),0),MATCH(OP_Rates!I$65,Calc_TUR_Net_1[[#Headers],[Ausnet]:[United Energy]],0)),8),
IF($F66="Environmental",
ROUND(SUMIFS(Calc_TUR_Env_1[Jemena],Calc_TUR_Env_1[[Customer type]:[Customer type]],OP_Rates!$E66,Calc_TUR_Env_1[[Rate type]:[Rate type]],OP_Rates!$C66),8))),0,1))</f>
        <v>-</v>
      </c>
      <c r="J66" s="169" t="str" cm="1">
        <f t="array" ref="J66">IF(J31="-","-",
IF(ROUND(J31,8)=
IF($F66="Network",
ROUND(INDEX(Calc_TUR_Net_1[[Ausnet]:[United Energy]],MATCH(1,(Calc_TUR_Net_1[[Customer type]:[Customer type]]=OP_Rates!$E66)*(Calc_TUR_Net_1[[Rate type]:[Rate type]]=OP_Rates!$C66),0),MATCH(OP_Rates!J$65,Calc_TUR_Net_1[[#Headers],[Ausnet]:[United Energy]],0)),8),
IF($F66="Environmental",
ROUND(SUMIFS(Calc_TUR_Env_1[Powercor],Calc_TUR_Env_1[[Customer type]:[Customer type]],OP_Rates!$E66,Calc_TUR_Env_1[[Rate type]:[Rate type]],OP_Rates!$C66),8))),0,1))</f>
        <v>-</v>
      </c>
      <c r="K66" s="169" t="str" cm="1">
        <f t="array" ref="K66">IF(K31="-","-",
IF(ROUND(K31,8)=
IF($F66="Network",
ROUND(INDEX(Calc_TUR_Net_1[[Ausnet]:[United Energy]],MATCH(1,(Calc_TUR_Net_1[[Customer type]:[Customer type]]=OP_Rates!$E66)*(Calc_TUR_Net_1[[Rate type]:[Rate type]]=OP_Rates!$C66),0),MATCH(OP_Rates!K$65,Calc_TUR_Net_1[[#Headers],[Ausnet]:[United Energy]],0)),8),
IF($F66="Environmental",
ROUND(SUMIFS(Calc_TUR_Env_1[United Energy],Calc_TUR_Env_1[[Customer type]:[Customer type]],OP_Rates!$E66,Calc_TUR_Env_1[[Rate type]:[Rate type]],OP_Rates!$C66),8))),0,1))</f>
        <v>-</v>
      </c>
      <c r="M66" s="48" t="s">
        <v>345</v>
      </c>
      <c r="N66" s="48" t="s">
        <v>45</v>
      </c>
      <c r="O66" s="48" t="s">
        <v>32</v>
      </c>
      <c r="P66" s="18" t="s">
        <v>57</v>
      </c>
      <c r="Q66" s="169" t="str" cm="1">
        <f t="array" ref="Q66">IF(Q31="-","-",
IF(ROUND(Q31,8)=
IF($P66="Network",
ROUND(INDEX(Calc_TUR_Net_1[[Ausnet]:[United Energy]],MATCH(1,(Calc_TUR_Net_1[[Customer type]:[Customer type]]=OP_Rates!$O66)*(Calc_TUR_Net_1[[Rate type]:[Rate type]]=OP_Rates!$C66),0),MATCH(OP_Rates!Q$65,Calc_TUR_Net_1[[#Headers],[Ausnet]:[United Energy]],0)),8),
IF($P66="Environmental",
ROUND(SUMIFS(Calc_TUR_Env_1[Ausnet],Calc_TUR_Env_1[[Customer type]:[Customer type]],OP_Rates!$O66,Calc_TUR_Env_1[[Rate type]:[Rate type]],OP_Rates!$C66),8))),0,1))</f>
        <v>-</v>
      </c>
      <c r="R66" s="169" t="str" cm="1">
        <f t="array" ref="R66">IF(R31="-","-",
IF(ROUND(R31,8)=
IF($P66="Network",
ROUND(INDEX(Calc_TUR_Net_1[[Ausnet]:[United Energy]],MATCH(1,(Calc_TUR_Net_1[[Customer type]:[Customer type]]=OP_Rates!$O66)*(Calc_TUR_Net_1[[Rate type]:[Rate type]]=OP_Rates!$C66),0),MATCH(OP_Rates!R$65,Calc_TUR_Net_1[[#Headers],[Ausnet]:[United Energy]],0)),8),
IF($P66="Environmental",
ROUND(SUMIFS(Calc_TUR_Env_1[Citipower],Calc_TUR_Env_1[[Customer type]:[Customer type]],OP_Rates!$O66,Calc_TUR_Env_1[[Rate type]:[Rate type]],OP_Rates!$C66),8))),0,1))</f>
        <v>-</v>
      </c>
      <c r="S66" s="169" t="str" cm="1">
        <f t="array" ref="S66">IF(S31="-","-",
IF(ROUND(S31,8)=
IF($P66="Network",
ROUND(INDEX(Calc_TUR_Net_1[[Ausnet]:[United Energy]],MATCH(1,(Calc_TUR_Net_1[[Customer type]:[Customer type]]=OP_Rates!$O66)*(Calc_TUR_Net_1[[Rate type]:[Rate type]]=OP_Rates!$C66),0),MATCH(OP_Rates!S$65,Calc_TUR_Net_1[[#Headers],[Ausnet]:[United Energy]],0)),8),
IF($P66="Environmental",
ROUND(SUMIFS(Calc_TUR_Env_1[Jemena],Calc_TUR_Env_1[[Customer type]:[Customer type]],OP_Rates!$O66,Calc_TUR_Env_1[[Rate type]:[Rate type]],OP_Rates!$C66),8))),0,1))</f>
        <v>-</v>
      </c>
      <c r="T66" s="169" t="str" cm="1">
        <f t="array" ref="T66">IF(T31="-","-",
IF(ROUND(T31,8)=
IF($P66="Network",
ROUND(INDEX(Calc_TUR_Net_1[[Ausnet]:[United Energy]],MATCH(1,(Calc_TUR_Net_1[[Customer type]:[Customer type]]=OP_Rates!$O66)*(Calc_TUR_Net_1[[Rate type]:[Rate type]]=OP_Rates!$C66),0),MATCH(OP_Rates!T$65,Calc_TUR_Net_1[[#Headers],[Ausnet]:[United Energy]],0)),8),
IF($P66="Environmental",
ROUND(SUMIFS(Calc_TUR_Env_1[Powercor],Calc_TUR_Env_1[[Customer type]:[Customer type]],OP_Rates!$O66,Calc_TUR_Env_1[[Rate type]:[Rate type]],OP_Rates!$C66),8))),0,1))</f>
        <v>-</v>
      </c>
      <c r="U66" s="169" t="str" cm="1">
        <f t="array" ref="U66">IF(U31="-","-",
IF(ROUND(U31,8)=
IF($P66="Network",
ROUND(INDEX(Calc_TUR_Net_1[[Ausnet]:[United Energy]],MATCH(1,(Calc_TUR_Net_1[[Customer type]:[Customer type]]=OP_Rates!$O66)*(Calc_TUR_Net_1[[Rate type]:[Rate type]]=OP_Rates!$C66),0),MATCH(OP_Rates!U$65,Calc_TUR_Net_1[[#Headers],[Ausnet]:[United Energy]],0)),8),
IF($P66="Environmental",
ROUND(SUMIFS(Calc_TUR_Env_1[United Energy],Calc_TUR_Env_1[[Customer type]:[Customer type]],OP_Rates!$O66,Calc_TUR_Env_1[[Rate type]:[Rate type]],OP_Rates!$C66),8))),0,1))</f>
        <v>-</v>
      </c>
    </row>
    <row r="67" spans="2:22" ht="15.75" hidden="1" outlineLevel="2" x14ac:dyDescent="0.25">
      <c r="C67" s="48" t="s">
        <v>346</v>
      </c>
      <c r="D67" s="48" t="s">
        <v>45</v>
      </c>
      <c r="E67" s="48" t="s">
        <v>31</v>
      </c>
      <c r="F67" s="18" t="s">
        <v>57</v>
      </c>
      <c r="G67" s="169" t="str" cm="1">
        <f t="array" ref="G67">IF(G32="-","-",
IF(ROUND(G32,8)=
IF($F67="Network",
ROUND(INDEX(Calc_TUR_Net_1[[Ausnet]:[United Energy]],MATCH(1,(Calc_TUR_Net_1[[Customer type]:[Customer type]]=OP_Rates!$E67)*(Calc_TUR_Net_1[[Rate type]:[Rate type]]=OP_Rates!$C67),0),MATCH(OP_Rates!G$65,Calc_TUR_Net_1[[#Headers],[Ausnet]:[United Energy]],0)),8),
IF($F67="Environmental",
ROUND(SUMIFS(Calc_TUR_Env_1[Ausnet],Calc_TUR_Env_1[[Customer type]:[Customer type]],OP_Rates!$E67,Calc_TUR_Env_1[[Rate type]:[Rate type]],OP_Rates!$C67),8))),0,1))</f>
        <v>-</v>
      </c>
      <c r="H67" s="169" t="str" cm="1">
        <f t="array" ref="H67">IF(H32="-","-",
IF(ROUND(H32,8)=
IF($F67="Network",
ROUND(INDEX(Calc_TUR_Net_1[[Ausnet]:[United Energy]],MATCH(1,(Calc_TUR_Net_1[[Customer type]:[Customer type]]=OP_Rates!$E67)*(Calc_TUR_Net_1[[Rate type]:[Rate type]]=OP_Rates!$C67),0),MATCH(OP_Rates!H$65,Calc_TUR_Net_1[[#Headers],[Ausnet]:[United Energy]],0)),8),
IF($F67="Environmental",
ROUND(SUMIFS(Calc_TUR_Env_1[Citipower],Calc_TUR_Env_1[[Customer type]:[Customer type]],OP_Rates!$E67,Calc_TUR_Env_1[[Rate type]:[Rate type]],OP_Rates!$C67),8))),0,1))</f>
        <v>-</v>
      </c>
      <c r="I67" s="169" t="str" cm="1">
        <f t="array" ref="I67">IF(I32="-","-",
IF(ROUND(I32,8)=
IF($F67="Network",
ROUND(INDEX(Calc_TUR_Net_1[[Ausnet]:[United Energy]],MATCH(1,(Calc_TUR_Net_1[[Customer type]:[Customer type]]=OP_Rates!$E67)*(Calc_TUR_Net_1[[Rate type]:[Rate type]]=OP_Rates!$C67),0),MATCH(OP_Rates!I$65,Calc_TUR_Net_1[[#Headers],[Ausnet]:[United Energy]],0)),8),
IF($F67="Environmental",
ROUND(SUMIFS(Calc_TUR_Env_1[Jemena],Calc_TUR_Env_1[[Customer type]:[Customer type]],OP_Rates!$E67,Calc_TUR_Env_1[[Rate type]:[Rate type]],OP_Rates!$C67),8))),0,1))</f>
        <v>-</v>
      </c>
      <c r="J67" s="169" t="str" cm="1">
        <f t="array" ref="J67">IF(J32="-","-",
IF(ROUND(J32,8)=
IF($F67="Network",
ROUND(INDEX(Calc_TUR_Net_1[[Ausnet]:[United Energy]],MATCH(1,(Calc_TUR_Net_1[[Customer type]:[Customer type]]=OP_Rates!$E67)*(Calc_TUR_Net_1[[Rate type]:[Rate type]]=OP_Rates!$C67),0),MATCH(OP_Rates!J$65,Calc_TUR_Net_1[[#Headers],[Ausnet]:[United Energy]],0)),8),
IF($F67="Environmental",
ROUND(SUMIFS(Calc_TUR_Env_1[Powercor],Calc_TUR_Env_1[[Customer type]:[Customer type]],OP_Rates!$E67,Calc_TUR_Env_1[[Rate type]:[Rate type]],OP_Rates!$C67),8))),0,1))</f>
        <v>-</v>
      </c>
      <c r="K67" s="169" t="str" cm="1">
        <f t="array" ref="K67">IF(K32="-","-",
IF(ROUND(K32,8)=
IF($F67="Network",
ROUND(INDEX(Calc_TUR_Net_1[[Ausnet]:[United Energy]],MATCH(1,(Calc_TUR_Net_1[[Customer type]:[Customer type]]=OP_Rates!$E67)*(Calc_TUR_Net_1[[Rate type]:[Rate type]]=OP_Rates!$C67),0),MATCH(OP_Rates!K$65,Calc_TUR_Net_1[[#Headers],[Ausnet]:[United Energy]],0)),8),
IF($F67="Environmental",
ROUND(SUMIFS(Calc_TUR_Env_1[United Energy],Calc_TUR_Env_1[[Customer type]:[Customer type]],OP_Rates!$E67,Calc_TUR_Env_1[[Rate type]:[Rate type]],OP_Rates!$C67),8))),0,1))</f>
        <v>-</v>
      </c>
      <c r="M67" s="48" t="s">
        <v>346</v>
      </c>
      <c r="N67" s="48" t="s">
        <v>45</v>
      </c>
      <c r="O67" s="48" t="s">
        <v>32</v>
      </c>
      <c r="P67" s="18" t="s">
        <v>57</v>
      </c>
      <c r="Q67" s="169" t="str" cm="1">
        <f t="array" ref="Q67">IF(Q32="-","-",
IF(ROUND(Q32,8)=
IF($P67="Network",
ROUND(INDEX(Calc_TUR_Net_1[[Ausnet]:[United Energy]],MATCH(1,(Calc_TUR_Net_1[[Customer type]:[Customer type]]=OP_Rates!$O67)*(Calc_TUR_Net_1[[Rate type]:[Rate type]]=OP_Rates!$C67),0),MATCH(OP_Rates!Q$65,Calc_TUR_Net_1[[#Headers],[Ausnet]:[United Energy]],0)),8),
IF($P67="Environmental",
ROUND(SUMIFS(Calc_TUR_Env_1[Ausnet],Calc_TUR_Env_1[[Customer type]:[Customer type]],OP_Rates!$O67,Calc_TUR_Env_1[[Rate type]:[Rate type]],OP_Rates!$C67),8))),0,1))</f>
        <v>-</v>
      </c>
      <c r="R67" s="169" t="str" cm="1">
        <f t="array" ref="R67">IF(R32="-","-",
IF(ROUND(R32,8)=
IF($P67="Network",
ROUND(INDEX(Calc_TUR_Net_1[[Ausnet]:[United Energy]],MATCH(1,(Calc_TUR_Net_1[[Customer type]:[Customer type]]=OP_Rates!$O67)*(Calc_TUR_Net_1[[Rate type]:[Rate type]]=OP_Rates!$C67),0),MATCH(OP_Rates!R$65,Calc_TUR_Net_1[[#Headers],[Ausnet]:[United Energy]],0)),8),
IF($P67="Environmental",
ROUND(SUMIFS(Calc_TUR_Env_1[Citipower],Calc_TUR_Env_1[[Customer type]:[Customer type]],OP_Rates!$O67,Calc_TUR_Env_1[[Rate type]:[Rate type]],OP_Rates!$C67),8))),0,1))</f>
        <v>-</v>
      </c>
      <c r="S67" s="169" t="str" cm="1">
        <f t="array" ref="S67">IF(S32="-","-",
IF(ROUND(S32,8)=
IF($P67="Network",
ROUND(INDEX(Calc_TUR_Net_1[[Ausnet]:[United Energy]],MATCH(1,(Calc_TUR_Net_1[[Customer type]:[Customer type]]=OP_Rates!$O67)*(Calc_TUR_Net_1[[Rate type]:[Rate type]]=OP_Rates!$C67),0),MATCH(OP_Rates!S$65,Calc_TUR_Net_1[[#Headers],[Ausnet]:[United Energy]],0)),8),
IF($P67="Environmental",
ROUND(SUMIFS(Calc_TUR_Env_1[Jemena],Calc_TUR_Env_1[[Customer type]:[Customer type]],OP_Rates!$O67,Calc_TUR_Env_1[[Rate type]:[Rate type]],OP_Rates!$C67),8))),0,1))</f>
        <v>-</v>
      </c>
      <c r="T67" s="169" t="str" cm="1">
        <f t="array" ref="T67">IF(T32="-","-",
IF(ROUND(T32,8)=
IF($P67="Network",
ROUND(INDEX(Calc_TUR_Net_1[[Ausnet]:[United Energy]],MATCH(1,(Calc_TUR_Net_1[[Customer type]:[Customer type]]=OP_Rates!$O67)*(Calc_TUR_Net_1[[Rate type]:[Rate type]]=OP_Rates!$C67),0),MATCH(OP_Rates!T$65,Calc_TUR_Net_1[[#Headers],[Ausnet]:[United Energy]],0)),8),
IF($P67="Environmental",
ROUND(SUMIFS(Calc_TUR_Env_1[Powercor],Calc_TUR_Env_1[[Customer type]:[Customer type]],OP_Rates!$O67,Calc_TUR_Env_1[[Rate type]:[Rate type]],OP_Rates!$C67),8))),0,1))</f>
        <v>-</v>
      </c>
      <c r="U67" s="169" t="str" cm="1">
        <f t="array" ref="U67">IF(U32="-","-",
IF(ROUND(U32,8)=
IF($P67="Network",
ROUND(INDEX(Calc_TUR_Net_1[[Ausnet]:[United Energy]],MATCH(1,(Calc_TUR_Net_1[[Customer type]:[Customer type]]=OP_Rates!$O67)*(Calc_TUR_Net_1[[Rate type]:[Rate type]]=OP_Rates!$C67),0),MATCH(OP_Rates!U$65,Calc_TUR_Net_1[[#Headers],[Ausnet]:[United Energy]],0)),8),
IF($P67="Environmental",
ROUND(SUMIFS(Calc_TUR_Env_1[United Energy],Calc_TUR_Env_1[[Customer type]:[Customer type]],OP_Rates!$O67,Calc_TUR_Env_1[[Rate type]:[Rate type]],OP_Rates!$C67),8))),0,1))</f>
        <v>-</v>
      </c>
    </row>
    <row r="68" spans="2:22" ht="15.75" hidden="1" outlineLevel="2" x14ac:dyDescent="0.25">
      <c r="C68" s="48" t="s">
        <v>223</v>
      </c>
      <c r="D68" s="48" t="s">
        <v>218</v>
      </c>
      <c r="E68" s="48" t="s">
        <v>31</v>
      </c>
      <c r="F68" s="18" t="s">
        <v>57</v>
      </c>
      <c r="G68" s="169" t="str" cm="1">
        <f t="array" ref="G68">IF(G33="-","-",
IF(ROUND(G33,8)=
IF($F68="Network",
ROUND(INDEX(Calc_TUR_Net_1[[Ausnet]:[United Energy]],MATCH(1,(Calc_TUR_Net_1[[Customer type]:[Customer type]]=OP_Rates!$E68)*(Calc_TUR_Net_1[[Rate type]:[Rate type]]=OP_Rates!$C68),0),MATCH(OP_Rates!G$65,Calc_TUR_Net_1[[#Headers],[Ausnet]:[United Energy]],0)),8),
IF($F68="Environmental",
ROUND(SUMIFS(Calc_TUR_Env_1[Ausnet],Calc_TUR_Env_1[[Customer type]:[Customer type]],OP_Rates!$E68,Calc_TUR_Env_1[[Rate type]:[Rate type]],OP_Rates!$C68),8))),0,1))</f>
        <v>-</v>
      </c>
      <c r="H68" s="169" t="str" cm="1">
        <f t="array" ref="H68">IF(H33="-","-",
IF(ROUND(H33,8)=
IF($F68="Network",
ROUND(INDEX(Calc_TUR_Net_1[[Ausnet]:[United Energy]],MATCH(1,(Calc_TUR_Net_1[[Customer type]:[Customer type]]=OP_Rates!$E68)*(Calc_TUR_Net_1[[Rate type]:[Rate type]]=OP_Rates!$C68),0),MATCH(OP_Rates!H$65,Calc_TUR_Net_1[[#Headers],[Ausnet]:[United Energy]],0)),8),
IF($F68="Environmental",
ROUND(SUMIFS(Calc_TUR_Env_1[Citipower],Calc_TUR_Env_1[[Customer type]:[Customer type]],OP_Rates!$E68,Calc_TUR_Env_1[[Rate type]:[Rate type]],OP_Rates!$C68),8))),0,1))</f>
        <v>-</v>
      </c>
      <c r="I68" s="169" t="str" cm="1">
        <f t="array" ref="I68">IF(I33="-","-",
IF(ROUND(I33,8)=
IF($F68="Network",
ROUND(INDEX(Calc_TUR_Net_1[[Ausnet]:[United Energy]],MATCH(1,(Calc_TUR_Net_1[[Customer type]:[Customer type]]=OP_Rates!$E68)*(Calc_TUR_Net_1[[Rate type]:[Rate type]]=OP_Rates!$C68),0),MATCH(OP_Rates!I$65,Calc_TUR_Net_1[[#Headers],[Ausnet]:[United Energy]],0)),8),
IF($F68="Environmental",
ROUND(SUMIFS(Calc_TUR_Env_1[Jemena],Calc_TUR_Env_1[[Customer type]:[Customer type]],OP_Rates!$E68,Calc_TUR_Env_1[[Rate type]:[Rate type]],OP_Rates!$C68),8))),0,1))</f>
        <v>-</v>
      </c>
      <c r="J68" s="169" t="str" cm="1">
        <f t="array" ref="J68">IF(J33="-","-",
IF(ROUND(J33,8)=
IF($F68="Network",
ROUND(INDEX(Calc_TUR_Net_1[[Ausnet]:[United Energy]],MATCH(1,(Calc_TUR_Net_1[[Customer type]:[Customer type]]=OP_Rates!$E68)*(Calc_TUR_Net_1[[Rate type]:[Rate type]]=OP_Rates!$C68),0),MATCH(OP_Rates!J$65,Calc_TUR_Net_1[[#Headers],[Ausnet]:[United Energy]],0)),8),
IF($F68="Environmental",
ROUND(SUMIFS(Calc_TUR_Env_1[Powercor],Calc_TUR_Env_1[[Customer type]:[Customer type]],OP_Rates!$E68,Calc_TUR_Env_1[[Rate type]:[Rate type]],OP_Rates!$C68),8))),0,1))</f>
        <v>-</v>
      </c>
      <c r="K68" s="169" t="str" cm="1">
        <f t="array" ref="K68">IF(K33="-","-",
IF(ROUND(K33,8)=
IF($F68="Network",
ROUND(INDEX(Calc_TUR_Net_1[[Ausnet]:[United Energy]],MATCH(1,(Calc_TUR_Net_1[[Customer type]:[Customer type]]=OP_Rates!$E68)*(Calc_TUR_Net_1[[Rate type]:[Rate type]]=OP_Rates!$C68),0),MATCH(OP_Rates!K$65,Calc_TUR_Net_1[[#Headers],[Ausnet]:[United Energy]],0)),8),
IF($F68="Environmental",
ROUND(SUMIFS(Calc_TUR_Env_1[United Energy],Calc_TUR_Env_1[[Customer type]:[Customer type]],OP_Rates!$E68,Calc_TUR_Env_1[[Rate type]:[Rate type]],OP_Rates!$C68),8))),0,1))</f>
        <v>-</v>
      </c>
      <c r="M68" s="48"/>
      <c r="N68" s="48"/>
      <c r="O68" s="48"/>
      <c r="P68" s="18"/>
      <c r="Q68" s="169" t="str" cm="1">
        <f t="array" ref="Q68">IF(Q33="-","-",
IF(ROUND(Q33,8)=
IF($P68="Network",
ROUND(INDEX(Calc_TUR_Net_1[[Ausnet]:[United Energy]],MATCH(1,(Calc_TUR_Net_1[[Customer type]:[Customer type]]=OP_Rates!$O68)*(Calc_TUR_Net_1[[Rate type]:[Rate type]]=OP_Rates!$C68),0),MATCH(OP_Rates!Q$65,Calc_TUR_Net_1[[#Headers],[Ausnet]:[United Energy]],0)),8),
IF($P68="Environmental",
ROUND(SUMIFS(Calc_TUR_Env_1[Ausnet],Calc_TUR_Env_1[[Customer type]:[Customer type]],OP_Rates!$O68,Calc_TUR_Env_1[[Rate type]:[Rate type]],OP_Rates!$C68),8))),0,1))</f>
        <v>-</v>
      </c>
      <c r="R68" s="169" t="str" cm="1">
        <f t="array" ref="R68">IF(R33="-","-",
IF(ROUND(R33,8)=
IF($P68="Network",
ROUND(INDEX(Calc_TUR_Net_1[[Ausnet]:[United Energy]],MATCH(1,(Calc_TUR_Net_1[[Customer type]:[Customer type]]=OP_Rates!$O68)*(Calc_TUR_Net_1[[Rate type]:[Rate type]]=OP_Rates!$C68),0),MATCH(OP_Rates!R$65,Calc_TUR_Net_1[[#Headers],[Ausnet]:[United Energy]],0)),8),
IF($P68="Environmental",
ROUND(SUMIFS(Calc_TUR_Env_1[Citipower],Calc_TUR_Env_1[[Customer type]:[Customer type]],OP_Rates!$O68,Calc_TUR_Env_1[[Rate type]:[Rate type]],OP_Rates!$C68),8))),0,1))</f>
        <v>-</v>
      </c>
      <c r="S68" s="169" t="str" cm="1">
        <f t="array" ref="S68">IF(S33="-","-",
IF(ROUND(S33,8)=
IF($P68="Network",
ROUND(INDEX(Calc_TUR_Net_1[[Ausnet]:[United Energy]],MATCH(1,(Calc_TUR_Net_1[[Customer type]:[Customer type]]=OP_Rates!$O68)*(Calc_TUR_Net_1[[Rate type]:[Rate type]]=OP_Rates!$C68),0),MATCH(OP_Rates!S$65,Calc_TUR_Net_1[[#Headers],[Ausnet]:[United Energy]],0)),8),
IF($P68="Environmental",
ROUND(SUMIFS(Calc_TUR_Env_1[Jemena],Calc_TUR_Env_1[[Customer type]:[Customer type]],OP_Rates!$O68,Calc_TUR_Env_1[[Rate type]:[Rate type]],OP_Rates!$C68),8))),0,1))</f>
        <v>-</v>
      </c>
      <c r="T68" s="169" t="str" cm="1">
        <f t="array" ref="T68">IF(T33="-","-",
IF(ROUND(T33,8)=
IF($P68="Network",
ROUND(INDEX(Calc_TUR_Net_1[[Ausnet]:[United Energy]],MATCH(1,(Calc_TUR_Net_1[[Customer type]:[Customer type]]=OP_Rates!$O68)*(Calc_TUR_Net_1[[Rate type]:[Rate type]]=OP_Rates!$C68),0),MATCH(OP_Rates!T$65,Calc_TUR_Net_1[[#Headers],[Ausnet]:[United Energy]],0)),8),
IF($P68="Environmental",
ROUND(SUMIFS(Calc_TUR_Env_1[Powercor],Calc_TUR_Env_1[[Customer type]:[Customer type]],OP_Rates!$O68,Calc_TUR_Env_1[[Rate type]:[Rate type]],OP_Rates!$C68),8))),0,1))</f>
        <v>-</v>
      </c>
      <c r="U68" s="169" t="str" cm="1">
        <f t="array" ref="U68">IF(U33="-","-",
IF(ROUND(U33,8)=
IF($P68="Network",
ROUND(INDEX(Calc_TUR_Net_1[[Ausnet]:[United Energy]],MATCH(1,(Calc_TUR_Net_1[[Customer type]:[Customer type]]=OP_Rates!$O68)*(Calc_TUR_Net_1[[Rate type]:[Rate type]]=OP_Rates!$C68),0),MATCH(OP_Rates!U$65,Calc_TUR_Net_1[[#Headers],[Ausnet]:[United Energy]],0)),8),
IF($P68="Environmental",
ROUND(SUMIFS(Calc_TUR_Env_1[United Energy],Calc_TUR_Env_1[[Customer type]:[Customer type]],OP_Rates!$O68,Calc_TUR_Env_1[[Rate type]:[Rate type]],OP_Rates!$C68),8))),0,1))</f>
        <v>-</v>
      </c>
    </row>
    <row r="69" spans="2:22" ht="15.75" hidden="1" outlineLevel="2" x14ac:dyDescent="0.25">
      <c r="C69" s="48" t="s">
        <v>157</v>
      </c>
      <c r="D69" s="48" t="s">
        <v>218</v>
      </c>
      <c r="E69" s="48" t="s">
        <v>31</v>
      </c>
      <c r="F69" s="18" t="s">
        <v>87</v>
      </c>
      <c r="G69" s="169" cm="1">
        <f t="array" ref="G69">IF(G34="-","-",
IF(ROUND(G34,8)=
IF($F69="Network",
ROUND(INDEX(Calc_TUR_Net_1[[Ausnet]:[United Energy]],MATCH(1,(Calc_TUR_Net_1[[Customer type]:[Customer type]]=OP_Rates!$E69)*(Calc_TUR_Net_1[[Rate type]:[Rate type]]=OP_Rates!$C69),0),MATCH(OP_Rates!G$65,Calc_TUR_Net_1[[#Headers],[Ausnet]:[United Energy]],0)),8),
IF($F69="Environmental",
ROUND(SUMIFS(Calc_TUR_Env_1[Ausnet],Calc_TUR_Env_1[[Customer type]:[Customer type]],OP_Rates!$E69,Calc_TUR_Env_1[[Rate type]:[Rate type]],OP_Rates!$C69),8))),0,1))</f>
        <v>0</v>
      </c>
      <c r="H69" s="169" cm="1">
        <f t="array" ref="H69">IF(H34="-","-",
IF(ROUND(H34,8)=
IF($F69="Network",
ROUND(INDEX(Calc_TUR_Net_1[[Ausnet]:[United Energy]],MATCH(1,(Calc_TUR_Net_1[[Customer type]:[Customer type]]=OP_Rates!$E69)*(Calc_TUR_Net_1[[Rate type]:[Rate type]]=OP_Rates!$C69),0),MATCH(OP_Rates!H$65,Calc_TUR_Net_1[[#Headers],[Ausnet]:[United Energy]],0)),8),
IF($F69="Environmental",
ROUND(SUMIFS(Calc_TUR_Env_1[Citipower],Calc_TUR_Env_1[[Customer type]:[Customer type]],OP_Rates!$E69,Calc_TUR_Env_1[[Rate type]:[Rate type]],OP_Rates!$C69),8))),0,1))</f>
        <v>0</v>
      </c>
      <c r="I69" s="169" cm="1">
        <f t="array" ref="I69">IF(I34="-","-",
IF(ROUND(I34,8)=
IF($F69="Network",
ROUND(INDEX(Calc_TUR_Net_1[[Ausnet]:[United Energy]],MATCH(1,(Calc_TUR_Net_1[[Customer type]:[Customer type]]=OP_Rates!$E69)*(Calc_TUR_Net_1[[Rate type]:[Rate type]]=OP_Rates!$C69),0),MATCH(OP_Rates!I$65,Calc_TUR_Net_1[[#Headers],[Ausnet]:[United Energy]],0)),8),
IF($F69="Environmental",
ROUND(SUMIFS(Calc_TUR_Env_1[Jemena],Calc_TUR_Env_1[[Customer type]:[Customer type]],OP_Rates!$E69,Calc_TUR_Env_1[[Rate type]:[Rate type]],OP_Rates!$C69),8))),0,1))</f>
        <v>0</v>
      </c>
      <c r="J69" s="169" cm="1">
        <f t="array" ref="J69">IF(J34="-","-",
IF(ROUND(J34,8)=
IF($F69="Network",
ROUND(INDEX(Calc_TUR_Net_1[[Ausnet]:[United Energy]],MATCH(1,(Calc_TUR_Net_1[[Customer type]:[Customer type]]=OP_Rates!$E69)*(Calc_TUR_Net_1[[Rate type]:[Rate type]]=OP_Rates!$C69),0),MATCH(OP_Rates!J$65,Calc_TUR_Net_1[[#Headers],[Ausnet]:[United Energy]],0)),8),
IF($F69="Environmental",
ROUND(SUMIFS(Calc_TUR_Env_1[Powercor],Calc_TUR_Env_1[[Customer type]:[Customer type]],OP_Rates!$E69,Calc_TUR_Env_1[[Rate type]:[Rate type]],OP_Rates!$C69),8))),0,1))</f>
        <v>0</v>
      </c>
      <c r="K69" s="169" cm="1">
        <f t="array" ref="K69">IF(K34="-","-",
IF(ROUND(K34,8)=
IF($F69="Network",
ROUND(INDEX(Calc_TUR_Net_1[[Ausnet]:[United Energy]],MATCH(1,(Calc_TUR_Net_1[[Customer type]:[Customer type]]=OP_Rates!$E69)*(Calc_TUR_Net_1[[Rate type]:[Rate type]]=OP_Rates!$C69),0),MATCH(OP_Rates!K$65,Calc_TUR_Net_1[[#Headers],[Ausnet]:[United Energy]],0)),8),
IF($F69="Environmental",
ROUND(SUMIFS(Calc_TUR_Env_1[United Energy],Calc_TUR_Env_1[[Customer type]:[Customer type]],OP_Rates!$E69,Calc_TUR_Env_1[[Rate type]:[Rate type]],OP_Rates!$C69),8))),0,1))</f>
        <v>0</v>
      </c>
      <c r="M69" s="48" t="s">
        <v>157</v>
      </c>
      <c r="N69" s="48" t="s">
        <v>218</v>
      </c>
      <c r="O69" s="48" t="s">
        <v>32</v>
      </c>
      <c r="P69" s="18" t="s">
        <v>87</v>
      </c>
      <c r="Q69" s="169" cm="1">
        <f t="array" ref="Q69">IF(Q34="-","-",
IF(ROUND(Q34,8)=
IF($P69="Network",
ROUND(INDEX(Calc_TUR_Net_1[[Ausnet]:[United Energy]],MATCH(1,(Calc_TUR_Net_1[[Customer type]:[Customer type]]=OP_Rates!$O69)*(Calc_TUR_Net_1[[Rate type]:[Rate type]]=OP_Rates!$C69),0),MATCH(OP_Rates!Q$65,Calc_TUR_Net_1[[#Headers],[Ausnet]:[United Energy]],0)),8),
IF($P69="Environmental",
ROUND(SUMIFS(Calc_TUR_Env_1[Ausnet],Calc_TUR_Env_1[[Customer type]:[Customer type]],OP_Rates!$O69,Calc_TUR_Env_1[[Rate type]:[Rate type]],OP_Rates!$C69),8))),0,1))</f>
        <v>0</v>
      </c>
      <c r="R69" s="169" cm="1">
        <f t="array" ref="R69">IF(R34="-","-",
IF(ROUND(R34,8)=
IF($P69="Network",
ROUND(INDEX(Calc_TUR_Net_1[[Ausnet]:[United Energy]],MATCH(1,(Calc_TUR_Net_1[[Customer type]:[Customer type]]=OP_Rates!$O69)*(Calc_TUR_Net_1[[Rate type]:[Rate type]]=OP_Rates!$C69),0),MATCH(OP_Rates!R$65,Calc_TUR_Net_1[[#Headers],[Ausnet]:[United Energy]],0)),8),
IF($P69="Environmental",
ROUND(SUMIFS(Calc_TUR_Env_1[Citipower],Calc_TUR_Env_1[[Customer type]:[Customer type]],OP_Rates!$O69,Calc_TUR_Env_1[[Rate type]:[Rate type]],OP_Rates!$C69),8))),0,1))</f>
        <v>0</v>
      </c>
      <c r="S69" s="169" cm="1">
        <f t="array" ref="S69">IF(S34="-","-",
IF(ROUND(S34,8)=
IF($P69="Network",
ROUND(INDEX(Calc_TUR_Net_1[[Ausnet]:[United Energy]],MATCH(1,(Calc_TUR_Net_1[[Customer type]:[Customer type]]=OP_Rates!$O69)*(Calc_TUR_Net_1[[Rate type]:[Rate type]]=OP_Rates!$C69),0),MATCH(OP_Rates!S$65,Calc_TUR_Net_1[[#Headers],[Ausnet]:[United Energy]],0)),8),
IF($P69="Environmental",
ROUND(SUMIFS(Calc_TUR_Env_1[Jemena],Calc_TUR_Env_1[[Customer type]:[Customer type]],OP_Rates!$O69,Calc_TUR_Env_1[[Rate type]:[Rate type]],OP_Rates!$C69),8))),0,1))</f>
        <v>0</v>
      </c>
      <c r="T69" s="169" cm="1">
        <f t="array" ref="T69">IF(T34="-","-",
IF(ROUND(T34,8)=
IF($P69="Network",
ROUND(INDEX(Calc_TUR_Net_1[[Ausnet]:[United Energy]],MATCH(1,(Calc_TUR_Net_1[[Customer type]:[Customer type]]=OP_Rates!$O69)*(Calc_TUR_Net_1[[Rate type]:[Rate type]]=OP_Rates!$C69),0),MATCH(OP_Rates!T$65,Calc_TUR_Net_1[[#Headers],[Ausnet]:[United Energy]],0)),8),
IF($P69="Environmental",
ROUND(SUMIFS(Calc_TUR_Env_1[Powercor],Calc_TUR_Env_1[[Customer type]:[Customer type]],OP_Rates!$O69,Calc_TUR_Env_1[[Rate type]:[Rate type]],OP_Rates!$C69),8))),0,1))</f>
        <v>0</v>
      </c>
      <c r="U69" s="169" cm="1">
        <f t="array" ref="U69">IF(U34="-","-",
IF(ROUND(U34,8)=
IF($P69="Network",
ROUND(INDEX(Calc_TUR_Net_1[[Ausnet]:[United Energy]],MATCH(1,(Calc_TUR_Net_1[[Customer type]:[Customer type]]=OP_Rates!$O69)*(Calc_TUR_Net_1[[Rate type]:[Rate type]]=OP_Rates!$C69),0),MATCH(OP_Rates!U$65,Calc_TUR_Net_1[[#Headers],[Ausnet]:[United Energy]],0)),8),
IF($P69="Environmental",
ROUND(SUMIFS(Calc_TUR_Env_1[United Energy],Calc_TUR_Env_1[[Customer type]:[Customer type]],OP_Rates!$O69,Calc_TUR_Env_1[[Rate type]:[Rate type]],OP_Rates!$C69),8))),0,1))</f>
        <v>0</v>
      </c>
    </row>
    <row r="70" spans="2:22" ht="15.75" hidden="1" outlineLevel="2" x14ac:dyDescent="0.25">
      <c r="C70" s="48" t="s">
        <v>164</v>
      </c>
      <c r="D70" s="48" t="s">
        <v>218</v>
      </c>
      <c r="E70" s="48" t="s">
        <v>31</v>
      </c>
      <c r="F70" s="18" t="s">
        <v>87</v>
      </c>
      <c r="G70" s="169" cm="1">
        <f t="array" ref="G70">IF(G35="-","-",
IF(ROUND(G35,8)=
IF($F70="Network",
ROUND(INDEX(Calc_TUR_Net_1[[Ausnet]:[United Energy]],MATCH(1,(Calc_TUR_Net_1[[Customer type]:[Customer type]]=OP_Rates!$E70)*(Calc_TUR_Net_1[[Rate type]:[Rate type]]=OP_Rates!$C70),0),MATCH(OP_Rates!G$65,Calc_TUR_Net_1[[#Headers],[Ausnet]:[United Energy]],0)),8),
IF($F70="Environmental",
ROUND(SUMIFS(Calc_TUR_Env_1[Ausnet],Calc_TUR_Env_1[[Customer type]:[Customer type]],OP_Rates!$E70,Calc_TUR_Env_1[[Rate type]:[Rate type]],OP_Rates!$C70),8))),0,1))</f>
        <v>0</v>
      </c>
      <c r="H70" s="169" cm="1">
        <f t="array" ref="H70">IF(H35="-","-",
IF(ROUND(H35,8)=
IF($F70="Network",
ROUND(INDEX(Calc_TUR_Net_1[[Ausnet]:[United Energy]],MATCH(1,(Calc_TUR_Net_1[[Customer type]:[Customer type]]=OP_Rates!$E70)*(Calc_TUR_Net_1[[Rate type]:[Rate type]]=OP_Rates!$C70),0),MATCH(OP_Rates!H$65,Calc_TUR_Net_1[[#Headers],[Ausnet]:[United Energy]],0)),8),
IF($F70="Environmental",
ROUND(SUMIFS(Calc_TUR_Env_1[Citipower],Calc_TUR_Env_1[[Customer type]:[Customer type]],OP_Rates!$E70,Calc_TUR_Env_1[[Rate type]:[Rate type]],OP_Rates!$C70),8))),0,1))</f>
        <v>0</v>
      </c>
      <c r="I70" s="169" cm="1">
        <f t="array" ref="I70">IF(I35="-","-",
IF(ROUND(I35,8)=
IF($F70="Network",
ROUND(INDEX(Calc_TUR_Net_1[[Ausnet]:[United Energy]],MATCH(1,(Calc_TUR_Net_1[[Customer type]:[Customer type]]=OP_Rates!$E70)*(Calc_TUR_Net_1[[Rate type]:[Rate type]]=OP_Rates!$C70),0),MATCH(OP_Rates!I$65,Calc_TUR_Net_1[[#Headers],[Ausnet]:[United Energy]],0)),8),
IF($F70="Environmental",
ROUND(SUMIFS(Calc_TUR_Env_1[Jemena],Calc_TUR_Env_1[[Customer type]:[Customer type]],OP_Rates!$E70,Calc_TUR_Env_1[[Rate type]:[Rate type]],OP_Rates!$C70),8))),0,1))</f>
        <v>0</v>
      </c>
      <c r="J70" s="169" cm="1">
        <f t="array" ref="J70">IF(J35="-","-",
IF(ROUND(J35,8)=
IF($F70="Network",
ROUND(INDEX(Calc_TUR_Net_1[[Ausnet]:[United Energy]],MATCH(1,(Calc_TUR_Net_1[[Customer type]:[Customer type]]=OP_Rates!$E70)*(Calc_TUR_Net_1[[Rate type]:[Rate type]]=OP_Rates!$C70),0),MATCH(OP_Rates!J$65,Calc_TUR_Net_1[[#Headers],[Ausnet]:[United Energy]],0)),8),
IF($F70="Environmental",
ROUND(SUMIFS(Calc_TUR_Env_1[Powercor],Calc_TUR_Env_1[[Customer type]:[Customer type]],OP_Rates!$E70,Calc_TUR_Env_1[[Rate type]:[Rate type]],OP_Rates!$C70),8))),0,1))</f>
        <v>0</v>
      </c>
      <c r="K70" s="169" cm="1">
        <f t="array" ref="K70">IF(K35="-","-",
IF(ROUND(K35,8)=
IF($F70="Network",
ROUND(INDEX(Calc_TUR_Net_1[[Ausnet]:[United Energy]],MATCH(1,(Calc_TUR_Net_1[[Customer type]:[Customer type]]=OP_Rates!$E70)*(Calc_TUR_Net_1[[Rate type]:[Rate type]]=OP_Rates!$C70),0),MATCH(OP_Rates!K$65,Calc_TUR_Net_1[[#Headers],[Ausnet]:[United Energy]],0)),8),
IF($F70="Environmental",
ROUND(SUMIFS(Calc_TUR_Env_1[United Energy],Calc_TUR_Env_1[[Customer type]:[Customer type]],OP_Rates!$E70,Calc_TUR_Env_1[[Rate type]:[Rate type]],OP_Rates!$C70),8))),0,1))</f>
        <v>0</v>
      </c>
      <c r="M70" s="48" t="s">
        <v>164</v>
      </c>
      <c r="N70" s="48" t="s">
        <v>218</v>
      </c>
      <c r="O70" s="48" t="s">
        <v>32</v>
      </c>
      <c r="P70" s="18" t="s">
        <v>87</v>
      </c>
      <c r="Q70" s="169" cm="1">
        <f t="array" ref="Q70">IF(Q35="-","-",
IF(ROUND(Q35,8)=
IF($P70="Network",
ROUND(INDEX(Calc_TUR_Net_1[[Ausnet]:[United Energy]],MATCH(1,(Calc_TUR_Net_1[[Customer type]:[Customer type]]=OP_Rates!$O70)*(Calc_TUR_Net_1[[Rate type]:[Rate type]]=OP_Rates!$C70),0),MATCH(OP_Rates!Q$65,Calc_TUR_Net_1[[#Headers],[Ausnet]:[United Energy]],0)),8),
IF($P70="Environmental",
ROUND(SUMIFS(Calc_TUR_Env_1[Ausnet],Calc_TUR_Env_1[[Customer type]:[Customer type]],OP_Rates!$O70,Calc_TUR_Env_1[[Rate type]:[Rate type]],OP_Rates!$C70),8))),0,1))</f>
        <v>0</v>
      </c>
      <c r="R70" s="169" cm="1">
        <f t="array" ref="R70">IF(R35="-","-",
IF(ROUND(R35,8)=
IF($P70="Network",
ROUND(INDEX(Calc_TUR_Net_1[[Ausnet]:[United Energy]],MATCH(1,(Calc_TUR_Net_1[[Customer type]:[Customer type]]=OP_Rates!$O70)*(Calc_TUR_Net_1[[Rate type]:[Rate type]]=OP_Rates!$C70),0),MATCH(OP_Rates!R$65,Calc_TUR_Net_1[[#Headers],[Ausnet]:[United Energy]],0)),8),
IF($P70="Environmental",
ROUND(SUMIFS(Calc_TUR_Env_1[Citipower],Calc_TUR_Env_1[[Customer type]:[Customer type]],OP_Rates!$O70,Calc_TUR_Env_1[[Rate type]:[Rate type]],OP_Rates!$C70),8))),0,1))</f>
        <v>0</v>
      </c>
      <c r="S70" s="169" cm="1">
        <f t="array" ref="S70">IF(S35="-","-",
IF(ROUND(S35,8)=
IF($P70="Network",
ROUND(INDEX(Calc_TUR_Net_1[[Ausnet]:[United Energy]],MATCH(1,(Calc_TUR_Net_1[[Customer type]:[Customer type]]=OP_Rates!$O70)*(Calc_TUR_Net_1[[Rate type]:[Rate type]]=OP_Rates!$C70),0),MATCH(OP_Rates!S$65,Calc_TUR_Net_1[[#Headers],[Ausnet]:[United Energy]],0)),8),
IF($P70="Environmental",
ROUND(SUMIFS(Calc_TUR_Env_1[Jemena],Calc_TUR_Env_1[[Customer type]:[Customer type]],OP_Rates!$O70,Calc_TUR_Env_1[[Rate type]:[Rate type]],OP_Rates!$C70),8))),0,1))</f>
        <v>0</v>
      </c>
      <c r="T70" s="169" cm="1">
        <f t="array" ref="T70">IF(T35="-","-",
IF(ROUND(T35,8)=
IF($P70="Network",
ROUND(INDEX(Calc_TUR_Net_1[[Ausnet]:[United Energy]],MATCH(1,(Calc_TUR_Net_1[[Customer type]:[Customer type]]=OP_Rates!$O70)*(Calc_TUR_Net_1[[Rate type]:[Rate type]]=OP_Rates!$C70),0),MATCH(OP_Rates!T$65,Calc_TUR_Net_1[[#Headers],[Ausnet]:[United Energy]],0)),8),
IF($P70="Environmental",
ROUND(SUMIFS(Calc_TUR_Env_1[Powercor],Calc_TUR_Env_1[[Customer type]:[Customer type]],OP_Rates!$O70,Calc_TUR_Env_1[[Rate type]:[Rate type]],OP_Rates!$C70),8))),0,1))</f>
        <v>0</v>
      </c>
      <c r="U70" s="169" cm="1">
        <f t="array" ref="U70">IF(U35="-","-",
IF(ROUND(U35,8)=
IF($P70="Network",
ROUND(INDEX(Calc_TUR_Net_1[[Ausnet]:[United Energy]],MATCH(1,(Calc_TUR_Net_1[[Customer type]:[Customer type]]=OP_Rates!$O70)*(Calc_TUR_Net_1[[Rate type]:[Rate type]]=OP_Rates!$C70),0),MATCH(OP_Rates!U$65,Calc_TUR_Net_1[[#Headers],[Ausnet]:[United Energy]],0)),8),
IF($P70="Environmental",
ROUND(SUMIFS(Calc_TUR_Env_1[United Energy],Calc_TUR_Env_1[[Customer type]:[Customer type]],OP_Rates!$O70,Calc_TUR_Env_1[[Rate type]:[Rate type]],OP_Rates!$C70),8))),0,1))</f>
        <v>0</v>
      </c>
    </row>
    <row r="71" spans="2:22" ht="15.75" hidden="1" outlineLevel="2" x14ac:dyDescent="0.25">
      <c r="C71" s="48" t="s">
        <v>338</v>
      </c>
      <c r="D71" s="48" t="s">
        <v>218</v>
      </c>
      <c r="E71" s="48" t="s">
        <v>31</v>
      </c>
      <c r="F71" s="18" t="s">
        <v>87</v>
      </c>
      <c r="G71" s="169" cm="1">
        <f t="array" ref="G71">IF(G36="-","-",
IF(ROUND(G36,8)=
IF($F71="Network",
ROUND(INDEX(Calc_TUR_Net_1[[Ausnet]:[United Energy]],MATCH(1,(Calc_TUR_Net_1[[Customer type]:[Customer type]]=OP_Rates!$E71)*(Calc_TUR_Net_1[[Rate type]:[Rate type]]=OP_Rates!$C71),0),MATCH(OP_Rates!G$65,Calc_TUR_Net_1[[#Headers],[Ausnet]:[United Energy]],0)),8),
IF($F71="Environmental",
ROUND(SUMIFS(Calc_TUR_Env_1[Ausnet],Calc_TUR_Env_1[[Customer type]:[Customer type]],OP_Rates!$E71,Calc_TUR_Env_1[[Rate type]:[Rate type]],OP_Rates!$C71),8))),0,1))</f>
        <v>0</v>
      </c>
      <c r="H71" s="169" cm="1">
        <f t="array" ref="H71">IF(H36="-","-",
IF(ROUND(H36,8)=
IF($F71="Network",
ROUND(INDEX(Calc_TUR_Net_1[[Ausnet]:[United Energy]],MATCH(1,(Calc_TUR_Net_1[[Customer type]:[Customer type]]=OP_Rates!$E71)*(Calc_TUR_Net_1[[Rate type]:[Rate type]]=OP_Rates!$C71),0),MATCH(OP_Rates!H$65,Calc_TUR_Net_1[[#Headers],[Ausnet]:[United Energy]],0)),8),
IF($F71="Environmental",
ROUND(SUMIFS(Calc_TUR_Env_1[Citipower],Calc_TUR_Env_1[[Customer type]:[Customer type]],OP_Rates!$E71,Calc_TUR_Env_1[[Rate type]:[Rate type]],OP_Rates!$C71),8))),0,1))</f>
        <v>0</v>
      </c>
      <c r="I71" s="169" cm="1">
        <f t="array" ref="I71">IF(I36="-","-",
IF(ROUND(I36,8)=
IF($F71="Network",
ROUND(INDEX(Calc_TUR_Net_1[[Ausnet]:[United Energy]],MATCH(1,(Calc_TUR_Net_1[[Customer type]:[Customer type]]=OP_Rates!$E71)*(Calc_TUR_Net_1[[Rate type]:[Rate type]]=OP_Rates!$C71),0),MATCH(OP_Rates!I$65,Calc_TUR_Net_1[[#Headers],[Ausnet]:[United Energy]],0)),8),
IF($F71="Environmental",
ROUND(SUMIFS(Calc_TUR_Env_1[Jemena],Calc_TUR_Env_1[[Customer type]:[Customer type]],OP_Rates!$E71,Calc_TUR_Env_1[[Rate type]:[Rate type]],OP_Rates!$C71),8))),0,1))</f>
        <v>0</v>
      </c>
      <c r="J71" s="169" cm="1">
        <f t="array" ref="J71">IF(J36="-","-",
IF(ROUND(J36,8)=
IF($F71="Network",
ROUND(INDEX(Calc_TUR_Net_1[[Ausnet]:[United Energy]],MATCH(1,(Calc_TUR_Net_1[[Customer type]:[Customer type]]=OP_Rates!$E71)*(Calc_TUR_Net_1[[Rate type]:[Rate type]]=OP_Rates!$C71),0),MATCH(OP_Rates!J$65,Calc_TUR_Net_1[[#Headers],[Ausnet]:[United Energy]],0)),8),
IF($F71="Environmental",
ROUND(SUMIFS(Calc_TUR_Env_1[Powercor],Calc_TUR_Env_1[[Customer type]:[Customer type]],OP_Rates!$E71,Calc_TUR_Env_1[[Rate type]:[Rate type]],OP_Rates!$C71),8))),0,1))</f>
        <v>0</v>
      </c>
      <c r="K71" s="169" cm="1">
        <f t="array" ref="K71">IF(K36="-","-",
IF(ROUND(K36,8)=
IF($F71="Network",
ROUND(INDEX(Calc_TUR_Net_1[[Ausnet]:[United Energy]],MATCH(1,(Calc_TUR_Net_1[[Customer type]:[Customer type]]=OP_Rates!$E71)*(Calc_TUR_Net_1[[Rate type]:[Rate type]]=OP_Rates!$C71),0),MATCH(OP_Rates!K$65,Calc_TUR_Net_1[[#Headers],[Ausnet]:[United Energy]],0)),8),
IF($F71="Environmental",
ROUND(SUMIFS(Calc_TUR_Env_1[United Energy],Calc_TUR_Env_1[[Customer type]:[Customer type]],OP_Rates!$E71,Calc_TUR_Env_1[[Rate type]:[Rate type]],OP_Rates!$C71),8))),0,1))</f>
        <v>0</v>
      </c>
      <c r="M71" s="48" t="s">
        <v>338</v>
      </c>
      <c r="N71" s="48" t="s">
        <v>218</v>
      </c>
      <c r="O71" s="48" t="s">
        <v>32</v>
      </c>
      <c r="P71" s="18" t="s">
        <v>87</v>
      </c>
      <c r="Q71" s="169" cm="1">
        <f t="array" ref="Q71">IF(Q36="-","-",
IF(ROUND(Q36,8)=
IF($P71="Network",
ROUND(INDEX(Calc_TUR_Net_1[[Ausnet]:[United Energy]],MATCH(1,(Calc_TUR_Net_1[[Customer type]:[Customer type]]=OP_Rates!$O71)*(Calc_TUR_Net_1[[Rate type]:[Rate type]]=OP_Rates!$C71),0),MATCH(OP_Rates!Q$65,Calc_TUR_Net_1[[#Headers],[Ausnet]:[United Energy]],0)),8),
IF($P71="Environmental",
ROUND(SUMIFS(Calc_TUR_Env_1[Ausnet],Calc_TUR_Env_1[[Customer type]:[Customer type]],OP_Rates!$O71,Calc_TUR_Env_1[[Rate type]:[Rate type]],OP_Rates!$C71),8))),0,1))</f>
        <v>0</v>
      </c>
      <c r="R71" s="169" cm="1">
        <f t="array" ref="R71">IF(R36="-","-",
IF(ROUND(R36,8)=
IF($P71="Network",
ROUND(INDEX(Calc_TUR_Net_1[[Ausnet]:[United Energy]],MATCH(1,(Calc_TUR_Net_1[[Customer type]:[Customer type]]=OP_Rates!$O71)*(Calc_TUR_Net_1[[Rate type]:[Rate type]]=OP_Rates!$C71),0),MATCH(OP_Rates!R$65,Calc_TUR_Net_1[[#Headers],[Ausnet]:[United Energy]],0)),8),
IF($P71="Environmental",
ROUND(SUMIFS(Calc_TUR_Env_1[Citipower],Calc_TUR_Env_1[[Customer type]:[Customer type]],OP_Rates!$O71,Calc_TUR_Env_1[[Rate type]:[Rate type]],OP_Rates!$C71),8))),0,1))</f>
        <v>0</v>
      </c>
      <c r="S71" s="169" cm="1">
        <f t="array" ref="S71">IF(S36="-","-",
IF(ROUND(S36,8)=
IF($P71="Network",
ROUND(INDEX(Calc_TUR_Net_1[[Ausnet]:[United Energy]],MATCH(1,(Calc_TUR_Net_1[[Customer type]:[Customer type]]=OP_Rates!$O71)*(Calc_TUR_Net_1[[Rate type]:[Rate type]]=OP_Rates!$C71),0),MATCH(OP_Rates!S$65,Calc_TUR_Net_1[[#Headers],[Ausnet]:[United Energy]],0)),8),
IF($P71="Environmental",
ROUND(SUMIFS(Calc_TUR_Env_1[Jemena],Calc_TUR_Env_1[[Customer type]:[Customer type]],OP_Rates!$O71,Calc_TUR_Env_1[[Rate type]:[Rate type]],OP_Rates!$C71),8))),0,1))</f>
        <v>0</v>
      </c>
      <c r="T71" s="169" cm="1">
        <f t="array" ref="T71">IF(T36="-","-",
IF(ROUND(T36,8)=
IF($P71="Network",
ROUND(INDEX(Calc_TUR_Net_1[[Ausnet]:[United Energy]],MATCH(1,(Calc_TUR_Net_1[[Customer type]:[Customer type]]=OP_Rates!$O71)*(Calc_TUR_Net_1[[Rate type]:[Rate type]]=OP_Rates!$C71),0),MATCH(OP_Rates!T$65,Calc_TUR_Net_1[[#Headers],[Ausnet]:[United Energy]],0)),8),
IF($P71="Environmental",
ROUND(SUMIFS(Calc_TUR_Env_1[Powercor],Calc_TUR_Env_1[[Customer type]:[Customer type]],OP_Rates!$O71,Calc_TUR_Env_1[[Rate type]:[Rate type]],OP_Rates!$C71),8))),0,1))</f>
        <v>0</v>
      </c>
      <c r="U71" s="169" cm="1">
        <f t="array" ref="U71">IF(U36="-","-",
IF(ROUND(U36,8)=
IF($P71="Network",
ROUND(INDEX(Calc_TUR_Net_1[[Ausnet]:[United Energy]],MATCH(1,(Calc_TUR_Net_1[[Customer type]:[Customer type]]=OP_Rates!$O71)*(Calc_TUR_Net_1[[Rate type]:[Rate type]]=OP_Rates!$C71),0),MATCH(OP_Rates!U$65,Calc_TUR_Net_1[[#Headers],[Ausnet]:[United Energy]],0)),8),
IF($P71="Environmental",
ROUND(SUMIFS(Calc_TUR_Env_1[United Energy],Calc_TUR_Env_1[[Customer type]:[Customer type]],OP_Rates!$O71,Calc_TUR_Env_1[[Rate type]:[Rate type]],OP_Rates!$C71),8))),0,1))</f>
        <v>0</v>
      </c>
    </row>
    <row r="72" spans="2:22" ht="15.75" hidden="1" outlineLevel="2" x14ac:dyDescent="0.25">
      <c r="C72" s="48" t="s">
        <v>166</v>
      </c>
      <c r="D72" s="48" t="s">
        <v>218</v>
      </c>
      <c r="E72" s="48" t="s">
        <v>31</v>
      </c>
      <c r="F72" s="18" t="s">
        <v>87</v>
      </c>
      <c r="G72" s="169" cm="1">
        <f t="array" ref="G72">IF(G37="-","-",
IF(ROUND(G37,8)=
IF($F72="Network",
ROUND(INDEX(Calc_TUR_Net_1[[Ausnet]:[United Energy]],MATCH(1,(Calc_TUR_Net_1[[Customer type]:[Customer type]]=OP_Rates!$E72)*(Calc_TUR_Net_1[[Rate type]:[Rate type]]=OP_Rates!$C72),0),MATCH(OP_Rates!G$65,Calc_TUR_Net_1[[#Headers],[Ausnet]:[United Energy]],0)),8),
IF($F72="Environmental",
ROUND(SUMIFS(Calc_TUR_Env_1[Ausnet],Calc_TUR_Env_1[[Customer type]:[Customer type]],OP_Rates!$E72,Calc_TUR_Env_1[[Rate type]:[Rate type]],OP_Rates!$C72),8))),0,1))</f>
        <v>0</v>
      </c>
      <c r="H72" s="169" cm="1">
        <f t="array" ref="H72">IF(H37="-","-",
IF(ROUND(H37,8)=
IF($F72="Network",
ROUND(INDEX(Calc_TUR_Net_1[[Ausnet]:[United Energy]],MATCH(1,(Calc_TUR_Net_1[[Customer type]:[Customer type]]=OP_Rates!$E72)*(Calc_TUR_Net_1[[Rate type]:[Rate type]]=OP_Rates!$C72),0),MATCH(OP_Rates!H$65,Calc_TUR_Net_1[[#Headers],[Ausnet]:[United Energy]],0)),8),
IF($F72="Environmental",
ROUND(SUMIFS(Calc_TUR_Env_1[Citipower],Calc_TUR_Env_1[[Customer type]:[Customer type]],OP_Rates!$E72,Calc_TUR_Env_1[[Rate type]:[Rate type]],OP_Rates!$C72),8))),0,1))</f>
        <v>0</v>
      </c>
      <c r="I72" s="169" cm="1">
        <f t="array" ref="I72">IF(I37="-","-",
IF(ROUND(I37,8)=
IF($F72="Network",
ROUND(INDEX(Calc_TUR_Net_1[[Ausnet]:[United Energy]],MATCH(1,(Calc_TUR_Net_1[[Customer type]:[Customer type]]=OP_Rates!$E72)*(Calc_TUR_Net_1[[Rate type]:[Rate type]]=OP_Rates!$C72),0),MATCH(OP_Rates!I$65,Calc_TUR_Net_1[[#Headers],[Ausnet]:[United Energy]],0)),8),
IF($F72="Environmental",
ROUND(SUMIFS(Calc_TUR_Env_1[Jemena],Calc_TUR_Env_1[[Customer type]:[Customer type]],OP_Rates!$E72,Calc_TUR_Env_1[[Rate type]:[Rate type]],OP_Rates!$C72),8))),0,1))</f>
        <v>0</v>
      </c>
      <c r="J72" s="169" cm="1">
        <f t="array" ref="J72">IF(J37="-","-",
IF(ROUND(J37,8)=
IF($F72="Network",
ROUND(INDEX(Calc_TUR_Net_1[[Ausnet]:[United Energy]],MATCH(1,(Calc_TUR_Net_1[[Customer type]:[Customer type]]=OP_Rates!$E72)*(Calc_TUR_Net_1[[Rate type]:[Rate type]]=OP_Rates!$C72),0),MATCH(OP_Rates!J$65,Calc_TUR_Net_1[[#Headers],[Ausnet]:[United Energy]],0)),8),
IF($F72="Environmental",
ROUND(SUMIFS(Calc_TUR_Env_1[Powercor],Calc_TUR_Env_1[[Customer type]:[Customer type]],OP_Rates!$E72,Calc_TUR_Env_1[[Rate type]:[Rate type]],OP_Rates!$C72),8))),0,1))</f>
        <v>0</v>
      </c>
      <c r="K72" s="169" cm="1">
        <f t="array" ref="K72">IF(K37="-","-",
IF(ROUND(K37,8)=
IF($F72="Network",
ROUND(INDEX(Calc_TUR_Net_1[[Ausnet]:[United Energy]],MATCH(1,(Calc_TUR_Net_1[[Customer type]:[Customer type]]=OP_Rates!$E72)*(Calc_TUR_Net_1[[Rate type]:[Rate type]]=OP_Rates!$C72),0),MATCH(OP_Rates!K$65,Calc_TUR_Net_1[[#Headers],[Ausnet]:[United Energy]],0)),8),
IF($F72="Environmental",
ROUND(SUMIFS(Calc_TUR_Env_1[United Energy],Calc_TUR_Env_1[[Customer type]:[Customer type]],OP_Rates!$E72,Calc_TUR_Env_1[[Rate type]:[Rate type]],OP_Rates!$C72),8))),0,1))</f>
        <v>0</v>
      </c>
      <c r="M72" s="48" t="s">
        <v>166</v>
      </c>
      <c r="N72" s="48" t="s">
        <v>218</v>
      </c>
      <c r="O72" s="48" t="s">
        <v>32</v>
      </c>
      <c r="P72" s="18" t="s">
        <v>87</v>
      </c>
      <c r="Q72" s="169" cm="1">
        <f t="array" ref="Q72">IF(Q37="-","-",
IF(ROUND(Q37,8)=
IF($P72="Network",
ROUND(INDEX(Calc_TUR_Net_1[[Ausnet]:[United Energy]],MATCH(1,(Calc_TUR_Net_1[[Customer type]:[Customer type]]=OP_Rates!$O72)*(Calc_TUR_Net_1[[Rate type]:[Rate type]]=OP_Rates!$C72),0),MATCH(OP_Rates!Q$65,Calc_TUR_Net_1[[#Headers],[Ausnet]:[United Energy]],0)),8),
IF($P72="Environmental",
ROUND(SUMIFS(Calc_TUR_Env_1[Ausnet],Calc_TUR_Env_1[[Customer type]:[Customer type]],OP_Rates!$O72,Calc_TUR_Env_1[[Rate type]:[Rate type]],OP_Rates!$C72),8))),0,1))</f>
        <v>0</v>
      </c>
      <c r="R72" s="169" cm="1">
        <f t="array" ref="R72">IF(R37="-","-",
IF(ROUND(R37,8)=
IF($P72="Network",
ROUND(INDEX(Calc_TUR_Net_1[[Ausnet]:[United Energy]],MATCH(1,(Calc_TUR_Net_1[[Customer type]:[Customer type]]=OP_Rates!$O72)*(Calc_TUR_Net_1[[Rate type]:[Rate type]]=OP_Rates!$C72),0),MATCH(OP_Rates!R$65,Calc_TUR_Net_1[[#Headers],[Ausnet]:[United Energy]],0)),8),
IF($P72="Environmental",
ROUND(SUMIFS(Calc_TUR_Env_1[Citipower],Calc_TUR_Env_1[[Customer type]:[Customer type]],OP_Rates!$O72,Calc_TUR_Env_1[[Rate type]:[Rate type]],OP_Rates!$C72),8))),0,1))</f>
        <v>0</v>
      </c>
      <c r="S72" s="169" cm="1">
        <f t="array" ref="S72">IF(S37="-","-",
IF(ROUND(S37,8)=
IF($P72="Network",
ROUND(INDEX(Calc_TUR_Net_1[[Ausnet]:[United Energy]],MATCH(1,(Calc_TUR_Net_1[[Customer type]:[Customer type]]=OP_Rates!$O72)*(Calc_TUR_Net_1[[Rate type]:[Rate type]]=OP_Rates!$C72),0),MATCH(OP_Rates!S$65,Calc_TUR_Net_1[[#Headers],[Ausnet]:[United Energy]],0)),8),
IF($P72="Environmental",
ROUND(SUMIFS(Calc_TUR_Env_1[Jemena],Calc_TUR_Env_1[[Customer type]:[Customer type]],OP_Rates!$O72,Calc_TUR_Env_1[[Rate type]:[Rate type]],OP_Rates!$C72),8))),0,1))</f>
        <v>0</v>
      </c>
      <c r="T72" s="169" cm="1">
        <f t="array" ref="T72">IF(T37="-","-",
IF(ROUND(T37,8)=
IF($P72="Network",
ROUND(INDEX(Calc_TUR_Net_1[[Ausnet]:[United Energy]],MATCH(1,(Calc_TUR_Net_1[[Customer type]:[Customer type]]=OP_Rates!$O72)*(Calc_TUR_Net_1[[Rate type]:[Rate type]]=OP_Rates!$C72),0),MATCH(OP_Rates!T$65,Calc_TUR_Net_1[[#Headers],[Ausnet]:[United Energy]],0)),8),
IF($P72="Environmental",
ROUND(SUMIFS(Calc_TUR_Env_1[Powercor],Calc_TUR_Env_1[[Customer type]:[Customer type]],OP_Rates!$O72,Calc_TUR_Env_1[[Rate type]:[Rate type]],OP_Rates!$C72),8))),0,1))</f>
        <v>0</v>
      </c>
      <c r="U72" s="169" cm="1">
        <f t="array" ref="U72">IF(U37="-","-",
IF(ROUND(U37,8)=
IF($P72="Network",
ROUND(INDEX(Calc_TUR_Net_1[[Ausnet]:[United Energy]],MATCH(1,(Calc_TUR_Net_1[[Customer type]:[Customer type]]=OP_Rates!$O72)*(Calc_TUR_Net_1[[Rate type]:[Rate type]]=OP_Rates!$C72),0),MATCH(OP_Rates!U$65,Calc_TUR_Net_1[[#Headers],[Ausnet]:[United Energy]],0)),8),
IF($P72="Environmental",
ROUND(SUMIFS(Calc_TUR_Env_1[United Energy],Calc_TUR_Env_1[[Customer type]:[Customer type]],OP_Rates!$O72,Calc_TUR_Env_1[[Rate type]:[Rate type]],OP_Rates!$C72),8))),0,1))</f>
        <v>0</v>
      </c>
    </row>
    <row r="73" spans="2:22" ht="15.75" hidden="1" outlineLevel="2" x14ac:dyDescent="0.25">
      <c r="C73" s="48" t="s">
        <v>370</v>
      </c>
      <c r="D73" s="48" t="s">
        <v>218</v>
      </c>
      <c r="E73" s="48" t="s">
        <v>31</v>
      </c>
      <c r="F73" s="18" t="s">
        <v>87</v>
      </c>
      <c r="G73" s="169" cm="1">
        <f t="array" ref="G73">IF(G38="-","-",
IF(ROUND(G38,8)=
IF($F73="Network",
ROUND(INDEX(Calc_TUR_Net_1[[Ausnet]:[United Energy]],MATCH(1,(Calc_TUR_Net_1[[Customer type]:[Customer type]]=OP_Rates!$E73)*(Calc_TUR_Net_1[[Rate type]:[Rate type]]=OP_Rates!$C73),0),MATCH(OP_Rates!G$65,Calc_TUR_Net_1[[#Headers],[Ausnet]:[United Energy]],0)),8),
IF($F73="Environmental",
ROUND(SUMIFS(Calc_TUR_Env_1[Ausnet],Calc_TUR_Env_1[[Customer type]:[Customer type]],OP_Rates!$E73,Calc_TUR_Env_1[[Rate type]:[Rate type]],OP_Rates!$C73),8))),0,1))</f>
        <v>0</v>
      </c>
      <c r="H73" s="169" cm="1">
        <f t="array" ref="H73">IF(H38="-","-",
IF(ROUND(H38,8)=
IF($F73="Network",
ROUND(INDEX(Calc_TUR_Net_1[[Ausnet]:[United Energy]],MATCH(1,(Calc_TUR_Net_1[[Customer type]:[Customer type]]=OP_Rates!$E73)*(Calc_TUR_Net_1[[Rate type]:[Rate type]]=OP_Rates!$C73),0),MATCH(OP_Rates!H$65,Calc_TUR_Net_1[[#Headers],[Ausnet]:[United Energy]],0)),8),
IF($F73="Environmental",
ROUND(SUMIFS(Calc_TUR_Env_1[Citipower],Calc_TUR_Env_1[[Customer type]:[Customer type]],OP_Rates!$E73,Calc_TUR_Env_1[[Rate type]:[Rate type]],OP_Rates!$C73),8))),0,1))</f>
        <v>0</v>
      </c>
      <c r="I73" s="169" cm="1">
        <f t="array" ref="I73">IF(I38="-","-",
IF(ROUND(I38,8)=
IF($F73="Network",
ROUND(INDEX(Calc_TUR_Net_1[[Ausnet]:[United Energy]],MATCH(1,(Calc_TUR_Net_1[[Customer type]:[Customer type]]=OP_Rates!$E73)*(Calc_TUR_Net_1[[Rate type]:[Rate type]]=OP_Rates!$C73),0),MATCH(OP_Rates!I$65,Calc_TUR_Net_1[[#Headers],[Ausnet]:[United Energy]],0)),8),
IF($F73="Environmental",
ROUND(SUMIFS(Calc_TUR_Env_1[Jemena],Calc_TUR_Env_1[[Customer type]:[Customer type]],OP_Rates!$E73,Calc_TUR_Env_1[[Rate type]:[Rate type]],OP_Rates!$C73),8))),0,1))</f>
        <v>0</v>
      </c>
      <c r="J73" s="169" cm="1">
        <f t="array" ref="J73">IF(J38="-","-",
IF(ROUND(J38,8)=
IF($F73="Network",
ROUND(INDEX(Calc_TUR_Net_1[[Ausnet]:[United Energy]],MATCH(1,(Calc_TUR_Net_1[[Customer type]:[Customer type]]=OP_Rates!$E73)*(Calc_TUR_Net_1[[Rate type]:[Rate type]]=OP_Rates!$C73),0),MATCH(OP_Rates!J$65,Calc_TUR_Net_1[[#Headers],[Ausnet]:[United Energy]],0)),8),
IF($F73="Environmental",
ROUND(SUMIFS(Calc_TUR_Env_1[Powercor],Calc_TUR_Env_1[[Customer type]:[Customer type]],OP_Rates!$E73,Calc_TUR_Env_1[[Rate type]:[Rate type]],OP_Rates!$C73),8))),0,1))</f>
        <v>0</v>
      </c>
      <c r="K73" s="169" cm="1">
        <f t="array" ref="K73">IF(K38="-","-",
IF(ROUND(K38,8)=
IF($F73="Network",
ROUND(INDEX(Calc_TUR_Net_1[[Ausnet]:[United Energy]],MATCH(1,(Calc_TUR_Net_1[[Customer type]:[Customer type]]=OP_Rates!$E73)*(Calc_TUR_Net_1[[Rate type]:[Rate type]]=OP_Rates!$C73),0),MATCH(OP_Rates!K$65,Calc_TUR_Net_1[[#Headers],[Ausnet]:[United Energy]],0)),8),
IF($F73="Environmental",
ROUND(SUMIFS(Calc_TUR_Env_1[United Energy],Calc_TUR_Env_1[[Customer type]:[Customer type]],OP_Rates!$E73,Calc_TUR_Env_1[[Rate type]:[Rate type]],OP_Rates!$C73),8))),0,1))</f>
        <v>0</v>
      </c>
      <c r="M73" s="48" t="s">
        <v>370</v>
      </c>
      <c r="N73" s="48" t="s">
        <v>218</v>
      </c>
      <c r="O73" s="48" t="s">
        <v>32</v>
      </c>
      <c r="P73" s="18" t="s">
        <v>87</v>
      </c>
      <c r="Q73" s="169" cm="1">
        <f t="array" ref="Q73">IF(Q38="-","-",
IF(ROUND(Q38,8)=
IF($P73="Network",
ROUND(INDEX(Calc_TUR_Net_1[[Ausnet]:[United Energy]],MATCH(1,(Calc_TUR_Net_1[[Customer type]:[Customer type]]=OP_Rates!$O73)*(Calc_TUR_Net_1[[Rate type]:[Rate type]]=OP_Rates!$C73),0),MATCH(OP_Rates!Q$65,Calc_TUR_Net_1[[#Headers],[Ausnet]:[United Energy]],0)),8),
IF($P73="Environmental",
ROUND(SUMIFS(Calc_TUR_Env_1[Ausnet],Calc_TUR_Env_1[[Customer type]:[Customer type]],OP_Rates!$O73,Calc_TUR_Env_1[[Rate type]:[Rate type]],OP_Rates!$C73),8))),0,1))</f>
        <v>0</v>
      </c>
      <c r="R73" s="169" cm="1">
        <f t="array" ref="R73">IF(R38="-","-",
IF(ROUND(R38,8)=
IF($P73="Network",
ROUND(INDEX(Calc_TUR_Net_1[[Ausnet]:[United Energy]],MATCH(1,(Calc_TUR_Net_1[[Customer type]:[Customer type]]=OP_Rates!$O73)*(Calc_TUR_Net_1[[Rate type]:[Rate type]]=OP_Rates!$C73),0),MATCH(OP_Rates!R$65,Calc_TUR_Net_1[[#Headers],[Ausnet]:[United Energy]],0)),8),
IF($P73="Environmental",
ROUND(SUMIFS(Calc_TUR_Env_1[Citipower],Calc_TUR_Env_1[[Customer type]:[Customer type]],OP_Rates!$O73,Calc_TUR_Env_1[[Rate type]:[Rate type]],OP_Rates!$C73),8))),0,1))</f>
        <v>0</v>
      </c>
      <c r="S73" s="169" cm="1">
        <f t="array" ref="S73">IF(S38="-","-",
IF(ROUND(S38,8)=
IF($P73="Network",
ROUND(INDEX(Calc_TUR_Net_1[[Ausnet]:[United Energy]],MATCH(1,(Calc_TUR_Net_1[[Customer type]:[Customer type]]=OP_Rates!$O73)*(Calc_TUR_Net_1[[Rate type]:[Rate type]]=OP_Rates!$C73),0),MATCH(OP_Rates!S$65,Calc_TUR_Net_1[[#Headers],[Ausnet]:[United Energy]],0)),8),
IF($P73="Environmental",
ROUND(SUMIFS(Calc_TUR_Env_1[Jemena],Calc_TUR_Env_1[[Customer type]:[Customer type]],OP_Rates!$O73,Calc_TUR_Env_1[[Rate type]:[Rate type]],OP_Rates!$C73),8))),0,1))</f>
        <v>0</v>
      </c>
      <c r="T73" s="169" cm="1">
        <f t="array" ref="T73">IF(T38="-","-",
IF(ROUND(T38,8)=
IF($P73="Network",
ROUND(INDEX(Calc_TUR_Net_1[[Ausnet]:[United Energy]],MATCH(1,(Calc_TUR_Net_1[[Customer type]:[Customer type]]=OP_Rates!$O73)*(Calc_TUR_Net_1[[Rate type]:[Rate type]]=OP_Rates!$C73),0),MATCH(OP_Rates!T$65,Calc_TUR_Net_1[[#Headers],[Ausnet]:[United Energy]],0)),8),
IF($P73="Environmental",
ROUND(SUMIFS(Calc_TUR_Env_1[Powercor],Calc_TUR_Env_1[[Customer type]:[Customer type]],OP_Rates!$O73,Calc_TUR_Env_1[[Rate type]:[Rate type]],OP_Rates!$C73),8))),0,1))</f>
        <v>0</v>
      </c>
      <c r="U73" s="169" cm="1">
        <f t="array" ref="U73">IF(U38="-","-",
IF(ROUND(U38,8)=
IF($P73="Network",
ROUND(INDEX(Calc_TUR_Net_1[[Ausnet]:[United Energy]],MATCH(1,(Calc_TUR_Net_1[[Customer type]:[Customer type]]=OP_Rates!$O73)*(Calc_TUR_Net_1[[Rate type]:[Rate type]]=OP_Rates!$C73),0),MATCH(OP_Rates!U$65,Calc_TUR_Net_1[[#Headers],[Ausnet]:[United Energy]],0)),8),
IF($P73="Environmental",
ROUND(SUMIFS(Calc_TUR_Env_1[United Energy],Calc_TUR_Env_1[[Customer type]:[Customer type]],OP_Rates!$O73,Calc_TUR_Env_1[[Rate type]:[Rate type]],OP_Rates!$C73),8))),0,1))</f>
        <v>0</v>
      </c>
    </row>
    <row r="74" spans="2:22" ht="15.75" hidden="1" outlineLevel="2" x14ac:dyDescent="0.25">
      <c r="C74" s="48" t="s">
        <v>223</v>
      </c>
      <c r="D74" s="48" t="s">
        <v>218</v>
      </c>
      <c r="E74" s="48" t="s">
        <v>31</v>
      </c>
      <c r="F74" s="18" t="s">
        <v>87</v>
      </c>
      <c r="G74" s="169" cm="1">
        <f t="array" ref="G74">IF(G39="-","-",
IF(ROUND(G39,8)=
IF($F74="Network",
ROUND(INDEX(Calc_TUR_Net_1[[Ausnet]:[United Energy]],MATCH(1,(Calc_TUR_Net_1[[Customer type]:[Customer type]]=OP_Rates!$E74)*(Calc_TUR_Net_1[[Rate type]:[Rate type]]=OP_Rates!$C74),0),MATCH(OP_Rates!G$65,Calc_TUR_Net_1[[#Headers],[Ausnet]:[United Energy]],0)),8),
IF($F74="Environmental",
ROUND(SUMIFS(Calc_TUR_Env_1[Ausnet],Calc_TUR_Env_1[[Customer type]:[Customer type]],OP_Rates!$E74,Calc_TUR_Env_1[[Rate type]:[Rate type]],OP_Rates!$C74),8))),0,1))</f>
        <v>0</v>
      </c>
      <c r="H74" s="169" cm="1">
        <f t="array" ref="H74">IF(H39="-","-",
IF(ROUND(H39,8)=
IF($F74="Network",
ROUND(INDEX(Calc_TUR_Net_1[[Ausnet]:[United Energy]],MATCH(1,(Calc_TUR_Net_1[[Customer type]:[Customer type]]=OP_Rates!$E74)*(Calc_TUR_Net_1[[Rate type]:[Rate type]]=OP_Rates!$C74),0),MATCH(OP_Rates!H$65,Calc_TUR_Net_1[[#Headers],[Ausnet]:[United Energy]],0)),8),
IF($F74="Environmental",
ROUND(SUMIFS(Calc_TUR_Env_1[Citipower],Calc_TUR_Env_1[[Customer type]:[Customer type]],OP_Rates!$E74,Calc_TUR_Env_1[[Rate type]:[Rate type]],OP_Rates!$C74),8))),0,1))</f>
        <v>0</v>
      </c>
      <c r="I74" s="169" cm="1">
        <f t="array" ref="I74">IF(I39="-","-",
IF(ROUND(I39,8)=
IF($F74="Network",
ROUND(INDEX(Calc_TUR_Net_1[[Ausnet]:[United Energy]],MATCH(1,(Calc_TUR_Net_1[[Customer type]:[Customer type]]=OP_Rates!$E74)*(Calc_TUR_Net_1[[Rate type]:[Rate type]]=OP_Rates!$C74),0),MATCH(OP_Rates!I$65,Calc_TUR_Net_1[[#Headers],[Ausnet]:[United Energy]],0)),8),
IF($F74="Environmental",
ROUND(SUMIFS(Calc_TUR_Env_1[Jemena],Calc_TUR_Env_1[[Customer type]:[Customer type]],OP_Rates!$E74,Calc_TUR_Env_1[[Rate type]:[Rate type]],OP_Rates!$C74),8))),0,1))</f>
        <v>0</v>
      </c>
      <c r="J74" s="169" cm="1">
        <f t="array" ref="J74">IF(J39="-","-",
IF(ROUND(J39,8)=
IF($F74="Network",
ROUND(INDEX(Calc_TUR_Net_1[[Ausnet]:[United Energy]],MATCH(1,(Calc_TUR_Net_1[[Customer type]:[Customer type]]=OP_Rates!$E74)*(Calc_TUR_Net_1[[Rate type]:[Rate type]]=OP_Rates!$C74),0),MATCH(OP_Rates!J$65,Calc_TUR_Net_1[[#Headers],[Ausnet]:[United Energy]],0)),8),
IF($F74="Environmental",
ROUND(SUMIFS(Calc_TUR_Env_1[Powercor],Calc_TUR_Env_1[[Customer type]:[Customer type]],OP_Rates!$E74,Calc_TUR_Env_1[[Rate type]:[Rate type]],OP_Rates!$C74),8))),0,1))</f>
        <v>0</v>
      </c>
      <c r="K74" s="169" cm="1">
        <f t="array" ref="K74">IF(K39="-","-",
IF(ROUND(K39,8)=
IF($F74="Network",
ROUND(INDEX(Calc_TUR_Net_1[[Ausnet]:[United Energy]],MATCH(1,(Calc_TUR_Net_1[[Customer type]:[Customer type]]=OP_Rates!$E74)*(Calc_TUR_Net_1[[Rate type]:[Rate type]]=OP_Rates!$C74),0),MATCH(OP_Rates!K$65,Calc_TUR_Net_1[[#Headers],[Ausnet]:[United Energy]],0)),8),
IF($F74="Environmental",
ROUND(SUMIFS(Calc_TUR_Env_1[United Energy],Calc_TUR_Env_1[[Customer type]:[Customer type]],OP_Rates!$E74,Calc_TUR_Env_1[[Rate type]:[Rate type]],OP_Rates!$C74),8))),0,1))</f>
        <v>0</v>
      </c>
      <c r="M74" s="48"/>
      <c r="N74" s="48"/>
      <c r="O74" s="48"/>
      <c r="P74" s="18"/>
      <c r="Q74" s="169"/>
      <c r="R74" s="169"/>
      <c r="S74" s="169"/>
      <c r="T74" s="169"/>
      <c r="U74" s="169"/>
    </row>
    <row r="75" spans="2:22" hidden="1" outlineLevel="1" collapsed="1" x14ac:dyDescent="0.25"/>
    <row r="76" spans="2:22" collapsed="1" x14ac:dyDescent="0.25"/>
    <row r="78" spans="2:22" ht="16.5" thickBot="1" x14ac:dyDescent="0.3">
      <c r="B78" s="7">
        <f ca="1">MAX(B$3:B77)+0.1</f>
        <v>10.199999999999999</v>
      </c>
      <c r="C78" s="22" t="str">
        <f>"VDO rates - "&amp;Calc_Rates!$D$249</f>
        <v>VDO rates - VDO 2022 - Draft</v>
      </c>
      <c r="D78" s="22"/>
      <c r="E78" s="22"/>
      <c r="F78" s="22"/>
      <c r="G78" s="22"/>
      <c r="H78" s="22"/>
      <c r="I78" s="22"/>
      <c r="J78" s="22"/>
      <c r="K78" s="22"/>
      <c r="L78" s="22"/>
      <c r="M78" s="22"/>
      <c r="N78" s="22"/>
      <c r="O78" s="22"/>
      <c r="P78" s="22"/>
      <c r="Q78" s="22"/>
      <c r="R78" s="22"/>
      <c r="S78" s="22"/>
      <c r="T78" s="22"/>
      <c r="U78" s="22"/>
      <c r="V78" s="22"/>
    </row>
    <row r="79" spans="2:22" outlineLevel="1" x14ac:dyDescent="0.25"/>
    <row r="80" spans="2:22" ht="15.75" outlineLevel="1" x14ac:dyDescent="0.25">
      <c r="C80" s="23" t="s">
        <v>378</v>
      </c>
      <c r="M80" s="23" t="s">
        <v>379</v>
      </c>
      <c r="P80" s="74"/>
      <c r="Q80" s="74"/>
      <c r="R80" s="74"/>
    </row>
    <row r="81" spans="1:24" ht="15.75" outlineLevel="1" x14ac:dyDescent="0.25">
      <c r="C81" s="111" t="s">
        <v>263</v>
      </c>
      <c r="D81" s="111" t="s">
        <v>38</v>
      </c>
      <c r="E81" s="111" t="s">
        <v>30</v>
      </c>
      <c r="F81" s="111" t="s">
        <v>9</v>
      </c>
      <c r="G81" s="112" t="s">
        <v>204</v>
      </c>
      <c r="H81" s="112" t="s">
        <v>205</v>
      </c>
      <c r="I81" s="112" t="s">
        <v>206</v>
      </c>
      <c r="J81" s="112" t="s">
        <v>207</v>
      </c>
      <c r="K81" s="112" t="s">
        <v>208</v>
      </c>
      <c r="M81" s="111" t="s">
        <v>263</v>
      </c>
      <c r="N81" s="111" t="s">
        <v>38</v>
      </c>
      <c r="O81" s="111" t="s">
        <v>30</v>
      </c>
      <c r="P81" s="111" t="s">
        <v>9</v>
      </c>
      <c r="Q81" s="112" t="s">
        <v>204</v>
      </c>
      <c r="R81" s="112" t="s">
        <v>205</v>
      </c>
      <c r="S81" s="112" t="s">
        <v>206</v>
      </c>
      <c r="T81" s="112" t="s">
        <v>207</v>
      </c>
      <c r="U81" s="112" t="s">
        <v>208</v>
      </c>
    </row>
    <row r="82" spans="1:24" outlineLevel="1" x14ac:dyDescent="0.25">
      <c r="C82" s="18" t="s">
        <v>339</v>
      </c>
      <c r="D82" s="18" t="s">
        <v>45</v>
      </c>
      <c r="E82" s="18" t="s">
        <v>31</v>
      </c>
      <c r="F82" s="18" t="s">
        <v>9</v>
      </c>
      <c r="G82" s="138" cm="1">
        <f t="array" ref="G82">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1.2762</v>
      </c>
      <c r="H82" s="138" cm="1">
        <f t="array" ref="H82">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1.2202999999999999</v>
      </c>
      <c r="I82" s="138" cm="1">
        <f t="array" ref="I82">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1.1661999999999999</v>
      </c>
      <c r="J82" s="138" cm="1">
        <f t="array" ref="J82">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1.3633999999999999</v>
      </c>
      <c r="K82" s="138" cm="1">
        <f t="array" ref="K82">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1.0780000000000001</v>
      </c>
      <c r="M82" s="18" t="s">
        <v>339</v>
      </c>
      <c r="N82" s="18" t="s">
        <v>45</v>
      </c>
      <c r="O82" s="18" t="s">
        <v>32</v>
      </c>
      <c r="P82" s="18" t="s">
        <v>9</v>
      </c>
      <c r="Q82" s="138" cm="1">
        <f t="array" ref="Q82">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1.3372999999999999</v>
      </c>
      <c r="R82" s="138" cm="1">
        <f t="array" ref="R82">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1.3953</v>
      </c>
      <c r="S82" s="138" cm="1">
        <f t="array" ref="S82">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1.3836999999999999</v>
      </c>
      <c r="T82" s="138" cm="1">
        <f t="array" ref="T82">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1.4673</v>
      </c>
      <c r="U82" s="138" cm="1">
        <f t="array" ref="U82">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1.1700999999999999</v>
      </c>
    </row>
    <row r="83" spans="1:24" outlineLevel="1" x14ac:dyDescent="0.25">
      <c r="C83" s="18" t="s">
        <v>157</v>
      </c>
      <c r="D83" s="18" t="s">
        <v>218</v>
      </c>
      <c r="E83" s="18" t="s">
        <v>31</v>
      </c>
      <c r="F83" s="18" t="s">
        <v>9</v>
      </c>
      <c r="G83" s="138" cm="1">
        <f t="array" ref="G83">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0.25800000000000001</v>
      </c>
      <c r="H83" s="138" cm="1">
        <f t="array" ref="H83">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v>
      </c>
      <c r="I83" s="138" cm="1">
        <f t="array" ref="I83">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v>
      </c>
      <c r="J83" s="138" cm="1">
        <f t="array" ref="J83">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v>
      </c>
      <c r="K83" s="138" cm="1">
        <f t="array" ref="K83">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v>
      </c>
      <c r="M83" s="18" t="s">
        <v>157</v>
      </c>
      <c r="N83" s="18" t="s">
        <v>218</v>
      </c>
      <c r="O83" s="18" t="s">
        <v>32</v>
      </c>
      <c r="P83" s="18" t="s">
        <v>9</v>
      </c>
      <c r="Q83" s="138" cm="1">
        <f t="array" ref="Q83">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0.29530000000000001</v>
      </c>
      <c r="R83" s="138" cm="1">
        <f t="array" ref="R83">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3" s="138" cm="1">
        <f t="array" ref="S83">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3" s="138" cm="1">
        <f t="array" ref="T83">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3" s="138" cm="1">
        <f t="array" ref="U83">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84" spans="1:24" ht="15.75" outlineLevel="1" x14ac:dyDescent="0.25">
      <c r="A84" s="1" t="s">
        <v>19</v>
      </c>
      <c r="C84" s="18" t="s">
        <v>164</v>
      </c>
      <c r="D84" s="18" t="s">
        <v>218</v>
      </c>
      <c r="E84" s="18" t="s">
        <v>31</v>
      </c>
      <c r="F84" s="18" t="s">
        <v>9</v>
      </c>
      <c r="G84" s="138" cm="1">
        <f t="array" ref="G84">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0.2742</v>
      </c>
      <c r="H84" s="138" cm="1">
        <f t="array" ref="H84">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v>
      </c>
      <c r="I84" s="138" cm="1">
        <f t="array" ref="I84">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v>
      </c>
      <c r="J84" s="138" cm="1">
        <f t="array" ref="J84">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v>
      </c>
      <c r="K84" s="138" cm="1">
        <f t="array" ref="K84">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v>
      </c>
      <c r="M84" s="18" t="s">
        <v>164</v>
      </c>
      <c r="N84" s="18" t="s">
        <v>218</v>
      </c>
      <c r="O84" s="18" t="s">
        <v>32</v>
      </c>
      <c r="P84" s="18" t="s">
        <v>9</v>
      </c>
      <c r="Q84" s="138" cm="1">
        <f t="array" ref="Q84">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0.3271</v>
      </c>
      <c r="R84" s="138" cm="1">
        <f t="array" ref="R84">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4" s="138" cm="1">
        <f t="array" ref="S84">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4" s="138" cm="1">
        <f t="array" ref="T84">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4" s="138" cm="1">
        <f t="array" ref="U84">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85" spans="1:24" ht="15.75" outlineLevel="1" x14ac:dyDescent="0.25">
      <c r="A85" s="1"/>
      <c r="C85" s="18" t="s">
        <v>338</v>
      </c>
      <c r="D85" s="18" t="s">
        <v>218</v>
      </c>
      <c r="E85" s="18" t="s">
        <v>31</v>
      </c>
      <c r="F85" s="18" t="s">
        <v>9</v>
      </c>
      <c r="G85" s="138" cm="1">
        <f t="array" ref="G85">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v>
      </c>
      <c r="H85" s="138" cm="1">
        <f t="array" ref="H85">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0.21149999999999999</v>
      </c>
      <c r="I85" s="138" cm="1">
        <f t="array" ref="I85">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0.22509999999999999</v>
      </c>
      <c r="J85" s="138" cm="1">
        <f t="array" ref="J85">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0.21790000000000001</v>
      </c>
      <c r="K85" s="138" cm="1">
        <f t="array" ref="K85">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0.21859999999999999</v>
      </c>
      <c r="M85" s="18" t="s">
        <v>338</v>
      </c>
      <c r="N85" s="18" t="s">
        <v>218</v>
      </c>
      <c r="O85" s="18" t="s">
        <v>32</v>
      </c>
      <c r="P85" s="18" t="s">
        <v>9</v>
      </c>
      <c r="Q85" s="138" cm="1">
        <f t="array" ref="Q85">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v>
      </c>
      <c r="R85" s="138" cm="1">
        <f t="array" ref="R85">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0.2092</v>
      </c>
      <c r="S85" s="138" cm="1">
        <f t="array" ref="S85">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0.24060000000000001</v>
      </c>
      <c r="T85" s="138" cm="1">
        <f t="array" ref="T85">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0.22059999999999999</v>
      </c>
      <c r="U85" s="138" cm="1">
        <f t="array" ref="U85">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0.21740000000000001</v>
      </c>
    </row>
    <row r="86" spans="1:24" ht="15.75" outlineLevel="1" x14ac:dyDescent="0.25">
      <c r="A86" s="1"/>
      <c r="C86" s="18" t="s">
        <v>340</v>
      </c>
      <c r="D86" s="18" t="s">
        <v>45</v>
      </c>
      <c r="E86" s="18" t="s">
        <v>31</v>
      </c>
      <c r="F86" s="18" t="s">
        <v>9</v>
      </c>
      <c r="G86" s="138" cm="1">
        <f t="array" ref="G86">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1.1704000000000001</v>
      </c>
      <c r="H86" s="138" cm="1">
        <f t="array" ref="H86">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1.2123999999999999</v>
      </c>
      <c r="I86" s="138" cm="1">
        <f t="array" ref="I86">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1.0634999999999999</v>
      </c>
      <c r="J86" s="138" cm="1">
        <f t="array" ref="J86">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1.3469</v>
      </c>
      <c r="K86" s="138" cm="1">
        <f t="array" ref="K86">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1.0694999999999999</v>
      </c>
      <c r="M86" s="18" t="s">
        <v>340</v>
      </c>
      <c r="N86" s="18" t="s">
        <v>45</v>
      </c>
      <c r="O86" s="18" t="s">
        <v>32</v>
      </c>
      <c r="P86" s="18" t="s">
        <v>9</v>
      </c>
      <c r="Q86" s="138" cm="1">
        <f t="array" ref="Q86">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0.93420000000000003</v>
      </c>
      <c r="R86" s="138" cm="1">
        <f t="array" ref="R86">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1.3676999999999999</v>
      </c>
      <c r="S86" s="138" cm="1">
        <f t="array" ref="S86">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1.66</v>
      </c>
      <c r="T86" s="138" cm="1">
        <f t="array" ref="T86">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1.4371</v>
      </c>
      <c r="U86" s="138" cm="1">
        <f t="array" ref="U86">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1.1431</v>
      </c>
    </row>
    <row r="87" spans="1:24" ht="15.75" outlineLevel="1" x14ac:dyDescent="0.25">
      <c r="A87" s="1"/>
      <c r="C87" s="18" t="s">
        <v>166</v>
      </c>
      <c r="D87" s="18" t="s">
        <v>218</v>
      </c>
      <c r="E87" s="18" t="s">
        <v>31</v>
      </c>
      <c r="F87" s="18" t="s">
        <v>9</v>
      </c>
      <c r="G87" s="138" cm="1">
        <f t="array" ref="G87">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0.36770000000000003</v>
      </c>
      <c r="H87" s="138" cm="1">
        <f t="array" ref="H87">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0.30349999999999999</v>
      </c>
      <c r="I87" s="138" cm="1">
        <f t="array" ref="I87">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0.28129999999999999</v>
      </c>
      <c r="J87" s="138" cm="1">
        <f t="array" ref="J87">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0.30790000000000001</v>
      </c>
      <c r="K87" s="138" cm="1">
        <f t="array" ref="K87">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0.30959999999999999</v>
      </c>
      <c r="M87" s="18" t="s">
        <v>166</v>
      </c>
      <c r="N87" s="18" t="s">
        <v>218</v>
      </c>
      <c r="O87" s="18" t="s">
        <v>32</v>
      </c>
      <c r="P87" s="18" t="s">
        <v>9</v>
      </c>
      <c r="Q87" s="138" cm="1">
        <f t="array" ref="Q87">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0.31830000000000003</v>
      </c>
      <c r="R87" s="138" cm="1">
        <f t="array" ref="R87">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0.26529999999999998</v>
      </c>
      <c r="S87" s="138" cm="1">
        <f t="array" ref="S87">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0.27979999999999999</v>
      </c>
      <c r="T87" s="138" cm="1">
        <f t="array" ref="T87">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0.2843</v>
      </c>
      <c r="U87" s="138" cm="1">
        <f t="array" ref="U87">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0.27810000000000001</v>
      </c>
    </row>
    <row r="88" spans="1:24" ht="15.75" outlineLevel="1" x14ac:dyDescent="0.25">
      <c r="A88" s="1"/>
      <c r="C88" s="18" t="s">
        <v>370</v>
      </c>
      <c r="D88" s="18" t="s">
        <v>218</v>
      </c>
      <c r="E88" s="18" t="s">
        <v>31</v>
      </c>
      <c r="F88" s="18" t="s">
        <v>9</v>
      </c>
      <c r="G88" s="138" cm="1">
        <f t="array" ref="G88">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0.17510000000000001</v>
      </c>
      <c r="H88" s="138" cm="1">
        <f t="array" ref="H88">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0.16400000000000001</v>
      </c>
      <c r="I88" s="138" cm="1">
        <f t="array" ref="I88">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0.16930000000000001</v>
      </c>
      <c r="J88" s="138" cm="1">
        <f t="array" ref="J88">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0.16900000000000001</v>
      </c>
      <c r="K88" s="138" cm="1">
        <f t="array" ref="K88">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0.1714</v>
      </c>
      <c r="M88" s="18" t="s">
        <v>370</v>
      </c>
      <c r="N88" s="18" t="s">
        <v>218</v>
      </c>
      <c r="O88" s="18" t="s">
        <v>32</v>
      </c>
      <c r="P88" s="18" t="s">
        <v>9</v>
      </c>
      <c r="Q88" s="138" cm="1">
        <f t="array" ref="Q88">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0.1638</v>
      </c>
      <c r="R88" s="138" cm="1">
        <f t="array" ref="R88">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0.14710000000000001</v>
      </c>
      <c r="S88" s="138" cm="1">
        <f t="array" ref="S88">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0.1482</v>
      </c>
      <c r="T88" s="138" cm="1">
        <f t="array" ref="T88">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0.15049999999999999</v>
      </c>
      <c r="U88" s="138" cm="1">
        <f t="array" ref="U88">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0.1512</v>
      </c>
    </row>
    <row r="89" spans="1:24" ht="15.75" outlineLevel="1" x14ac:dyDescent="0.25">
      <c r="A89" s="1"/>
      <c r="C89" s="18" t="s">
        <v>223</v>
      </c>
      <c r="D89" s="18" t="s">
        <v>218</v>
      </c>
      <c r="E89" s="18" t="s">
        <v>31</v>
      </c>
      <c r="F89" s="18" t="s">
        <v>9</v>
      </c>
      <c r="G89" s="138" cm="1">
        <f t="array" ref="G89">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0.183</v>
      </c>
      <c r="H89" s="138" cm="1">
        <f t="array" ref="H89">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0.1547</v>
      </c>
      <c r="I89" s="138" cm="1">
        <f t="array" ref="I89">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0.18090000000000001</v>
      </c>
      <c r="J89" s="138" cm="1">
        <f t="array" ref="J89">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0.15609999999999999</v>
      </c>
      <c r="K89" s="138" cm="1">
        <f t="array" ref="K89">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0.1603</v>
      </c>
      <c r="M89" s="35"/>
      <c r="N89" s="35"/>
      <c r="O89" s="18"/>
      <c r="P89" s="48" t="s">
        <v>9</v>
      </c>
      <c r="Q89" s="138" cm="1">
        <f t="array" ref="Q89">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v>
      </c>
      <c r="R89" s="138" cm="1">
        <f t="array" ref="R89">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9" s="138" cm="1">
        <f t="array" ref="S89">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9" s="138" cm="1">
        <f t="array" ref="T89">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9" s="138" cm="1">
        <f t="array" ref="U89">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90" spans="1:24" ht="15.75" outlineLevel="1" x14ac:dyDescent="0.25">
      <c r="A90" s="1"/>
    </row>
    <row r="91" spans="1:24" ht="15.75" outlineLevel="1" x14ac:dyDescent="0.25">
      <c r="A91" s="1"/>
      <c r="C91" s="23" t="s">
        <v>427</v>
      </c>
      <c r="H91" s="74"/>
      <c r="M91" s="23" t="s">
        <v>428</v>
      </c>
      <c r="R91" s="74"/>
      <c r="X91" s="67"/>
    </row>
    <row r="92" spans="1:24" ht="15.75" hidden="1" outlineLevel="2" x14ac:dyDescent="0.25">
      <c r="A92" s="1"/>
      <c r="C92" s="167" t="s">
        <v>263</v>
      </c>
      <c r="D92" s="167" t="s">
        <v>38</v>
      </c>
      <c r="E92" s="167" t="s">
        <v>30</v>
      </c>
      <c r="F92" s="34" t="s">
        <v>9</v>
      </c>
      <c r="G92" s="49" t="s">
        <v>204</v>
      </c>
      <c r="H92" s="49" t="s">
        <v>205</v>
      </c>
      <c r="I92" s="49" t="s">
        <v>206</v>
      </c>
      <c r="J92" s="49" t="s">
        <v>207</v>
      </c>
      <c r="K92" s="72" t="s">
        <v>208</v>
      </c>
      <c r="M92" s="167" t="s">
        <v>263</v>
      </c>
      <c r="N92" s="167" t="s">
        <v>38</v>
      </c>
      <c r="O92" s="167" t="s">
        <v>30</v>
      </c>
      <c r="P92" s="34" t="s">
        <v>9</v>
      </c>
      <c r="Q92" s="49" t="s">
        <v>204</v>
      </c>
      <c r="R92" s="49" t="s">
        <v>205</v>
      </c>
      <c r="S92" s="49" t="s">
        <v>206</v>
      </c>
      <c r="T92" s="49" t="s">
        <v>207</v>
      </c>
      <c r="U92" s="72" t="s">
        <v>208</v>
      </c>
    </row>
    <row r="93" spans="1:24" ht="15.75" hidden="1" outlineLevel="2" x14ac:dyDescent="0.25">
      <c r="A93" s="1"/>
      <c r="C93" s="18" t="s">
        <v>339</v>
      </c>
      <c r="D93" s="18" t="s">
        <v>45</v>
      </c>
      <c r="E93" s="18" t="s">
        <v>31</v>
      </c>
      <c r="F93" s="18" t="s">
        <v>9</v>
      </c>
      <c r="G93" s="51">
        <f>IF(SUMIFS(Calc_Rates!G$261:G$291,Calc_Rates!$C$261:$C$291,OP_Rates!$C93,Calc_Rates!$F$261:$F$291,OP_Rates!$E93)=0,"-",SUMIFS(Calc_Rates!G$261:G$291,Calc_Rates!$C$261:$C$291,OP_Rates!$C93,Calc_Rates!$F$261:$F$291,OP_Rates!$E93))</f>
        <v>1.2077832374461726</v>
      </c>
      <c r="H93" s="51">
        <f>IF(SUMIFS(Calc_Rates!H$261:H$291,Calc_Rates!$C$261:$C$291,OP_Rates!$C93,Calc_Rates!$F$261:$F$291,OP_Rates!$E93)=0,"-",SUMIFS(Calc_Rates!H$261:H$291,Calc_Rates!$C$261:$C$291,OP_Rates!$C93,Calc_Rates!$F$261:$F$291,OP_Rates!$E93))</f>
        <v>1.1266086006242546</v>
      </c>
      <c r="I93" s="51">
        <f>IF(SUMIFS(Calc_Rates!I$261:I$291,Calc_Rates!$C$261:$C$291,OP_Rates!$C93,Calc_Rates!$F$261:$F$291,OP_Rates!$E93)=0,"-",SUMIFS(Calc_Rates!I$261:I$291,Calc_Rates!$C$261:$C$291,OP_Rates!$C93,Calc_Rates!$F$261:$F$291,OP_Rates!$E93))</f>
        <v>1.0849906605694604</v>
      </c>
      <c r="J93" s="51">
        <f>IF(SUMIFS(Calc_Rates!J$261:J$291,Calc_Rates!$C$261:$C$291,OP_Rates!$C93,Calc_Rates!$F$261:$F$291,OP_Rates!$E93)=0,"-",SUMIFS(Calc_Rates!J$261:J$291,Calc_Rates!$C$261:$C$291,OP_Rates!$C93,Calc_Rates!$F$261:$F$291,OP_Rates!$E93))</f>
        <v>1.2818202201858986</v>
      </c>
      <c r="K93" s="51">
        <f>IF(SUMIFS(Calc_Rates!K$261:K$291,Calc_Rates!$C$261:$C$291,OP_Rates!$C93,Calc_Rates!$F$261:$F$291,OP_Rates!$E93)=0,"-",SUMIFS(Calc_Rates!K$261:K$291,Calc_Rates!$C$261:$C$291,OP_Rates!$C93,Calc_Rates!$F$261:$F$291,OP_Rates!$E93))</f>
        <v>1.0419825796927478</v>
      </c>
      <c r="M93" s="18" t="s">
        <v>339</v>
      </c>
      <c r="N93" s="18" t="s">
        <v>45</v>
      </c>
      <c r="O93" s="18" t="s">
        <v>32</v>
      </c>
      <c r="P93" s="18" t="s">
        <v>9</v>
      </c>
      <c r="Q93" s="51">
        <f>IF(SUMIFS(Calc_Rates!G$261:G$291,Calc_Rates!$C$261:$C$291,OP_Rates!$M93,Calc_Rates!$F$261:$F$291,OP_Rates!$O93)=0,"-",SUMIFS(Calc_Rates!G$261:G$291,Calc_Rates!$C$261:$C$291,OP_Rates!$M93,Calc_Rates!$F$261:$F$291,OP_Rates!$O93))</f>
        <v>1.2077832374461726</v>
      </c>
      <c r="R93" s="51">
        <f>IF(SUMIFS(Calc_Rates!H$261:H$291,Calc_Rates!$C$261:$C$291,OP_Rates!$M93,Calc_Rates!$F$261:$F$291,OP_Rates!$O93)=0,"-",SUMIFS(Calc_Rates!H$261:H$291,Calc_Rates!$C$261:$C$291,OP_Rates!$M93,Calc_Rates!$F$261:$F$291,OP_Rates!$O93))</f>
        <v>1.3503317926242548</v>
      </c>
      <c r="S93" s="51">
        <f>IF(SUMIFS(Calc_Rates!I$261:I$291,Calc_Rates!$C$261:$C$291,OP_Rates!$M93,Calc_Rates!$F$261:$F$291,OP_Rates!$O93)=0,"-",SUMIFS(Calc_Rates!I$261:I$291,Calc_Rates!$C$261:$C$291,OP_Rates!$M93,Calc_Rates!$F$261:$F$291,OP_Rates!$O93))</f>
        <v>1.2520312600215151</v>
      </c>
      <c r="T93" s="51">
        <f>IF(SUMIFS(Calc_Rates!J$261:J$291,Calc_Rates!$C$261:$C$291,OP_Rates!$M93,Calc_Rates!$F$261:$F$291,OP_Rates!$O93)=0,"-",SUMIFS(Calc_Rates!J$261:J$291,Calc_Rates!$C$261:$C$291,OP_Rates!$M93,Calc_Rates!$F$261:$F$291,OP_Rates!$O93))</f>
        <v>1.4096620441858987</v>
      </c>
      <c r="U93" s="51">
        <f>IF(SUMIFS(Calc_Rates!K$261:K$291,Calc_Rates!$C$261:$C$291,OP_Rates!$M93,Calc_Rates!$F$261:$F$291,OP_Rates!$O93)=0,"-",SUMIFS(Calc_Rates!K$261:K$291,Calc_Rates!$C$261:$C$291,OP_Rates!$M93,Calc_Rates!$F$261:$F$291,OP_Rates!$O93))</f>
        <v>1.1698244036927481</v>
      </c>
    </row>
    <row r="94" spans="1:24" ht="15.75" hidden="1" outlineLevel="2" x14ac:dyDescent="0.25">
      <c r="A94" s="1"/>
      <c r="C94" s="18" t="s">
        <v>157</v>
      </c>
      <c r="D94" s="18" t="s">
        <v>218</v>
      </c>
      <c r="E94" s="18" t="s">
        <v>31</v>
      </c>
      <c r="F94" s="18" t="s">
        <v>9</v>
      </c>
      <c r="G94" s="51">
        <f>IF(SUMIFS(Calc_Rates!G$305:G$383,Calc_Rates!$C$305:$C$383,OP_Rates!$C94&amp;" charge",Calc_Rates!$F$305:$F$383,OP_Rates!$E94)=0,"-",SUMIFS(Calc_Rates!G$305:G$383,Calc_Rates!$C$305:$C$383,OP_Rates!$C94&amp;" charge",Calc_Rates!$F$305:$F$383,OP_Rates!$E94))</f>
        <v>0.25472979402428197</v>
      </c>
      <c r="H94" s="51" t="str">
        <f>IF(SUMIFS(Calc_Rates!H$305:H$383,Calc_Rates!$C$305:$C$383,OP_Rates!$C94&amp;" charge",Calc_Rates!$F$305:$F$383,OP_Rates!$E94)=0,"-",SUMIFS(Calc_Rates!H$305:H$383,Calc_Rates!$C$305:$C$383,OP_Rates!$C94&amp;" charge",Calc_Rates!$F$305:$F$383,OP_Rates!$E94))</f>
        <v>-</v>
      </c>
      <c r="I94" s="51" t="str">
        <f>IF(SUMIFS(Calc_Rates!I$305:I$383,Calc_Rates!$C$305:$C$383,OP_Rates!$C94&amp;" charge",Calc_Rates!$F$305:$F$383,OP_Rates!$E94)=0,"-",SUMIFS(Calc_Rates!I$305:I$383,Calc_Rates!$C$305:$C$383,OP_Rates!$C94&amp;" charge",Calc_Rates!$F$305:$F$383,OP_Rates!$E94))</f>
        <v>-</v>
      </c>
      <c r="J94" s="51" t="str">
        <f>IF(SUMIFS(Calc_Rates!J$305:J$383,Calc_Rates!$C$305:$C$383,OP_Rates!$C94&amp;" charge",Calc_Rates!$F$305:$F$383,OP_Rates!$E94)=0,"-",SUMIFS(Calc_Rates!J$305:J$383,Calc_Rates!$C$305:$C$383,OP_Rates!$C94&amp;" charge",Calc_Rates!$F$305:$F$383,OP_Rates!$E94))</f>
        <v>-</v>
      </c>
      <c r="K94" s="51" t="str">
        <f>IF(SUMIFS(Calc_Rates!K$305:K$383,Calc_Rates!$C$305:$C$383,OP_Rates!$C94&amp;" charge",Calc_Rates!$F$305:$F$383,OP_Rates!$E94)=0,"-",SUMIFS(Calc_Rates!K$305:K$383,Calc_Rates!$C$305:$C$383,OP_Rates!$C94&amp;" charge",Calc_Rates!$F$305:$F$383,OP_Rates!$E94))</f>
        <v>-</v>
      </c>
      <c r="M94" s="18" t="s">
        <v>157</v>
      </c>
      <c r="N94" s="18" t="s">
        <v>218</v>
      </c>
      <c r="O94" s="18" t="s">
        <v>32</v>
      </c>
      <c r="P94" s="18" t="s">
        <v>9</v>
      </c>
      <c r="Q94" s="51">
        <f>IF(SUMIFS(Calc_Rates!G$305:G$383,Calc_Rates!$C$305:$C$383,OP_Rates!$M94&amp;" charge",Calc_Rates!$F$305:$F$383,OP_Rates!$O94)=0,"-",SUMIFS(Calc_Rates!G$305:G$383,Calc_Rates!$C$305:$C$383,OP_Rates!$M94&amp;" charge",Calc_Rates!$F$305:$F$383,OP_Rates!$O94))</f>
        <v>0.29197977983136947</v>
      </c>
      <c r="R94" s="51" t="str">
        <f>IF(SUMIFS(Calc_Rates!H$305:H$383,Calc_Rates!$C$305:$C$383,OP_Rates!$M94&amp;" charge",Calc_Rates!$F$305:$F$383,OP_Rates!$O94)=0,"-",SUMIFS(Calc_Rates!H$305:H$383,Calc_Rates!$C$305:$C$383,OP_Rates!$M94&amp;" charge",Calc_Rates!$F$305:$F$383,OP_Rates!$O94))</f>
        <v>-</v>
      </c>
      <c r="S94" s="51" t="str">
        <f>IF(SUMIFS(Calc_Rates!I$305:I$383,Calc_Rates!$C$305:$C$383,OP_Rates!$M94&amp;" charge",Calc_Rates!$F$305:$F$383,OP_Rates!$O94)=0,"-",SUMIFS(Calc_Rates!I$305:I$383,Calc_Rates!$C$305:$C$383,OP_Rates!$M94&amp;" charge",Calc_Rates!$F$305:$F$383,OP_Rates!$O94))</f>
        <v>-</v>
      </c>
      <c r="T94" s="51" t="str">
        <f>IF(SUMIFS(Calc_Rates!J$305:J$383,Calc_Rates!$C$305:$C$383,OP_Rates!$M94&amp;" charge",Calc_Rates!$F$305:$F$383,OP_Rates!$O94)=0,"-",SUMIFS(Calc_Rates!J$305:J$383,Calc_Rates!$C$305:$C$383,OP_Rates!$M94&amp;" charge",Calc_Rates!$F$305:$F$383,OP_Rates!$O94))</f>
        <v>-</v>
      </c>
      <c r="U94" s="51" t="str">
        <f>IF(SUMIFS(Calc_Rates!K$305:K$383,Calc_Rates!$C$305:$C$383,OP_Rates!$M94&amp;" charge",Calc_Rates!$F$305:$F$383,OP_Rates!$O94)=0,"-",SUMIFS(Calc_Rates!K$305:K$383,Calc_Rates!$C$305:$C$383,OP_Rates!$M94&amp;" charge",Calc_Rates!$F$305:$F$383,OP_Rates!$O94))</f>
        <v>-</v>
      </c>
    </row>
    <row r="95" spans="1:24" ht="15.75" hidden="1" outlineLevel="2" x14ac:dyDescent="0.25">
      <c r="A95" s="1"/>
      <c r="C95" s="18" t="s">
        <v>164</v>
      </c>
      <c r="D95" s="18" t="s">
        <v>218</v>
      </c>
      <c r="E95" s="18" t="s">
        <v>31</v>
      </c>
      <c r="F95" s="18" t="s">
        <v>9</v>
      </c>
      <c r="G95" s="51">
        <f>IF(SUMIFS(Calc_Rates!G$305:G$383,Calc_Rates!$C$305:$C$383,OP_Rates!$C95&amp;" charge",Calc_Rates!$F$305:$F$383,OP_Rates!$E95)=0,"-",SUMIFS(Calc_Rates!G$305:G$383,Calc_Rates!$C$305:$C$383,OP_Rates!$C95&amp;" charge",Calc_Rates!$F$305:$F$383,OP_Rates!$E95))</f>
        <v>0.27091881478428192</v>
      </c>
      <c r="H95" s="51" t="str">
        <f>IF(SUMIFS(Calc_Rates!H$305:H$383,Calc_Rates!$C$305:$C$383,OP_Rates!$C95&amp;" charge",Calc_Rates!$F$305:$F$383,OP_Rates!$E95)=0,"-",SUMIFS(Calc_Rates!H$305:H$383,Calc_Rates!$C$305:$C$383,OP_Rates!$C95&amp;" charge",Calc_Rates!$F$305:$F$383,OP_Rates!$E95))</f>
        <v>-</v>
      </c>
      <c r="I95" s="51" t="str">
        <f>IF(SUMIFS(Calc_Rates!I$305:I$383,Calc_Rates!$C$305:$C$383,OP_Rates!$C95&amp;" charge",Calc_Rates!$F$305:$F$383,OP_Rates!$E95)=0,"-",SUMIFS(Calc_Rates!I$305:I$383,Calc_Rates!$C$305:$C$383,OP_Rates!$C95&amp;" charge",Calc_Rates!$F$305:$F$383,OP_Rates!$E95))</f>
        <v>-</v>
      </c>
      <c r="J95" s="51" t="str">
        <f>IF(SUMIFS(Calc_Rates!J$305:J$383,Calc_Rates!$C$305:$C$383,OP_Rates!$C95&amp;" charge",Calc_Rates!$F$305:$F$383,OP_Rates!$E95)=0,"-",SUMIFS(Calc_Rates!J$305:J$383,Calc_Rates!$C$305:$C$383,OP_Rates!$C95&amp;" charge",Calc_Rates!$F$305:$F$383,OP_Rates!$E95))</f>
        <v>-</v>
      </c>
      <c r="K95" s="51" t="str">
        <f>IF(SUMIFS(Calc_Rates!K$305:K$383,Calc_Rates!$C$305:$C$383,OP_Rates!$C95&amp;" charge",Calc_Rates!$F$305:$F$383,OP_Rates!$E95)=0,"-",SUMIFS(Calc_Rates!K$305:K$383,Calc_Rates!$C$305:$C$383,OP_Rates!$C95&amp;" charge",Calc_Rates!$F$305:$F$383,OP_Rates!$E95))</f>
        <v>-</v>
      </c>
      <c r="M95" s="18" t="s">
        <v>164</v>
      </c>
      <c r="N95" s="18" t="s">
        <v>218</v>
      </c>
      <c r="O95" s="18" t="s">
        <v>32</v>
      </c>
      <c r="P95" s="18" t="s">
        <v>9</v>
      </c>
      <c r="Q95" s="51">
        <f>IF(SUMIFS(Calc_Rates!G$305:G$383,Calc_Rates!$C$305:$C$383,OP_Rates!$M95&amp;" charge",Calc_Rates!$F$305:$F$383,OP_Rates!$O95)=0,"-",SUMIFS(Calc_Rates!G$305:G$383,Calc_Rates!$C$305:$C$383,OP_Rates!$M95&amp;" charge",Calc_Rates!$F$305:$F$383,OP_Rates!$O95))</f>
        <v>0.32380142947136942</v>
      </c>
      <c r="R95" s="51" t="str">
        <f>IF(SUMIFS(Calc_Rates!H$305:H$383,Calc_Rates!$C$305:$C$383,OP_Rates!$M95&amp;" charge",Calc_Rates!$F$305:$F$383,OP_Rates!$O95)=0,"-",SUMIFS(Calc_Rates!H$305:H$383,Calc_Rates!$C$305:$C$383,OP_Rates!$M95&amp;" charge",Calc_Rates!$F$305:$F$383,OP_Rates!$O95))</f>
        <v>-</v>
      </c>
      <c r="S95" s="51" t="str">
        <f>IF(SUMIFS(Calc_Rates!I$305:I$383,Calc_Rates!$C$305:$C$383,OP_Rates!$M95&amp;" charge",Calc_Rates!$F$305:$F$383,OP_Rates!$O95)=0,"-",SUMIFS(Calc_Rates!I$305:I$383,Calc_Rates!$C$305:$C$383,OP_Rates!$M95&amp;" charge",Calc_Rates!$F$305:$F$383,OP_Rates!$O95))</f>
        <v>-</v>
      </c>
      <c r="T95" s="51" t="str">
        <f>IF(SUMIFS(Calc_Rates!J$305:J$383,Calc_Rates!$C$305:$C$383,OP_Rates!$M95&amp;" charge",Calc_Rates!$F$305:$F$383,OP_Rates!$O95)=0,"-",SUMIFS(Calc_Rates!J$305:J$383,Calc_Rates!$C$305:$C$383,OP_Rates!$M95&amp;" charge",Calc_Rates!$F$305:$F$383,OP_Rates!$O95))</f>
        <v>-</v>
      </c>
      <c r="U95" s="51" t="str">
        <f>IF(SUMIFS(Calc_Rates!K$305:K$383,Calc_Rates!$C$305:$C$383,OP_Rates!$M95&amp;" charge",Calc_Rates!$F$305:$F$383,OP_Rates!$O95)=0,"-",SUMIFS(Calc_Rates!K$305:K$383,Calc_Rates!$C$305:$C$383,OP_Rates!$M95&amp;" charge",Calc_Rates!$F$305:$F$383,OP_Rates!$O95))</f>
        <v>-</v>
      </c>
    </row>
    <row r="96" spans="1:24" hidden="1" outlineLevel="2" x14ac:dyDescent="0.25">
      <c r="C96" s="18" t="s">
        <v>338</v>
      </c>
      <c r="D96" s="18" t="s">
        <v>218</v>
      </c>
      <c r="E96" s="18" t="s">
        <v>31</v>
      </c>
      <c r="F96" s="18" t="s">
        <v>9</v>
      </c>
      <c r="G96" s="51" t="str">
        <f>IF(SUMIFS(Calc_Rates!G$305:G$383,Calc_Rates!$C$305:$C$383,OP_Rates!$C96&amp;" charge",Calc_Rates!$F$305:$F$383,OP_Rates!$E96)=0,"-",SUMIFS(Calc_Rates!G$305:G$383,Calc_Rates!$C$305:$C$383,OP_Rates!$C96&amp;" charge",Calc_Rates!$F$305:$F$383,OP_Rates!$E96))</f>
        <v>-</v>
      </c>
      <c r="H96" s="51">
        <f>IF(SUMIFS(Calc_Rates!H$305:H$383,Calc_Rates!$C$305:$C$383,OP_Rates!$C96&amp;" charge",Calc_Rates!$F$305:$F$383,OP_Rates!$E96)=0,"-",SUMIFS(Calc_Rates!H$305:H$383,Calc_Rates!$C$305:$C$383,OP_Rates!$C96&amp;" charge",Calc_Rates!$F$305:$F$383,OP_Rates!$E96))</f>
        <v>0.20822311461859774</v>
      </c>
      <c r="I96" s="51">
        <f>IF(SUMIFS(Calc_Rates!I$305:I$383,Calc_Rates!$C$305:$C$383,OP_Rates!$C96&amp;" charge",Calc_Rates!$F$305:$F$383,OP_Rates!$E96)=0,"-",SUMIFS(Calc_Rates!I$305:I$383,Calc_Rates!$C$305:$C$383,OP_Rates!$C96&amp;" charge",Calc_Rates!$F$305:$F$383,OP_Rates!$E96))</f>
        <v>0.22188036461770808</v>
      </c>
      <c r="J96" s="51">
        <f>IF(SUMIFS(Calc_Rates!J$305:J$383,Calc_Rates!$C$305:$C$383,OP_Rates!$C96&amp;" charge",Calc_Rates!$F$305:$F$383,OP_Rates!$E96)=0,"-",SUMIFS(Calc_Rates!J$305:J$383,Calc_Rates!$C$305:$C$383,OP_Rates!$C96&amp;" charge",Calc_Rates!$F$305:$F$383,OP_Rates!$E96))</f>
        <v>0.21453860127771918</v>
      </c>
      <c r="K96" s="51">
        <f>IF(SUMIFS(Calc_Rates!K$305:K$383,Calc_Rates!$C$305:$C$383,OP_Rates!$C96&amp;" charge",Calc_Rates!$F$305:$F$383,OP_Rates!$E96)=0,"-",SUMIFS(Calc_Rates!K$305:K$383,Calc_Rates!$C$305:$C$383,OP_Rates!$C96&amp;" charge",Calc_Rates!$F$305:$F$383,OP_Rates!$E96))</f>
        <v>0.21531193457742875</v>
      </c>
      <c r="M96" s="18" t="s">
        <v>338</v>
      </c>
      <c r="N96" s="18" t="s">
        <v>218</v>
      </c>
      <c r="O96" s="18" t="s">
        <v>32</v>
      </c>
      <c r="P96" s="18" t="s">
        <v>9</v>
      </c>
      <c r="Q96" s="51" t="str">
        <f>IF(SUMIFS(Calc_Rates!G$305:G$383,Calc_Rates!$C$305:$C$383,OP_Rates!$M96&amp;" charge",Calc_Rates!$F$305:$F$383,OP_Rates!$O96)=0,"-",SUMIFS(Calc_Rates!G$305:G$383,Calc_Rates!$C$305:$C$383,OP_Rates!$M96&amp;" charge",Calc_Rates!$F$305:$F$383,OP_Rates!$O96))</f>
        <v>-</v>
      </c>
      <c r="R96" s="51">
        <f>IF(SUMIFS(Calc_Rates!H$305:H$383,Calc_Rates!$C$305:$C$383,OP_Rates!$M96&amp;" charge",Calc_Rates!$F$305:$F$383,OP_Rates!$O96)=0,"-",SUMIFS(Calc_Rates!H$305:H$383,Calc_Rates!$C$305:$C$383,OP_Rates!$M96&amp;" charge",Calc_Rates!$F$305:$F$383,OP_Rates!$O96))</f>
        <v>0.20591325107046099</v>
      </c>
      <c r="S96" s="51">
        <f>IF(SUMIFS(Calc_Rates!I$305:I$383,Calc_Rates!$C$305:$C$383,OP_Rates!$M96&amp;" charge",Calc_Rates!$F$305:$F$383,OP_Rates!$O96)=0,"-",SUMIFS(Calc_Rates!I$305:I$383,Calc_Rates!$C$305:$C$383,OP_Rates!$M96&amp;" charge",Calc_Rates!$F$305:$F$383,OP_Rates!$O96))</f>
        <v>0.23736853020231671</v>
      </c>
      <c r="T96" s="51">
        <f>IF(SUMIFS(Calc_Rates!J$305:J$383,Calc_Rates!$C$305:$C$383,OP_Rates!$M96&amp;" charge",Calc_Rates!$F$305:$F$383,OP_Rates!$O96)=0,"-",SUMIFS(Calc_Rates!J$305:J$383,Calc_Rates!$C$305:$C$383,OP_Rates!$M96&amp;" charge",Calc_Rates!$F$305:$F$383,OP_Rates!$O96))</f>
        <v>0.21728468594550343</v>
      </c>
      <c r="U96" s="51">
        <f>IF(SUMIFS(Calc_Rates!K$305:K$383,Calc_Rates!$C$305:$C$383,OP_Rates!$M96&amp;" charge",Calc_Rates!$F$305:$F$383,OP_Rates!$O96)=0,"-",SUMIFS(Calc_Rates!K$305:K$383,Calc_Rates!$C$305:$C$383,OP_Rates!$M96&amp;" charge",Calc_Rates!$F$305:$F$383,OP_Rates!$O96))</f>
        <v>0.21415463842656426</v>
      </c>
    </row>
    <row r="97" spans="3:23" hidden="1" outlineLevel="2" x14ac:dyDescent="0.25">
      <c r="C97" s="18" t="s">
        <v>340</v>
      </c>
      <c r="D97" s="18" t="s">
        <v>45</v>
      </c>
      <c r="E97" s="18" t="s">
        <v>31</v>
      </c>
      <c r="F97" s="18" t="s">
        <v>9</v>
      </c>
      <c r="G97" s="51">
        <f>IF(SUMIFS(Calc_Rates!G$261:G$291,Calc_Rates!$C$261:$C$291,OP_Rates!$C97,Calc_Rates!$F$261:$F$291,OP_Rates!$E97)=0,"-",SUMIFS(Calc_Rates!G$261:G$291,Calc_Rates!$C$261:$C$291,OP_Rates!$C97,Calc_Rates!$F$261:$F$291,OP_Rates!$E97))</f>
        <v>1.2077832374461726</v>
      </c>
      <c r="H97" s="51">
        <f>IF(SUMIFS(Calc_Rates!H$261:H$291,Calc_Rates!$C$261:$C$291,OP_Rates!$C97,Calc_Rates!$F$261:$F$291,OP_Rates!$E97)=0,"-",SUMIFS(Calc_Rates!H$261:H$291,Calc_Rates!$C$261:$C$291,OP_Rates!$C97,Calc_Rates!$F$261:$F$291,OP_Rates!$E97))</f>
        <v>1.1266086006242546</v>
      </c>
      <c r="I97" s="51">
        <f>IF(SUMIFS(Calc_Rates!I$261:I$291,Calc_Rates!$C$261:$C$291,OP_Rates!$C97,Calc_Rates!$F$261:$F$291,OP_Rates!$E97)=0,"-",SUMIFS(Calc_Rates!I$261:I$291,Calc_Rates!$C$261:$C$291,OP_Rates!$C97,Calc_Rates!$F$261:$F$291,OP_Rates!$E97))</f>
        <v>1.0849906605694604</v>
      </c>
      <c r="J97" s="51">
        <f>IF(SUMIFS(Calc_Rates!J$261:J$291,Calc_Rates!$C$261:$C$291,OP_Rates!$C97,Calc_Rates!$F$261:$F$291,OP_Rates!$E97)=0,"-",SUMIFS(Calc_Rates!J$261:J$291,Calc_Rates!$C$261:$C$291,OP_Rates!$C97,Calc_Rates!$F$261:$F$291,OP_Rates!$E97))</f>
        <v>1.2818202201858986</v>
      </c>
      <c r="K97" s="51">
        <f>IF(SUMIFS(Calc_Rates!K$261:K$291,Calc_Rates!$C$261:$C$291,OP_Rates!$C97,Calc_Rates!$F$261:$F$291,OP_Rates!$E97)=0,"-",SUMIFS(Calc_Rates!K$261:K$291,Calc_Rates!$C$261:$C$291,OP_Rates!$C97,Calc_Rates!$F$261:$F$291,OP_Rates!$E97))</f>
        <v>1.0419825796927478</v>
      </c>
      <c r="M97" s="18" t="s">
        <v>340</v>
      </c>
      <c r="N97" s="18" t="s">
        <v>45</v>
      </c>
      <c r="O97" s="18" t="s">
        <v>32</v>
      </c>
      <c r="P97" s="18" t="s">
        <v>9</v>
      </c>
      <c r="Q97" s="51">
        <f>IF(SUMIFS(Calc_Rates!G$261:G$291,Calc_Rates!$C$261:$C$291,OP_Rates!$M97,Calc_Rates!$F$261:$F$291,OP_Rates!$O97)=0,"-",SUMIFS(Calc_Rates!G$261:G$291,Calc_Rates!$C$261:$C$291,OP_Rates!$M97,Calc_Rates!$F$261:$F$291,OP_Rates!$O97))</f>
        <v>1.2077832374461726</v>
      </c>
      <c r="R97" s="51">
        <f>IF(SUMIFS(Calc_Rates!H$261:H$291,Calc_Rates!$C$261:$C$291,OP_Rates!$M97,Calc_Rates!$F$261:$F$291,OP_Rates!$O97)=0,"-",SUMIFS(Calc_Rates!H$261:H$291,Calc_Rates!$C$261:$C$291,OP_Rates!$M97,Calc_Rates!$F$261:$F$291,OP_Rates!$O97))</f>
        <v>1.3503317926242548</v>
      </c>
      <c r="S97" s="51">
        <f>IF(SUMIFS(Calc_Rates!I$261:I$291,Calc_Rates!$C$261:$C$291,OP_Rates!$M97,Calc_Rates!$F$261:$F$291,OP_Rates!$O97)=0,"-",SUMIFS(Calc_Rates!I$261:I$291,Calc_Rates!$C$261:$C$291,OP_Rates!$M97,Calc_Rates!$F$261:$F$291,OP_Rates!$O97))</f>
        <v>1.5960767326790493</v>
      </c>
      <c r="T97" s="51">
        <f>IF(SUMIFS(Calc_Rates!J$261:J$291,Calc_Rates!$C$261:$C$291,OP_Rates!$M97,Calc_Rates!$F$261:$F$291,OP_Rates!$O97)=0,"-",SUMIFS(Calc_Rates!J$261:J$291,Calc_Rates!$C$261:$C$291,OP_Rates!$M97,Calc_Rates!$F$261:$F$291,OP_Rates!$O97))</f>
        <v>1.4096620441858987</v>
      </c>
      <c r="U97" s="51">
        <f>IF(SUMIFS(Calc_Rates!K$261:K$291,Calc_Rates!$C$261:$C$291,OP_Rates!$M97,Calc_Rates!$F$261:$F$291,OP_Rates!$O97)=0,"-",SUMIFS(Calc_Rates!K$261:K$291,Calc_Rates!$C$261:$C$291,OP_Rates!$M97,Calc_Rates!$F$261:$F$291,OP_Rates!$O97))</f>
        <v>1.1698244036927481</v>
      </c>
    </row>
    <row r="98" spans="3:23" hidden="1" outlineLevel="2" x14ac:dyDescent="0.25">
      <c r="C98" s="18" t="s">
        <v>166</v>
      </c>
      <c r="D98" s="18" t="s">
        <v>218</v>
      </c>
      <c r="E98" s="18" t="s">
        <v>31</v>
      </c>
      <c r="F98" s="18" t="s">
        <v>9</v>
      </c>
      <c r="G98" s="51">
        <f>IF(SUMIFS(Calc_Rates!G$305:G$383,Calc_Rates!$C$305:$C$383,OP_Rates!$C98&amp;" charge",Calc_Rates!$F$305:$F$383,OP_Rates!$E98)=0,"-",SUMIFS(Calc_Rates!G$305:G$383,Calc_Rates!$C$305:$C$383,OP_Rates!$C98&amp;" charge",Calc_Rates!$F$305:$F$383,OP_Rates!$E98))</f>
        <v>0.36440898078428202</v>
      </c>
      <c r="H98" s="51">
        <f>IF(SUMIFS(Calc_Rates!H$305:H$383,Calc_Rates!$C$305:$C$383,OP_Rates!$C98&amp;" charge",Calc_Rates!$F$305:$F$383,OP_Rates!$E98)=0,"-",SUMIFS(Calc_Rates!H$305:H$383,Calc_Rates!$C$305:$C$383,OP_Rates!$C98&amp;" charge",Calc_Rates!$F$305:$F$383,OP_Rates!$E98))</f>
        <v>0.30025523061859771</v>
      </c>
      <c r="I98" s="51">
        <f>IF(SUMIFS(Calc_Rates!I$305:I$383,Calc_Rates!$C$305:$C$383,OP_Rates!$C98&amp;" charge",Calc_Rates!$F$305:$F$383,OP_Rates!$E98)=0,"-",SUMIFS(Calc_Rates!I$305:I$383,Calc_Rates!$C$305:$C$383,OP_Rates!$C98&amp;" charge",Calc_Rates!$F$305:$F$383,OP_Rates!$E98))</f>
        <v>0.2781261014177081</v>
      </c>
      <c r="J98" s="51">
        <f>IF(SUMIFS(Calc_Rates!J$305:J$383,Calc_Rates!$C$305:$C$383,OP_Rates!$C98&amp;" charge",Calc_Rates!$F$305:$F$383,OP_Rates!$E98)=0,"-",SUMIFS(Calc_Rates!J$305:J$383,Calc_Rates!$C$305:$C$383,OP_Rates!$C98&amp;" charge",Calc_Rates!$F$305:$F$383,OP_Rates!$E98))</f>
        <v>0.30458776927771919</v>
      </c>
      <c r="K98" s="51">
        <f>IF(SUMIFS(Calc_Rates!K$305:K$383,Calc_Rates!$C$305:$C$383,OP_Rates!$C98&amp;" charge",Calc_Rates!$F$305:$F$383,OP_Rates!$E98)=0,"-",SUMIFS(Calc_Rates!K$305:K$383,Calc_Rates!$C$305:$C$383,OP_Rates!$C98&amp;" charge",Calc_Rates!$F$305:$F$383,OP_Rates!$E98))</f>
        <v>0.30629425457742876</v>
      </c>
      <c r="M98" s="18" t="s">
        <v>166</v>
      </c>
      <c r="N98" s="18" t="s">
        <v>218</v>
      </c>
      <c r="O98" s="18" t="s">
        <v>32</v>
      </c>
      <c r="P98" s="18" t="s">
        <v>9</v>
      </c>
      <c r="Q98" s="51">
        <f>IF(SUMIFS(Calc_Rates!G$305:G$383,Calc_Rates!$C$305:$C$383,OP_Rates!$M98&amp;" charge",Calc_Rates!$F$305:$F$383,OP_Rates!$O98)=0,"-",SUMIFS(Calc_Rates!G$305:G$383,Calc_Rates!$C$305:$C$383,OP_Rates!$M98&amp;" charge",Calc_Rates!$F$305:$F$383,OP_Rates!$O98))</f>
        <v>0.31495981427136949</v>
      </c>
      <c r="R98" s="51">
        <f>IF(SUMIFS(Calc_Rates!H$305:H$383,Calc_Rates!$C$305:$C$383,OP_Rates!$M98&amp;" charge",Calc_Rates!$F$305:$F$383,OP_Rates!$O98)=0,"-",SUMIFS(Calc_Rates!H$305:H$383,Calc_Rates!$C$305:$C$383,OP_Rates!$M98&amp;" charge",Calc_Rates!$F$305:$F$383,OP_Rates!$O98))</f>
        <v>0.26201901507046099</v>
      </c>
      <c r="S98" s="51">
        <f>IF(SUMIFS(Calc_Rates!I$305:I$383,Calc_Rates!$C$305:$C$383,OP_Rates!$M98&amp;" charge",Calc_Rates!$F$305:$F$383,OP_Rates!$O98)=0,"-",SUMIFS(Calc_Rates!I$305:I$383,Calc_Rates!$C$305:$C$383,OP_Rates!$M98&amp;" charge",Calc_Rates!$F$305:$F$383,OP_Rates!$O98))</f>
        <v>0.27653758540231671</v>
      </c>
      <c r="T98" s="51">
        <f>IF(SUMIFS(Calc_Rates!J$305:J$383,Calc_Rates!$C$305:$C$383,OP_Rates!$M98&amp;" charge",Calc_Rates!$F$305:$F$383,OP_Rates!$O98)=0,"-",SUMIFS(Calc_Rates!J$305:J$383,Calc_Rates!$C$305:$C$383,OP_Rates!$M98&amp;" charge",Calc_Rates!$F$305:$F$383,OP_Rates!$O98))</f>
        <v>0.28097230994550337</v>
      </c>
      <c r="U98" s="51">
        <f>IF(SUMIFS(Calc_Rates!K$305:K$383,Calc_Rates!$C$305:$C$383,OP_Rates!$M98&amp;" charge",Calc_Rates!$F$305:$F$383,OP_Rates!$O98)=0,"-",SUMIFS(Calc_Rates!K$305:K$383,Calc_Rates!$C$305:$C$383,OP_Rates!$M98&amp;" charge",Calc_Rates!$F$305:$F$383,OP_Rates!$O98))</f>
        <v>0.27480951842656431</v>
      </c>
    </row>
    <row r="99" spans="3:23" hidden="1" outlineLevel="2" x14ac:dyDescent="0.25">
      <c r="C99" s="18" t="s">
        <v>370</v>
      </c>
      <c r="D99" s="18" t="s">
        <v>218</v>
      </c>
      <c r="E99" s="18" t="s">
        <v>31</v>
      </c>
      <c r="F99" s="18" t="s">
        <v>9</v>
      </c>
      <c r="G99" s="51">
        <f>IF(SUMIFS(Calc_Rates!G$305:G$383,Calc_Rates!$C$305:$C$383,OP_Rates!$C99&amp;" charge",Calc_Rates!$F$305:$F$383,OP_Rates!$E99)=0,"-",SUMIFS(Calc_Rates!G$305:G$383,Calc_Rates!$C$305:$C$383,OP_Rates!$C99&amp;" charge",Calc_Rates!$F$305:$F$383,OP_Rates!$E99))</f>
        <v>0.17181457306428197</v>
      </c>
      <c r="H99" s="51">
        <f>IF(SUMIFS(Calc_Rates!H$305:H$383,Calc_Rates!$C$305:$C$383,OP_Rates!$C99&amp;" charge",Calc_Rates!$F$305:$F$383,OP_Rates!$E99)=0,"-",SUMIFS(Calc_Rates!H$305:H$383,Calc_Rates!$C$305:$C$383,OP_Rates!$C99&amp;" charge",Calc_Rates!$F$305:$F$383,OP_Rates!$E99))</f>
        <v>0.16074900661859773</v>
      </c>
      <c r="I99" s="51">
        <f>IF(SUMIFS(Calc_Rates!I$305:I$383,Calc_Rates!$C$305:$C$383,OP_Rates!$C99&amp;" charge",Calc_Rates!$F$305:$F$383,OP_Rates!$E99)=0,"-",SUMIFS(Calc_Rates!I$305:I$383,Calc_Rates!$C$305:$C$383,OP_Rates!$C99&amp;" charge",Calc_Rates!$F$305:$F$383,OP_Rates!$E99))</f>
        <v>0.16612453261770807</v>
      </c>
      <c r="J99" s="51">
        <f>IF(SUMIFS(Calc_Rates!J$305:J$383,Calc_Rates!$C$305:$C$383,OP_Rates!$C99&amp;" charge",Calc_Rates!$F$305:$F$383,OP_Rates!$E99)=0,"-",SUMIFS(Calc_Rates!J$305:J$383,Calc_Rates!$C$305:$C$383,OP_Rates!$C99&amp;" charge",Calc_Rates!$F$305:$F$383,OP_Rates!$E99))</f>
        <v>0.1656647652777192</v>
      </c>
      <c r="K99" s="51">
        <f>IF(SUMIFS(Calc_Rates!K$305:K$383,Calc_Rates!$C$305:$C$383,OP_Rates!$C99&amp;" charge",Calc_Rates!$F$305:$F$383,OP_Rates!$E99)=0,"-",SUMIFS(Calc_Rates!K$305:K$383,Calc_Rates!$C$305:$C$383,OP_Rates!$C99&amp;" charge",Calc_Rates!$F$305:$F$383,OP_Rates!$E99))</f>
        <v>0.16818775857742876</v>
      </c>
      <c r="M99" s="18" t="s">
        <v>370</v>
      </c>
      <c r="N99" s="18" t="s">
        <v>218</v>
      </c>
      <c r="O99" s="18" t="s">
        <v>32</v>
      </c>
      <c r="P99" s="18" t="s">
        <v>9</v>
      </c>
      <c r="Q99" s="51">
        <f>IF(SUMIFS(Calc_Rates!G$305:G$383,Calc_Rates!$C$305:$C$383,OP_Rates!$M99&amp;" charge",Calc_Rates!$F$305:$F$383,OP_Rates!$O99)=0,"-",SUMIFS(Calc_Rates!G$305:G$383,Calc_Rates!$C$305:$C$383,OP_Rates!$M99&amp;" charge",Calc_Rates!$F$305:$F$383,OP_Rates!$O99))</f>
        <v>0.16048699863136945</v>
      </c>
      <c r="R99" s="51">
        <f>IF(SUMIFS(Calc_Rates!H$305:H$383,Calc_Rates!$C$305:$C$383,OP_Rates!$M99&amp;" charge",Calc_Rates!$F$305:$F$383,OP_Rates!$O99)=0,"-",SUMIFS(Calc_Rates!H$305:H$383,Calc_Rates!$C$305:$C$383,OP_Rates!$M99&amp;" charge",Calc_Rates!$F$305:$F$383,OP_Rates!$O99))</f>
        <v>0.14385864307046098</v>
      </c>
      <c r="S99" s="51">
        <f>IF(SUMIFS(Calc_Rates!I$305:I$383,Calc_Rates!$C$305:$C$383,OP_Rates!$M99&amp;" charge",Calc_Rates!$F$305:$F$383,OP_Rates!$O99)=0,"-",SUMIFS(Calc_Rates!I$305:I$383,Calc_Rates!$C$305:$C$383,OP_Rates!$M99&amp;" charge",Calc_Rates!$F$305:$F$383,OP_Rates!$O99))</f>
        <v>0.14497481780231672</v>
      </c>
      <c r="T99" s="51">
        <f>IF(SUMIFS(Calc_Rates!J$305:J$383,Calc_Rates!$C$305:$C$383,OP_Rates!$M99&amp;" charge",Calc_Rates!$F$305:$F$383,OP_Rates!$O99)=0,"-",SUMIFS(Calc_Rates!J$305:J$383,Calc_Rates!$C$305:$C$383,OP_Rates!$M99&amp;" charge",Calc_Rates!$F$305:$F$383,OP_Rates!$O99))</f>
        <v>0.1471816419455034</v>
      </c>
      <c r="U99" s="51">
        <f>IF(SUMIFS(Calc_Rates!K$305:K$383,Calc_Rates!$C$305:$C$383,OP_Rates!$M99&amp;" charge",Calc_Rates!$F$305:$F$383,OP_Rates!$O99)=0,"-",SUMIFS(Calc_Rates!K$305:K$383,Calc_Rates!$C$305:$C$383,OP_Rates!$M99&amp;" charge",Calc_Rates!$F$305:$F$383,OP_Rates!$O99))</f>
        <v>0.14790084642656429</v>
      </c>
    </row>
    <row r="100" spans="3:23" hidden="1" outlineLevel="2" x14ac:dyDescent="0.25">
      <c r="C100" s="18" t="s">
        <v>223</v>
      </c>
      <c r="D100" s="18" t="s">
        <v>218</v>
      </c>
      <c r="E100" s="18" t="s">
        <v>31</v>
      </c>
      <c r="F100" s="18" t="s">
        <v>9</v>
      </c>
      <c r="G100" s="51">
        <f>IF(SUMIFS(Calc_Rates!G$305:G$383,Calc_Rates!$C$305:$C$383,OP_Rates!$C100&amp;" charge",Calc_Rates!$F$305:$F$383,OP_Rates!$E100)=0,"-",SUMIFS(Calc_Rates!G$305:G$383,Calc_Rates!$C$305:$C$383,OP_Rates!$C100&amp;" charge",Calc_Rates!$F$305:$F$383,OP_Rates!$E100))</f>
        <v>0.170886086824282</v>
      </c>
      <c r="H100" s="51">
        <f>IF(SUMIFS(Calc_Rates!H$305:H$383,Calc_Rates!$C$305:$C$383,OP_Rates!$C100&amp;" charge",Calc_Rates!$F$305:$F$383,OP_Rates!$E100)=0,"-",SUMIFS(Calc_Rates!H$305:H$383,Calc_Rates!$C$305:$C$383,OP_Rates!$C100&amp;" charge",Calc_Rates!$F$305:$F$383,OP_Rates!$E100))</f>
        <v>0.14313576261859776</v>
      </c>
      <c r="I100" s="51">
        <f>IF(SUMIFS(Calc_Rates!I$305:I$383,Calc_Rates!$C$305:$C$383,OP_Rates!$C100&amp;" charge",Calc_Rates!$F$305:$F$383,OP_Rates!$E100)=0,"-",SUMIFS(Calc_Rates!I$305:I$383,Calc_Rates!$C$305:$C$383,OP_Rates!$C100&amp;" charge",Calc_Rates!$F$305:$F$383,OP_Rates!$E100))</f>
        <v>0.16273019221770807</v>
      </c>
      <c r="J100" s="51">
        <f>IF(SUMIFS(Calc_Rates!J$305:J$383,Calc_Rates!$C$305:$C$383,OP_Rates!$C100&amp;" charge",Calc_Rates!$F$305:$F$383,OP_Rates!$E100)=0,"-",SUMIFS(Calc_Rates!J$305:J$383,Calc_Rates!$C$305:$C$383,OP_Rates!$C100&amp;" charge",Calc_Rates!$F$305:$F$383,OP_Rates!$E100))</f>
        <v>0.14735165727771918</v>
      </c>
      <c r="K100" s="51">
        <f>IF(SUMIFS(Calc_Rates!K$305:K$383,Calc_Rates!$C$305:$C$383,OP_Rates!$C100&amp;" charge",Calc_Rates!$F$305:$F$383,OP_Rates!$E100)=0,"-",SUMIFS(Calc_Rates!K$305:K$383,Calc_Rates!$C$305:$C$383,OP_Rates!$C100&amp;" charge",Calc_Rates!$F$305:$F$383,OP_Rates!$E100))</f>
        <v>0.14742512657742873</v>
      </c>
      <c r="M100" s="18"/>
      <c r="N100" s="18"/>
      <c r="O100" s="18"/>
      <c r="P100" s="18" t="s">
        <v>9</v>
      </c>
      <c r="Q100" s="51"/>
      <c r="R100" s="51"/>
      <c r="S100" s="51"/>
      <c r="T100" s="51"/>
      <c r="U100" s="51"/>
    </row>
    <row r="101" spans="3:23" outlineLevel="1" collapsed="1" x14ac:dyDescent="0.25"/>
    <row r="102" spans="3:23" ht="15.75" outlineLevel="1" x14ac:dyDescent="0.25">
      <c r="C102" s="23" t="s">
        <v>426</v>
      </c>
      <c r="M102" s="23" t="s">
        <v>429</v>
      </c>
    </row>
    <row r="103" spans="3:23" ht="15.75" hidden="1" outlineLevel="2" x14ac:dyDescent="0.25">
      <c r="C103" s="167" t="s">
        <v>263</v>
      </c>
      <c r="D103" s="167" t="s">
        <v>38</v>
      </c>
      <c r="E103" s="167" t="s">
        <v>30</v>
      </c>
      <c r="F103" s="34" t="s">
        <v>23</v>
      </c>
      <c r="G103" s="49" t="s">
        <v>204</v>
      </c>
      <c r="H103" s="49" t="s">
        <v>205</v>
      </c>
      <c r="I103" s="49" t="s">
        <v>206</v>
      </c>
      <c r="J103" s="49" t="s">
        <v>207</v>
      </c>
      <c r="K103" s="72" t="s">
        <v>208</v>
      </c>
      <c r="M103" s="167" t="s">
        <v>263</v>
      </c>
      <c r="N103" s="167" t="s">
        <v>38</v>
      </c>
      <c r="O103" s="167" t="s">
        <v>30</v>
      </c>
      <c r="P103" s="34" t="s">
        <v>23</v>
      </c>
      <c r="Q103" s="49" t="s">
        <v>204</v>
      </c>
      <c r="R103" s="49" t="s">
        <v>205</v>
      </c>
      <c r="S103" s="49" t="s">
        <v>206</v>
      </c>
      <c r="T103" s="49" t="s">
        <v>207</v>
      </c>
      <c r="U103" s="72" t="s">
        <v>208</v>
      </c>
    </row>
    <row r="104" spans="3:23" hidden="1" outlineLevel="2" x14ac:dyDescent="0.25">
      <c r="C104" s="48" t="s">
        <v>345</v>
      </c>
      <c r="D104" s="48" t="s">
        <v>45</v>
      </c>
      <c r="E104" s="48" t="s">
        <v>31</v>
      </c>
      <c r="F104" s="48" t="s">
        <v>57</v>
      </c>
      <c r="G104" s="168" cm="1">
        <f t="array" ref="G104">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6.8403774232158071E-2</v>
      </c>
      <c r="H104" s="168" cm="1">
        <f t="array" ref="H104">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9.3679778811944572E-2</v>
      </c>
      <c r="I104" s="168" cm="1">
        <f t="array" ref="I104">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8.1208757066932022E-2</v>
      </c>
      <c r="J104" s="168" cm="1">
        <f t="array" ref="J104">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8.1608954363323383E-2</v>
      </c>
      <c r="K104" s="168" cm="1">
        <f t="array" ref="K104">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3.5986874588378633E-2</v>
      </c>
      <c r="M104" s="48" t="s">
        <v>345</v>
      </c>
      <c r="N104" s="48" t="s">
        <v>45</v>
      </c>
      <c r="O104" s="48" t="s">
        <v>32</v>
      </c>
      <c r="P104" s="48" t="s">
        <v>57</v>
      </c>
      <c r="Q104" s="168" cm="1">
        <f t="array" ref="Q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0.1295529915721913</v>
      </c>
      <c r="R104" s="168" cm="1">
        <f t="array" ref="R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4.4960187722564313E-2</v>
      </c>
      <c r="S104" s="168" cm="1">
        <f t="array" ref="S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0.13167951594818419</v>
      </c>
      <c r="T104" s="168" cm="1">
        <f t="array" ref="T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5.7674613606995488E-2</v>
      </c>
      <c r="U104" s="168" cm="1">
        <f t="array" ref="U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2.7552595312908048E-4</v>
      </c>
    </row>
    <row r="105" spans="3:23" hidden="1" outlineLevel="2" x14ac:dyDescent="0.25">
      <c r="C105" s="48" t="s">
        <v>346</v>
      </c>
      <c r="D105" s="48" t="s">
        <v>45</v>
      </c>
      <c r="E105" s="48" t="s">
        <v>31</v>
      </c>
      <c r="F105" s="48" t="s">
        <v>57</v>
      </c>
      <c r="G105" s="168" cm="1">
        <f t="array" ref="G105">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-3.734857714454972E-2</v>
      </c>
      <c r="H105" s="168" cm="1">
        <f t="array" ref="H105">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8.5829614719416358E-2</v>
      </c>
      <c r="I105" s="168" cm="1">
        <f t="array" ref="I105">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-2.1463997875068204E-2</v>
      </c>
      <c r="J105" s="168" cm="1">
        <f t="array" ref="J105">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6.5061165281914413E-2</v>
      </c>
      <c r="K105" s="168" cm="1">
        <f t="array" ref="K105">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2.752500939773132E-2</v>
      </c>
      <c r="M105" s="48" t="s">
        <v>346</v>
      </c>
      <c r="N105" s="48" t="s">
        <v>45</v>
      </c>
      <c r="O105" s="48" t="s">
        <v>32</v>
      </c>
      <c r="P105" s="48" t="s">
        <v>57</v>
      </c>
      <c r="Q105" s="168" cm="1">
        <f t="array" ref="Q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-0.27356317507321048</v>
      </c>
      <c r="R105" s="168" cm="1">
        <f t="array" ref="R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1.7334412999750273E-2</v>
      </c>
      <c r="S105" s="168" cm="1">
        <f t="array" ref="S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6.3887706840952865E-2</v>
      </c>
      <c r="T105" s="168" cm="1">
        <f t="array" ref="T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2.7459164801268327E-2</v>
      </c>
      <c r="U105" s="168" cm="1">
        <f t="array" ref="U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-2.6768735128312113E-2</v>
      </c>
      <c r="W105" s="67"/>
    </row>
    <row r="106" spans="3:23" hidden="1" outlineLevel="2" x14ac:dyDescent="0.25">
      <c r="C106" s="48" t="s">
        <v>223</v>
      </c>
      <c r="D106" s="48" t="s">
        <v>218</v>
      </c>
      <c r="E106" s="48" t="s">
        <v>31</v>
      </c>
      <c r="F106" s="48" t="s">
        <v>57</v>
      </c>
      <c r="G106" s="168" cm="1">
        <f t="array" ref="G106">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8.7814313806100011E-3</v>
      </c>
      <c r="H106" s="168" cm="1">
        <f t="array" ref="H106">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8.3194812381745357E-3</v>
      </c>
      <c r="I106" s="168" cm="1">
        <f t="array" ref="I106">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1.4953172857034749E-2</v>
      </c>
      <c r="J106" s="168" cm="1">
        <f t="array" ref="J106">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5.4733429198516662E-3</v>
      </c>
      <c r="K106" s="168" cm="1">
        <f t="array" ref="K106">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9.6330835389389219E-3</v>
      </c>
      <c r="M106" s="166"/>
      <c r="N106" s="166"/>
      <c r="O106" s="166"/>
      <c r="P106" s="166"/>
      <c r="Q106" s="168" t="str" cm="1">
        <f t="array" ref="Q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06" s="168" t="str" cm="1">
        <f t="array" ref="R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06" s="168" t="str" cm="1">
        <f t="array" ref="S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06" s="168" t="str" cm="1">
        <f t="array" ref="T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06" s="168" t="str" cm="1">
        <f t="array" ref="U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07" spans="3:23" hidden="1" outlineLevel="2" x14ac:dyDescent="0.25">
      <c r="C107" s="48" t="s">
        <v>157</v>
      </c>
      <c r="D107" s="48" t="s">
        <v>218</v>
      </c>
      <c r="E107" s="48" t="s">
        <v>31</v>
      </c>
      <c r="F107" s="48" t="s">
        <v>87</v>
      </c>
      <c r="G107" s="168" cm="1">
        <f t="array" ref="G107">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3.3061703491203895E-3</v>
      </c>
      <c r="H107" s="168" cm="1">
        <f t="array" ref="H107">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0</v>
      </c>
      <c r="I107" s="168" cm="1">
        <f t="array" ref="I107">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0</v>
      </c>
      <c r="J107" s="168" cm="1">
        <f t="array" ref="J107">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0</v>
      </c>
      <c r="K107" s="168" cm="1">
        <f t="array" ref="K107">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0</v>
      </c>
      <c r="M107" s="48" t="s">
        <v>157</v>
      </c>
      <c r="N107" s="48" t="s">
        <v>218</v>
      </c>
      <c r="O107" s="48" t="s">
        <v>32</v>
      </c>
      <c r="P107" s="48" t="s">
        <v>87</v>
      </c>
      <c r="Q107" s="168" cm="1">
        <f t="array" ref="Q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3.3061703491203895E-3</v>
      </c>
      <c r="R107" s="168" cm="1">
        <f t="array" ref="R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0</v>
      </c>
      <c r="S107" s="168" cm="1">
        <f t="array" ref="S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v>
      </c>
      <c r="T107" s="168" cm="1">
        <f t="array" ref="T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0</v>
      </c>
      <c r="U107" s="168" cm="1">
        <f t="array" ref="U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0</v>
      </c>
    </row>
    <row r="108" spans="3:23" hidden="1" outlineLevel="2" x14ac:dyDescent="0.25">
      <c r="C108" s="48" t="s">
        <v>164</v>
      </c>
      <c r="D108" s="48" t="s">
        <v>218</v>
      </c>
      <c r="E108" s="48" t="s">
        <v>31</v>
      </c>
      <c r="F108" s="48" t="s">
        <v>87</v>
      </c>
      <c r="G108" s="168" cm="1">
        <f t="array" ref="G108">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3.3061703491203895E-3</v>
      </c>
      <c r="H108" s="168" cm="1">
        <f t="array" ref="H108">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0</v>
      </c>
      <c r="I108" s="168" cm="1">
        <f t="array" ref="I108">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0</v>
      </c>
      <c r="J108" s="168" cm="1">
        <f t="array" ref="J108">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0</v>
      </c>
      <c r="K108" s="168" cm="1">
        <f t="array" ref="K108">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0</v>
      </c>
      <c r="M108" s="48" t="s">
        <v>164</v>
      </c>
      <c r="N108" s="48" t="s">
        <v>218</v>
      </c>
      <c r="O108" s="48" t="s">
        <v>32</v>
      </c>
      <c r="P108" s="48" t="s">
        <v>87</v>
      </c>
      <c r="Q108" s="168" cm="1">
        <f t="array" ref="Q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3.3061703491203895E-3</v>
      </c>
      <c r="R108" s="168" cm="1">
        <f t="array" ref="R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0</v>
      </c>
      <c r="S108" s="168" cm="1">
        <f t="array" ref="S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v>
      </c>
      <c r="T108" s="168" cm="1">
        <f t="array" ref="T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0</v>
      </c>
      <c r="U108" s="168" cm="1">
        <f t="array" ref="U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0</v>
      </c>
    </row>
    <row r="109" spans="3:23" hidden="1" outlineLevel="2" x14ac:dyDescent="0.25">
      <c r="C109" s="48" t="s">
        <v>338</v>
      </c>
      <c r="D109" s="48" t="s">
        <v>218</v>
      </c>
      <c r="E109" s="48" t="s">
        <v>31</v>
      </c>
      <c r="F109" s="48" t="s">
        <v>87</v>
      </c>
      <c r="G109" s="168" cm="1">
        <f t="array" ref="G109">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0</v>
      </c>
      <c r="H109" s="168" cm="1">
        <f t="array" ref="H109">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3.2490235406130667E-3</v>
      </c>
      <c r="I109" s="168" cm="1">
        <f t="array" ref="I109">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3.2150833115552639E-3</v>
      </c>
      <c r="J109" s="168" cm="1">
        <f t="array" ref="J109">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3.3186868534086523E-3</v>
      </c>
      <c r="K109" s="168" cm="1">
        <f t="array" ref="K109">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3.2608746231252324E-3</v>
      </c>
      <c r="M109" s="48" t="s">
        <v>338</v>
      </c>
      <c r="N109" s="48" t="s">
        <v>218</v>
      </c>
      <c r="O109" s="48" t="s">
        <v>32</v>
      </c>
      <c r="P109" s="48" t="s">
        <v>87</v>
      </c>
      <c r="Q109" s="168" cm="1">
        <f t="array" ref="Q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0</v>
      </c>
      <c r="R109" s="168" cm="1">
        <f t="array" ref="R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3.2490235406130667E-3</v>
      </c>
      <c r="S109" s="168" cm="1">
        <f t="array" ref="S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3.2150833115552639E-3</v>
      </c>
      <c r="T109" s="168" cm="1">
        <f t="array" ref="T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3.3186868534086523E-3</v>
      </c>
      <c r="U109" s="168" cm="1">
        <f t="array" ref="U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3.2608746231252324E-3</v>
      </c>
    </row>
    <row r="110" spans="3:23" hidden="1" outlineLevel="2" x14ac:dyDescent="0.25">
      <c r="C110" s="48" t="s">
        <v>166</v>
      </c>
      <c r="D110" s="48" t="s">
        <v>218</v>
      </c>
      <c r="E110" s="48" t="s">
        <v>31</v>
      </c>
      <c r="F110" s="48" t="s">
        <v>87</v>
      </c>
      <c r="G110" s="168" cm="1">
        <f t="array" ref="G110">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3.3061703491203895E-3</v>
      </c>
      <c r="H110" s="168" cm="1">
        <f t="array" ref="H110">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3.2490235406130667E-3</v>
      </c>
      <c r="I110" s="168" cm="1">
        <f t="array" ref="I110">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3.2150833115552639E-3</v>
      </c>
      <c r="J110" s="168" cm="1">
        <f t="array" ref="J110">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3.3186868534086523E-3</v>
      </c>
      <c r="K110" s="168" cm="1">
        <f t="array" ref="K110">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3.2608746231252324E-3</v>
      </c>
      <c r="M110" s="48" t="s">
        <v>166</v>
      </c>
      <c r="N110" s="48" t="s">
        <v>218</v>
      </c>
      <c r="O110" s="48" t="s">
        <v>32</v>
      </c>
      <c r="P110" s="48" t="s">
        <v>87</v>
      </c>
      <c r="Q110" s="168" cm="1">
        <f t="array" ref="Q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3.3061703491203895E-3</v>
      </c>
      <c r="R110" s="168" cm="1">
        <f t="array" ref="R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3.2490235406130667E-3</v>
      </c>
      <c r="S110" s="168" cm="1">
        <f t="array" ref="S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3.2150833115552639E-3</v>
      </c>
      <c r="T110" s="168" cm="1">
        <f t="array" ref="T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3.3186868534086523E-3</v>
      </c>
      <c r="U110" s="168" cm="1">
        <f t="array" ref="U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3.2608746231252324E-3</v>
      </c>
    </row>
    <row r="111" spans="3:23" hidden="1" outlineLevel="2" x14ac:dyDescent="0.25">
      <c r="C111" s="48" t="s">
        <v>370</v>
      </c>
      <c r="D111" s="48" t="s">
        <v>218</v>
      </c>
      <c r="E111" s="48" t="s">
        <v>31</v>
      </c>
      <c r="F111" s="48" t="s">
        <v>87</v>
      </c>
      <c r="G111" s="168" cm="1">
        <f t="array" ref="G111">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3.3061703491203895E-3</v>
      </c>
      <c r="H111" s="168" cm="1">
        <f t="array" ref="H111">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3.2490235406130667E-3</v>
      </c>
      <c r="I111" s="168" cm="1">
        <f t="array" ref="I111">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3.2150833115552639E-3</v>
      </c>
      <c r="J111" s="168" cm="1">
        <f t="array" ref="J111">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3.3186868534086523E-3</v>
      </c>
      <c r="K111" s="168" cm="1">
        <f t="array" ref="K111">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3.2608746231252324E-3</v>
      </c>
      <c r="M111" s="48" t="s">
        <v>370</v>
      </c>
      <c r="N111" s="48" t="s">
        <v>218</v>
      </c>
      <c r="O111" s="48" t="s">
        <v>32</v>
      </c>
      <c r="P111" s="48" t="s">
        <v>87</v>
      </c>
      <c r="Q111" s="168" cm="1">
        <f t="array" ref="Q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3.3061703491203895E-3</v>
      </c>
      <c r="R111" s="168" cm="1">
        <f t="array" ref="R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3.2490235406130667E-3</v>
      </c>
      <c r="S111" s="168" cm="1">
        <f t="array" ref="S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3.2150833115552639E-3</v>
      </c>
      <c r="T111" s="168" cm="1">
        <f t="array" ref="T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3.3186868534086523E-3</v>
      </c>
      <c r="U111" s="168" cm="1">
        <f t="array" ref="U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3.2608746231252324E-3</v>
      </c>
    </row>
    <row r="112" spans="3:23" hidden="1" outlineLevel="2" x14ac:dyDescent="0.25">
      <c r="C112" s="48" t="s">
        <v>223</v>
      </c>
      <c r="D112" s="48" t="s">
        <v>218</v>
      </c>
      <c r="E112" s="48" t="s">
        <v>31</v>
      </c>
      <c r="F112" s="48" t="s">
        <v>87</v>
      </c>
      <c r="G112" s="168" cm="1">
        <f t="array" ref="G112">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3.3061703491203895E-3</v>
      </c>
      <c r="H112" s="168" cm="1">
        <f t="array" ref="H112">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3.2490235406130667E-3</v>
      </c>
      <c r="I112" s="168" cm="1">
        <f t="array" ref="I112">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3.2150833115552639E-3</v>
      </c>
      <c r="J112" s="168" cm="1">
        <f t="array" ref="J112">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3.3186868534086523E-3</v>
      </c>
      <c r="K112" s="168" cm="1">
        <f t="array" ref="K112">IFERROR(
IF(OP_RatesTU_RES_2[[#This Row],[Cost element]:[Cost element]]="Network",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3.2608746231252324E-3</v>
      </c>
      <c r="M112" s="48"/>
      <c r="N112" s="48"/>
      <c r="O112" s="48"/>
      <c r="P112" s="48"/>
      <c r="Q112" s="168" t="str" cm="1">
        <f t="array" ref="Q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12" s="168" t="str" cm="1">
        <f t="array" ref="R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12" s="168" t="str" cm="1">
        <f t="array" ref="S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12" s="168" t="str" cm="1">
        <f t="array" ref="T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12" s="168" t="str" cm="1">
        <f t="array" ref="U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13" spans="3:21" outlineLevel="1" collapsed="1" x14ac:dyDescent="0.25">
      <c r="P113" s="74"/>
      <c r="Q113" s="74"/>
      <c r="R113" s="74"/>
    </row>
    <row r="114" spans="3:21" ht="15.75" outlineLevel="1" x14ac:dyDescent="0.25">
      <c r="C114" s="70" t="s">
        <v>15</v>
      </c>
      <c r="G114" s="67"/>
      <c r="H114" s="67"/>
      <c r="I114" s="67"/>
      <c r="J114" s="67"/>
      <c r="K114" s="67"/>
      <c r="P114" s="74"/>
      <c r="Q114" s="74"/>
      <c r="R114" s="74"/>
    </row>
    <row r="115" spans="3:21" ht="15.75" hidden="1" outlineLevel="2" x14ac:dyDescent="0.25">
      <c r="C115" s="23" t="str">
        <f>C$80&amp;" - checks"</f>
        <v>VDO residential rates - checks</v>
      </c>
      <c r="M115" s="23" t="str">
        <f>M$80&amp;" - checks"</f>
        <v>VDO small business rates - checks</v>
      </c>
    </row>
    <row r="116" spans="3:21" ht="15.75" hidden="1" outlineLevel="2" x14ac:dyDescent="0.25">
      <c r="C116" s="33" t="s">
        <v>263</v>
      </c>
      <c r="D116" s="33" t="s">
        <v>38</v>
      </c>
      <c r="E116" s="33" t="s">
        <v>30</v>
      </c>
      <c r="G116" s="42" t="s">
        <v>204</v>
      </c>
      <c r="H116" s="42" t="s">
        <v>205</v>
      </c>
      <c r="I116" s="42" t="s">
        <v>206</v>
      </c>
      <c r="J116" s="42" t="s">
        <v>207</v>
      </c>
      <c r="K116" s="42" t="s">
        <v>208</v>
      </c>
      <c r="M116" s="33" t="s">
        <v>263</v>
      </c>
      <c r="N116" s="33" t="s">
        <v>38</v>
      </c>
      <c r="O116" s="33" t="s">
        <v>30</v>
      </c>
      <c r="Q116" s="42" t="s">
        <v>204</v>
      </c>
      <c r="R116" s="42" t="s">
        <v>205</v>
      </c>
      <c r="S116" s="42" t="s">
        <v>206</v>
      </c>
      <c r="T116" s="42" t="s">
        <v>207</v>
      </c>
      <c r="U116" s="42" t="s">
        <v>208</v>
      </c>
    </row>
    <row r="117" spans="3:21" ht="15.75" hidden="1" outlineLevel="2" x14ac:dyDescent="0.25">
      <c r="C117" s="48" t="s">
        <v>339</v>
      </c>
      <c r="D117" s="48" t="s">
        <v>45</v>
      </c>
      <c r="E117" s="48" t="s">
        <v>31</v>
      </c>
      <c r="G117" s="79">
        <f>IF(ROUND(G82,4)=ROUND(
SUMIFS(OP_Rates_RES_2[Ausnet],OP_Rates_RES_2[[Rate name]:[Rate name]],$C117)+
SUMIFS(OP_RatesTU_RES_2[Ausnet],OP_RatesTU_RES_2[[Rate name]:[Rate name]],
IF($D117&lt;&gt;"$",$C117,
IF($C117="Anytime - supply","Anytime","TOU"))),4),
0,1)</f>
        <v>0</v>
      </c>
      <c r="H117" s="79">
        <f>IF(ROUND(H82,4)=ROUND(
SUMIFS(OP_Rates_RES_2[Citipower],OP_Rates_RES_2[[Rate name]:[Rate name]],$C117)+
SUMIFS(OP_RatesTU_RES_2[Citipower],OP_RatesTU_RES_2[[Rate name]:[Rate name]],
IF($D117&lt;&gt;"$",$C117,
IF($C117="Anytime - supply","Anytime","TOU"))),4),
0,1)</f>
        <v>0</v>
      </c>
      <c r="I117" s="79">
        <f>IF(ROUND(I82,4)=ROUND(
SUMIFS(OP_Rates_RES_2[Jemena],OP_Rates_RES_2[[Rate name]:[Rate name]],$C117)+
SUMIFS(OP_RatesTU_RES_2[Jemena],OP_RatesTU_RES_2[[Rate name]:[Rate name]],
IF($D117&lt;&gt;"$",$C117,
IF($C117="Anytime - supply","Anytime","TOU"))),4),
0,1)</f>
        <v>0</v>
      </c>
      <c r="J117" s="79">
        <f>IF(ROUND(J82,4)=ROUND(
SUMIFS(OP_Rates_RES_2[Powercor],OP_Rates_RES_2[[Rate name]:[Rate name]],$C117)+
SUMIFS(OP_RatesTU_RES_2[Powercor],OP_RatesTU_RES_2[[Rate name]:[Rate name]],
IF($D117&lt;&gt;"$",$C117,
IF($C117="Anytime - supply","Anytime","TOU"))),4),
0,1)</f>
        <v>0</v>
      </c>
      <c r="K117" s="79">
        <f>IF(ROUND(K82,4)=ROUND(
SUMIFS(OP_Rates_RES_2[United Energy],OP_Rates_RES_2[[Rate name]:[Rate name]],$C117)+
SUMIFS(OP_RatesTU_RES_2[United Energy],OP_RatesTU_RES_2[[Rate name]:[Rate name]],
IF($D117&lt;&gt;"$",$C117,
IF($C117="Anytime - supply","Anytime","TOU"))),4),
0,1)</f>
        <v>0</v>
      </c>
      <c r="M117" s="48" t="s">
        <v>339</v>
      </c>
      <c r="N117" s="48" t="s">
        <v>45</v>
      </c>
      <c r="O117" s="48" t="s">
        <v>32</v>
      </c>
      <c r="Q117" s="79">
        <f>IF(ROUND(Q82,4)=ROUND(
SUMIFS(OP_Rates_SME_2[Ausnet],OP_Rates_SME_2[[Rate name]:[Rate name]],$M117)+
SUMIFS(OP_RatesTU_SME_2[Ausnet],OP_RatesTU_SME_2[[Rate name]:[Rate name]],
IF($N117&lt;&gt;"$",$M117,
IF($M117="Anytime - supply","Anytime","TOU"))),4),
0,1)</f>
        <v>0</v>
      </c>
      <c r="R117" s="79">
        <f>IF(ROUND(R82,4)=ROUND(
SUMIFS(OP_Rates_SME_2[Citipower],OP_Rates_SME_2[[Rate name]:[Rate name]],$M117)+
SUMIFS(OP_RatesTU_SME_2[Citipower],OP_RatesTU_SME_2[[Rate name]:[Rate name]],
IF($N117&lt;&gt;"$",$M117,
IF($M117="Anytime - supply","Anytime","TOU"))),4),
0,1)</f>
        <v>0</v>
      </c>
      <c r="S117" s="79">
        <f>IF(ROUND(S82,4)=ROUND(
SUMIFS(OP_Rates_SME_2[Jemena],OP_Rates_SME_2[[Rate name]:[Rate name]],$M117)+
SUMIFS(OP_RatesTU_SME_2[Jemena],OP_RatesTU_SME_2[[Rate name]:[Rate name]],
IF($N117&lt;&gt;"$",$M117,
IF($M117="Anytime - supply","Anytime","TOU"))),4),
0,1)</f>
        <v>0</v>
      </c>
      <c r="T117" s="79">
        <f>IF(ROUND(T82,4)=ROUND(
SUMIFS(OP_Rates_SME_2[Powercor],OP_Rates_SME_2[[Rate name]:[Rate name]],$M117)+
SUMIFS(OP_RatesTU_SME_2[Powercor],OP_RatesTU_SME_2[[Rate name]:[Rate name]],
IF($N117&lt;&gt;"$",$M117,
IF($M117="Anytime - supply","Anytime","TOU"))),4),
0,1)</f>
        <v>0</v>
      </c>
      <c r="U117" s="79">
        <f>IF(ROUND(U82,4)=ROUND(
SUMIFS(OP_Rates_SME_2[United Energy],OP_Rates_SME_2[[Rate name]:[Rate name]],$M117)+
SUMIFS(OP_RatesTU_SME_2[United Energy],OP_RatesTU_SME_2[[Rate name]:[Rate name]],
IF($N117&lt;&gt;"$",$M117,
IF($M117="Anytime - supply","Anytime","TOU"))),4),
0,1)</f>
        <v>0</v>
      </c>
    </row>
    <row r="118" spans="3:21" ht="15.75" hidden="1" outlineLevel="2" x14ac:dyDescent="0.25">
      <c r="C118" s="48" t="s">
        <v>157</v>
      </c>
      <c r="D118" s="48" t="s">
        <v>218</v>
      </c>
      <c r="E118" s="48" t="s">
        <v>31</v>
      </c>
      <c r="G118" s="79">
        <f>IF(ROUND(G83,4)=ROUND(
SUMIFS(OP_Rates_RES_2[Ausnet],OP_Rates_RES_2[[Rate name]:[Rate name]],$C118)+
SUMIFS(OP_RatesTU_RES_2[Ausnet],OP_RatesTU_RES_2[[Rate name]:[Rate name]],
IF($D118&lt;&gt;"$",$C118,
IF($C118="Anytime - supply","Anytime","TOU"))),4),
0,1)</f>
        <v>0</v>
      </c>
      <c r="H118" s="79">
        <f>IF(ROUND(H83,4)=ROUND(
SUMIFS(OP_Rates_RES_2[Citipower],OP_Rates_RES_2[[Rate name]:[Rate name]],$C118)+
SUMIFS(OP_RatesTU_RES_2[Citipower],OP_RatesTU_RES_2[[Rate name]:[Rate name]],
IF($D118&lt;&gt;"$",$C118,
IF($C118="Anytime - supply","Anytime","TOU"))),4),
0,1)</f>
        <v>0</v>
      </c>
      <c r="I118" s="79">
        <f>IF(ROUND(I83,4)=ROUND(
SUMIFS(OP_Rates_RES_2[Jemena],OP_Rates_RES_2[[Rate name]:[Rate name]],$C118)+
SUMIFS(OP_RatesTU_RES_2[Jemena],OP_RatesTU_RES_2[[Rate name]:[Rate name]],
IF($D118&lt;&gt;"$",$C118,
IF($C118="Anytime - supply","Anytime","TOU"))),4),
0,1)</f>
        <v>0</v>
      </c>
      <c r="J118" s="79">
        <f>IF(ROUND(J83,4)=ROUND(
SUMIFS(OP_Rates_RES_2[Powercor],OP_Rates_RES_2[[Rate name]:[Rate name]],$C118)+
SUMIFS(OP_RatesTU_RES_2[Powercor],OP_RatesTU_RES_2[[Rate name]:[Rate name]],
IF($D118&lt;&gt;"$",$C118,
IF($C118="Anytime - supply","Anytime","TOU"))),4),
0,1)</f>
        <v>0</v>
      </c>
      <c r="K118" s="79">
        <f>IF(ROUND(K83,4)=ROUND(
SUMIFS(OP_Rates_RES_2[United Energy],OP_Rates_RES_2[[Rate name]:[Rate name]],$C118)+
SUMIFS(OP_RatesTU_RES_2[United Energy],OP_RatesTU_RES_2[[Rate name]:[Rate name]],
IF($D118&lt;&gt;"$",$C118,
IF($C118="Anytime - supply","Anytime","TOU"))),4),
0,1)</f>
        <v>0</v>
      </c>
      <c r="M118" s="48" t="s">
        <v>157</v>
      </c>
      <c r="N118" s="48" t="s">
        <v>218</v>
      </c>
      <c r="O118" s="48" t="s">
        <v>32</v>
      </c>
      <c r="Q118" s="79">
        <f>IF(ROUND(Q83,4)=ROUND(
SUMIFS(OP_Rates_SME_2[Ausnet],OP_Rates_SME_2[[Rate name]:[Rate name]],$M118)+
SUMIFS(OP_RatesTU_SME_2[Ausnet],OP_RatesTU_SME_2[[Rate name]:[Rate name]],
IF($N118&lt;&gt;"$",$M118,
IF($M118="Anytime - supply","Anytime","TOU"))),4),
0,1)</f>
        <v>0</v>
      </c>
      <c r="R118" s="79">
        <f>IF(ROUND(R83,4)=ROUND(
SUMIFS(OP_Rates_SME_2[Citipower],OP_Rates_SME_2[[Rate name]:[Rate name]],$M118)+
SUMIFS(OP_RatesTU_SME_2[Citipower],OP_RatesTU_SME_2[[Rate name]:[Rate name]],
IF($N118&lt;&gt;"$",$M118,
IF($M118="Anytime - supply","Anytime","TOU"))),4),
0,1)</f>
        <v>0</v>
      </c>
      <c r="S118" s="79">
        <f>IF(ROUND(S83,4)=ROUND(
SUMIFS(OP_Rates_SME_2[Jemena],OP_Rates_SME_2[[Rate name]:[Rate name]],$M118)+
SUMIFS(OP_RatesTU_SME_2[Jemena],OP_RatesTU_SME_2[[Rate name]:[Rate name]],
IF($N118&lt;&gt;"$",$M118,
IF($M118="Anytime - supply","Anytime","TOU"))),4),
0,1)</f>
        <v>0</v>
      </c>
      <c r="T118" s="79">
        <f>IF(ROUND(T83,4)=ROUND(
SUMIFS(OP_Rates_SME_2[Powercor],OP_Rates_SME_2[[Rate name]:[Rate name]],$M118)+
SUMIFS(OP_RatesTU_SME_2[Powercor],OP_RatesTU_SME_2[[Rate name]:[Rate name]],
IF($N118&lt;&gt;"$",$M118,
IF($M118="Anytime - supply","Anytime","TOU"))),4),
0,1)</f>
        <v>0</v>
      </c>
      <c r="U118" s="79">
        <f>IF(ROUND(U83,4)=ROUND(
SUMIFS(OP_Rates_SME_2[United Energy],OP_Rates_SME_2[[Rate name]:[Rate name]],$M118)+
SUMIFS(OP_RatesTU_SME_2[United Energy],OP_RatesTU_SME_2[[Rate name]:[Rate name]],
IF($N118&lt;&gt;"$",$M118,
IF($M118="Anytime - supply","Anytime","TOU"))),4),
0,1)</f>
        <v>0</v>
      </c>
    </row>
    <row r="119" spans="3:21" ht="15.75" hidden="1" outlineLevel="2" x14ac:dyDescent="0.25">
      <c r="C119" s="48" t="s">
        <v>164</v>
      </c>
      <c r="D119" s="48" t="s">
        <v>218</v>
      </c>
      <c r="E119" s="48" t="s">
        <v>31</v>
      </c>
      <c r="G119" s="79">
        <f>IF(ROUND(G84,4)=ROUND(
SUMIFS(OP_Rates_RES_2[Ausnet],OP_Rates_RES_2[[Rate name]:[Rate name]],$C119)+
SUMIFS(OP_RatesTU_RES_2[Ausnet],OP_RatesTU_RES_2[[Rate name]:[Rate name]],
IF($D119&lt;&gt;"$",$C119,
IF($C119="Anytime - supply","Anytime","TOU"))),4),
0,1)</f>
        <v>0</v>
      </c>
      <c r="H119" s="79">
        <f>IF(ROUND(H84,4)=ROUND(
SUMIFS(OP_Rates_RES_2[Citipower],OP_Rates_RES_2[[Rate name]:[Rate name]],$C119)+
SUMIFS(OP_RatesTU_RES_2[Citipower],OP_RatesTU_RES_2[[Rate name]:[Rate name]],
IF($D119&lt;&gt;"$",$C119,
IF($C119="Anytime - supply","Anytime","TOU"))),4),
0,1)</f>
        <v>0</v>
      </c>
      <c r="I119" s="79">
        <f>IF(ROUND(I84,4)=ROUND(
SUMIFS(OP_Rates_RES_2[Jemena],OP_Rates_RES_2[[Rate name]:[Rate name]],$C119)+
SUMIFS(OP_RatesTU_RES_2[Jemena],OP_RatesTU_RES_2[[Rate name]:[Rate name]],
IF($D119&lt;&gt;"$",$C119,
IF($C119="Anytime - supply","Anytime","TOU"))),4),
0,1)</f>
        <v>0</v>
      </c>
      <c r="J119" s="79">
        <f>IF(ROUND(J84,4)=ROUND(
SUMIFS(OP_Rates_RES_2[Powercor],OP_Rates_RES_2[[Rate name]:[Rate name]],$C119)+
SUMIFS(OP_RatesTU_RES_2[Powercor],OP_RatesTU_RES_2[[Rate name]:[Rate name]],
IF($D119&lt;&gt;"$",$C119,
IF($C119="Anytime - supply","Anytime","TOU"))),4),
0,1)</f>
        <v>0</v>
      </c>
      <c r="K119" s="79">
        <f>IF(ROUND(K84,4)=ROUND(
SUMIFS(OP_Rates_RES_2[United Energy],OP_Rates_RES_2[[Rate name]:[Rate name]],$C119)+
SUMIFS(OP_RatesTU_RES_2[United Energy],OP_RatesTU_RES_2[[Rate name]:[Rate name]],
IF($D119&lt;&gt;"$",$C119,
IF($C119="Anytime - supply","Anytime","TOU"))),4),
0,1)</f>
        <v>0</v>
      </c>
      <c r="M119" s="48" t="s">
        <v>164</v>
      </c>
      <c r="N119" s="48" t="s">
        <v>218</v>
      </c>
      <c r="O119" s="48" t="s">
        <v>32</v>
      </c>
      <c r="Q119" s="79">
        <f>IF(ROUND(Q84,4)=ROUND(
SUMIFS(OP_Rates_SME_2[Ausnet],OP_Rates_SME_2[[Rate name]:[Rate name]],$M119)+
SUMIFS(OP_RatesTU_SME_2[Ausnet],OP_RatesTU_SME_2[[Rate name]:[Rate name]],
IF($N119&lt;&gt;"$",$M119,
IF($M119="Anytime - supply","Anytime","TOU"))),4),
0,1)</f>
        <v>0</v>
      </c>
      <c r="R119" s="79">
        <f>IF(ROUND(R84,4)=ROUND(
SUMIFS(OP_Rates_SME_2[Citipower],OP_Rates_SME_2[[Rate name]:[Rate name]],$M119)+
SUMIFS(OP_RatesTU_SME_2[Citipower],OP_RatesTU_SME_2[[Rate name]:[Rate name]],
IF($N119&lt;&gt;"$",$M119,
IF($M119="Anytime - supply","Anytime","TOU"))),4),
0,1)</f>
        <v>0</v>
      </c>
      <c r="S119" s="79">
        <f>IF(ROUND(S84,4)=ROUND(
SUMIFS(OP_Rates_SME_2[Jemena],OP_Rates_SME_2[[Rate name]:[Rate name]],$M119)+
SUMIFS(OP_RatesTU_SME_2[Jemena],OP_RatesTU_SME_2[[Rate name]:[Rate name]],
IF($N119&lt;&gt;"$",$M119,
IF($M119="Anytime - supply","Anytime","TOU"))),4),
0,1)</f>
        <v>0</v>
      </c>
      <c r="T119" s="79">
        <f>IF(ROUND(T84,4)=ROUND(
SUMIFS(OP_Rates_SME_2[Powercor],OP_Rates_SME_2[[Rate name]:[Rate name]],$M119)+
SUMIFS(OP_RatesTU_SME_2[Powercor],OP_RatesTU_SME_2[[Rate name]:[Rate name]],
IF($N119&lt;&gt;"$",$M119,
IF($M119="Anytime - supply","Anytime","TOU"))),4),
0,1)</f>
        <v>0</v>
      </c>
      <c r="U119" s="79">
        <f>IF(ROUND(U84,4)=ROUND(
SUMIFS(OP_Rates_SME_2[United Energy],OP_Rates_SME_2[[Rate name]:[Rate name]],$M119)+
SUMIFS(OP_RatesTU_SME_2[United Energy],OP_RatesTU_SME_2[[Rate name]:[Rate name]],
IF($N119&lt;&gt;"$",$M119,
IF($M119="Anytime - supply","Anytime","TOU"))),4),
0,1)</f>
        <v>0</v>
      </c>
    </row>
    <row r="120" spans="3:21" ht="15.75" hidden="1" outlineLevel="2" x14ac:dyDescent="0.25">
      <c r="C120" s="48" t="s">
        <v>338</v>
      </c>
      <c r="D120" s="48" t="s">
        <v>218</v>
      </c>
      <c r="E120" s="48" t="s">
        <v>31</v>
      </c>
      <c r="G120" s="79">
        <f>IF(ROUND(G85,4)=ROUND(
SUMIFS(OP_Rates_RES_2[Ausnet],OP_Rates_RES_2[[Rate name]:[Rate name]],$C120)+
SUMIFS(OP_RatesTU_RES_2[Ausnet],OP_RatesTU_RES_2[[Rate name]:[Rate name]],
IF($D120&lt;&gt;"$",$C120,
IF($C120="Anytime - supply","Anytime","TOU"))),4),
0,1)</f>
        <v>0</v>
      </c>
      <c r="H120" s="79">
        <f>IF(ROUND(H85,4)=ROUND(
SUMIFS(OP_Rates_RES_2[Citipower],OP_Rates_RES_2[[Rate name]:[Rate name]],$C120)+
SUMIFS(OP_RatesTU_RES_2[Citipower],OP_RatesTU_RES_2[[Rate name]:[Rate name]],
IF($D120&lt;&gt;"$",$C120,
IF($C120="Anytime - supply","Anytime","TOU"))),4),
0,1)</f>
        <v>0</v>
      </c>
      <c r="I120" s="79">
        <f>IF(ROUND(I85,4)=ROUND(
SUMIFS(OP_Rates_RES_2[Jemena],OP_Rates_RES_2[[Rate name]:[Rate name]],$C120)+
SUMIFS(OP_RatesTU_RES_2[Jemena],OP_RatesTU_RES_2[[Rate name]:[Rate name]],
IF($D120&lt;&gt;"$",$C120,
IF($C120="Anytime - supply","Anytime","TOU"))),4),
0,1)</f>
        <v>0</v>
      </c>
      <c r="J120" s="79">
        <f>IF(ROUND(J85,4)=ROUND(
SUMIFS(OP_Rates_RES_2[Powercor],OP_Rates_RES_2[[Rate name]:[Rate name]],$C120)+
SUMIFS(OP_RatesTU_RES_2[Powercor],OP_RatesTU_RES_2[[Rate name]:[Rate name]],
IF($D120&lt;&gt;"$",$C120,
IF($C120="Anytime - supply","Anytime","TOU"))),4),
0,1)</f>
        <v>0</v>
      </c>
      <c r="K120" s="79">
        <f>IF(ROUND(K85,4)=ROUND(
SUMIFS(OP_Rates_RES_2[United Energy],OP_Rates_RES_2[[Rate name]:[Rate name]],$C120)+
SUMIFS(OP_RatesTU_RES_2[United Energy],OP_RatesTU_RES_2[[Rate name]:[Rate name]],
IF($D120&lt;&gt;"$",$C120,
IF($C120="Anytime - supply","Anytime","TOU"))),4),
0,1)</f>
        <v>0</v>
      </c>
      <c r="M120" s="48" t="s">
        <v>338</v>
      </c>
      <c r="N120" s="48" t="s">
        <v>218</v>
      </c>
      <c r="O120" s="48" t="s">
        <v>32</v>
      </c>
      <c r="Q120" s="79">
        <f>IF(ROUND(Q85,4)=ROUND(
SUMIFS(OP_Rates_SME_2[Ausnet],OP_Rates_SME_2[[Rate name]:[Rate name]],$M120)+
SUMIFS(OP_RatesTU_SME_2[Ausnet],OP_RatesTU_SME_2[[Rate name]:[Rate name]],
IF($N120&lt;&gt;"$",$M120,
IF($M120="Anytime - supply","Anytime","TOU"))),4),
0,1)</f>
        <v>0</v>
      </c>
      <c r="R120" s="79">
        <f>IF(ROUND(R85,4)=ROUND(
SUMIFS(OP_Rates_SME_2[Citipower],OP_Rates_SME_2[[Rate name]:[Rate name]],$M120)+
SUMIFS(OP_RatesTU_SME_2[Citipower],OP_RatesTU_SME_2[[Rate name]:[Rate name]],
IF($N120&lt;&gt;"$",$M120,
IF($M120="Anytime - supply","Anytime","TOU"))),4),
0,1)</f>
        <v>0</v>
      </c>
      <c r="S120" s="79">
        <f>IF(ROUND(S85,4)=ROUND(
SUMIFS(OP_Rates_SME_2[Jemena],OP_Rates_SME_2[[Rate name]:[Rate name]],$M120)+
SUMIFS(OP_RatesTU_SME_2[Jemena],OP_RatesTU_SME_2[[Rate name]:[Rate name]],
IF($N120&lt;&gt;"$",$M120,
IF($M120="Anytime - supply","Anytime","TOU"))),4),
0,1)</f>
        <v>0</v>
      </c>
      <c r="T120" s="79">
        <f>IF(ROUND(T85,4)=ROUND(
SUMIFS(OP_Rates_SME_2[Powercor],OP_Rates_SME_2[[Rate name]:[Rate name]],$M120)+
SUMIFS(OP_RatesTU_SME_2[Powercor],OP_RatesTU_SME_2[[Rate name]:[Rate name]],
IF($N120&lt;&gt;"$",$M120,
IF($M120="Anytime - supply","Anytime","TOU"))),4),
0,1)</f>
        <v>0</v>
      </c>
      <c r="U120" s="79">
        <f>IF(ROUND(U85,4)=ROUND(
SUMIFS(OP_Rates_SME_2[United Energy],OP_Rates_SME_2[[Rate name]:[Rate name]],$M120)+
SUMIFS(OP_RatesTU_SME_2[United Energy],OP_RatesTU_SME_2[[Rate name]:[Rate name]],
IF($N120&lt;&gt;"$",$M120,
IF($M120="Anytime - supply","Anytime","TOU"))),4),
0,1)</f>
        <v>0</v>
      </c>
    </row>
    <row r="121" spans="3:21" ht="15.75" hidden="1" outlineLevel="2" x14ac:dyDescent="0.25">
      <c r="C121" s="48" t="s">
        <v>340</v>
      </c>
      <c r="D121" s="48" t="s">
        <v>45</v>
      </c>
      <c r="E121" s="48" t="s">
        <v>31</v>
      </c>
      <c r="G121" s="79">
        <f>IF(ROUND(G86,4)=ROUND(
SUMIFS(OP_Rates_RES_2[Ausnet],OP_Rates_RES_2[[Rate name]:[Rate name]],$C121)+
SUMIFS(OP_RatesTU_RES_2[Ausnet],OP_RatesTU_RES_2[[Rate name]:[Rate name]],
IF($D121&lt;&gt;"$",$C121,
IF($C121="Anytime - supply","Anytime","TOU"))),4),
0,1)</f>
        <v>0</v>
      </c>
      <c r="H121" s="79">
        <f>IF(ROUND(H86,4)=ROUND(
SUMIFS(OP_Rates_RES_2[Citipower],OP_Rates_RES_2[[Rate name]:[Rate name]],$C121)+
SUMIFS(OP_RatesTU_RES_2[Citipower],OP_RatesTU_RES_2[[Rate name]:[Rate name]],
IF($D121&lt;&gt;"$",$C121,
IF($C121="Anytime - supply","Anytime","TOU"))),4),
0,1)</f>
        <v>0</v>
      </c>
      <c r="I121" s="79">
        <f>IF(ROUND(I86,4)=ROUND(
SUMIFS(OP_Rates_RES_2[Jemena],OP_Rates_RES_2[[Rate name]:[Rate name]],$C121)+
SUMIFS(OP_RatesTU_RES_2[Jemena],OP_RatesTU_RES_2[[Rate name]:[Rate name]],
IF($D121&lt;&gt;"$",$C121,
IF($C121="Anytime - supply","Anytime","TOU"))),4),
0,1)</f>
        <v>0</v>
      </c>
      <c r="J121" s="79">
        <f>IF(ROUND(J86,4)=ROUND(
SUMIFS(OP_Rates_RES_2[Powercor],OP_Rates_RES_2[[Rate name]:[Rate name]],$C121)+
SUMIFS(OP_RatesTU_RES_2[Powercor],OP_RatesTU_RES_2[[Rate name]:[Rate name]],
IF($D121&lt;&gt;"$",$C121,
IF($C121="Anytime - supply","Anytime","TOU"))),4),
0,1)</f>
        <v>0</v>
      </c>
      <c r="K121" s="79">
        <f>IF(ROUND(K86,4)=ROUND(
SUMIFS(OP_Rates_RES_2[United Energy],OP_Rates_RES_2[[Rate name]:[Rate name]],$C121)+
SUMIFS(OP_RatesTU_RES_2[United Energy],OP_RatesTU_RES_2[[Rate name]:[Rate name]],
IF($D121&lt;&gt;"$",$C121,
IF($C121="Anytime - supply","Anytime","TOU"))),4),
0,1)</f>
        <v>0</v>
      </c>
      <c r="M121" s="48" t="s">
        <v>340</v>
      </c>
      <c r="N121" s="48" t="s">
        <v>45</v>
      </c>
      <c r="O121" s="48" t="s">
        <v>32</v>
      </c>
      <c r="Q121" s="79">
        <f>IF(ROUND(Q86,4)=ROUND(
SUMIFS(OP_Rates_SME_2[Ausnet],OP_Rates_SME_2[[Rate name]:[Rate name]],$M121)+
SUMIFS(OP_RatesTU_SME_2[Ausnet],OP_RatesTU_SME_2[[Rate name]:[Rate name]],
IF($N121&lt;&gt;"$",$M121,
IF($M121="Anytime - supply","Anytime","TOU"))),4),
0,1)</f>
        <v>0</v>
      </c>
      <c r="R121" s="79">
        <f>IF(ROUND(R86,4)=ROUND(
SUMIFS(OP_Rates_SME_2[Citipower],OP_Rates_SME_2[[Rate name]:[Rate name]],$M121)+
SUMIFS(OP_RatesTU_SME_2[Citipower],OP_RatesTU_SME_2[[Rate name]:[Rate name]],
IF($N121&lt;&gt;"$",$M121,
IF($M121="Anytime - supply","Anytime","TOU"))),4),
0,1)</f>
        <v>0</v>
      </c>
      <c r="S121" s="79">
        <f>IF(ROUND(S86,4)=ROUND(
SUMIFS(OP_Rates_SME_2[Jemena],OP_Rates_SME_2[[Rate name]:[Rate name]],$M121)+
SUMIFS(OP_RatesTU_SME_2[Jemena],OP_RatesTU_SME_2[[Rate name]:[Rate name]],
IF($N121&lt;&gt;"$",$M121,
IF($M121="Anytime - supply","Anytime","TOU"))),4),
0,1)</f>
        <v>0</v>
      </c>
      <c r="T121" s="79">
        <f>IF(ROUND(T86,4)=ROUND(
SUMIFS(OP_Rates_SME_2[Powercor],OP_Rates_SME_2[[Rate name]:[Rate name]],$M121)+
SUMIFS(OP_RatesTU_SME_2[Powercor],OP_RatesTU_SME_2[[Rate name]:[Rate name]],
IF($N121&lt;&gt;"$",$M121,
IF($M121="Anytime - supply","Anytime","TOU"))),4),
0,1)</f>
        <v>0</v>
      </c>
      <c r="U121" s="79">
        <f>IF(ROUND(U86,4)=ROUND(
SUMIFS(OP_Rates_SME_2[United Energy],OP_Rates_SME_2[[Rate name]:[Rate name]],$M121)+
SUMIFS(OP_RatesTU_SME_2[United Energy],OP_RatesTU_SME_2[[Rate name]:[Rate name]],
IF($N121&lt;&gt;"$",$M121,
IF($M121="Anytime - supply","Anytime","TOU"))),4),
0,1)</f>
        <v>0</v>
      </c>
    </row>
    <row r="122" spans="3:21" ht="15.75" hidden="1" outlineLevel="2" x14ac:dyDescent="0.25">
      <c r="C122" s="48" t="s">
        <v>166</v>
      </c>
      <c r="D122" s="48" t="s">
        <v>218</v>
      </c>
      <c r="E122" s="48" t="s">
        <v>31</v>
      </c>
      <c r="G122" s="79">
        <f>IF(ROUND(G87,4)=ROUND(
SUMIFS(OP_Rates_RES_2[Ausnet],OP_Rates_RES_2[[Rate name]:[Rate name]],$C122)+
SUMIFS(OP_RatesTU_RES_2[Ausnet],OP_RatesTU_RES_2[[Rate name]:[Rate name]],
IF($D122&lt;&gt;"$",$C122,
IF($C122="Anytime - supply","Anytime","TOU"))),4),
0,1)</f>
        <v>0</v>
      </c>
      <c r="H122" s="79">
        <f>IF(ROUND(H87,4)=ROUND(
SUMIFS(OP_Rates_RES_2[Citipower],OP_Rates_RES_2[[Rate name]:[Rate name]],$C122)+
SUMIFS(OP_RatesTU_RES_2[Citipower],OP_RatesTU_RES_2[[Rate name]:[Rate name]],
IF($D122&lt;&gt;"$",$C122,
IF($C122="Anytime - supply","Anytime","TOU"))),4),
0,1)</f>
        <v>0</v>
      </c>
      <c r="I122" s="79">
        <f>IF(ROUND(I87,4)=ROUND(
SUMIFS(OP_Rates_RES_2[Jemena],OP_Rates_RES_2[[Rate name]:[Rate name]],$C122)+
SUMIFS(OP_RatesTU_RES_2[Jemena],OP_RatesTU_RES_2[[Rate name]:[Rate name]],
IF($D122&lt;&gt;"$",$C122,
IF($C122="Anytime - supply","Anytime","TOU"))),4),
0,1)</f>
        <v>0</v>
      </c>
      <c r="J122" s="79">
        <f>IF(ROUND(J87,4)=ROUND(
SUMIFS(OP_Rates_RES_2[Powercor],OP_Rates_RES_2[[Rate name]:[Rate name]],$C122)+
SUMIFS(OP_RatesTU_RES_2[Powercor],OP_RatesTU_RES_2[[Rate name]:[Rate name]],
IF($D122&lt;&gt;"$",$C122,
IF($C122="Anytime - supply","Anytime","TOU"))),4),
0,1)</f>
        <v>0</v>
      </c>
      <c r="K122" s="79">
        <f>IF(ROUND(K87,4)=ROUND(
SUMIFS(OP_Rates_RES_2[United Energy],OP_Rates_RES_2[[Rate name]:[Rate name]],$C122)+
SUMIFS(OP_RatesTU_RES_2[United Energy],OP_RatesTU_RES_2[[Rate name]:[Rate name]],
IF($D122&lt;&gt;"$",$C122,
IF($C122="Anytime - supply","Anytime","TOU"))),4),
0,1)</f>
        <v>0</v>
      </c>
      <c r="M122" s="48" t="s">
        <v>166</v>
      </c>
      <c r="N122" s="48" t="s">
        <v>218</v>
      </c>
      <c r="O122" s="48" t="s">
        <v>32</v>
      </c>
      <c r="Q122" s="79">
        <f>IF(ROUND(Q87,4)=ROUND(
SUMIFS(OP_Rates_SME_2[Ausnet],OP_Rates_SME_2[[Rate name]:[Rate name]],$M122)+
SUMIFS(OP_RatesTU_SME_2[Ausnet],OP_RatesTU_SME_2[[Rate name]:[Rate name]],
IF($N122&lt;&gt;"$",$M122,
IF($M122="Anytime - supply","Anytime","TOU"))),4),
0,1)</f>
        <v>0</v>
      </c>
      <c r="R122" s="79">
        <f>IF(ROUND(R87,4)=ROUND(
SUMIFS(OP_Rates_SME_2[Citipower],OP_Rates_SME_2[[Rate name]:[Rate name]],$M122)+
SUMIFS(OP_RatesTU_SME_2[Citipower],OP_RatesTU_SME_2[[Rate name]:[Rate name]],
IF($N122&lt;&gt;"$",$M122,
IF($M122="Anytime - supply","Anytime","TOU"))),4),
0,1)</f>
        <v>0</v>
      </c>
      <c r="S122" s="79">
        <f>IF(ROUND(S87,4)=ROUND(
SUMIFS(OP_Rates_SME_2[Jemena],OP_Rates_SME_2[[Rate name]:[Rate name]],$M122)+
SUMIFS(OP_RatesTU_SME_2[Jemena],OP_RatesTU_SME_2[[Rate name]:[Rate name]],
IF($N122&lt;&gt;"$",$M122,
IF($M122="Anytime - supply","Anytime","TOU"))),4),
0,1)</f>
        <v>0</v>
      </c>
      <c r="T122" s="79">
        <f>IF(ROUND(T87,4)=ROUND(
SUMIFS(OP_Rates_SME_2[Powercor],OP_Rates_SME_2[[Rate name]:[Rate name]],$M122)+
SUMIFS(OP_RatesTU_SME_2[Powercor],OP_RatesTU_SME_2[[Rate name]:[Rate name]],
IF($N122&lt;&gt;"$",$M122,
IF($M122="Anytime - supply","Anytime","TOU"))),4),
0,1)</f>
        <v>0</v>
      </c>
      <c r="U122" s="79">
        <f>IF(ROUND(U87,4)=ROUND(
SUMIFS(OP_Rates_SME_2[United Energy],OP_Rates_SME_2[[Rate name]:[Rate name]],$M122)+
SUMIFS(OP_RatesTU_SME_2[United Energy],OP_RatesTU_SME_2[[Rate name]:[Rate name]],
IF($N122&lt;&gt;"$",$M122,
IF($M122="Anytime - supply","Anytime","TOU"))),4),
0,1)</f>
        <v>0</v>
      </c>
    </row>
    <row r="123" spans="3:21" ht="15.75" hidden="1" outlineLevel="2" x14ac:dyDescent="0.25">
      <c r="C123" s="48" t="s">
        <v>370</v>
      </c>
      <c r="D123" s="48" t="s">
        <v>218</v>
      </c>
      <c r="E123" s="48" t="s">
        <v>31</v>
      </c>
      <c r="G123" s="79">
        <f>IF(ROUND(G88,4)=ROUND(
SUMIFS(OP_Rates_RES_2[Ausnet],OP_Rates_RES_2[[Rate name]:[Rate name]],$C123)+
SUMIFS(OP_RatesTU_RES_2[Ausnet],OP_RatesTU_RES_2[[Rate name]:[Rate name]],
IF($D123&lt;&gt;"$",$C123,
IF($C123="Anytime - supply","Anytime","TOU"))),4),
0,1)</f>
        <v>0</v>
      </c>
      <c r="H123" s="79">
        <f>IF(ROUND(H88,4)=ROUND(
SUMIFS(OP_Rates_RES_2[Citipower],OP_Rates_RES_2[[Rate name]:[Rate name]],$C123)+
SUMIFS(OP_RatesTU_RES_2[Citipower],OP_RatesTU_RES_2[[Rate name]:[Rate name]],
IF($D123&lt;&gt;"$",$C123,
IF($C123="Anytime - supply","Anytime","TOU"))),4),
0,1)</f>
        <v>0</v>
      </c>
      <c r="I123" s="79">
        <f>IF(ROUND(I88,4)=ROUND(
SUMIFS(OP_Rates_RES_2[Jemena],OP_Rates_RES_2[[Rate name]:[Rate name]],$C123)+
SUMIFS(OP_RatesTU_RES_2[Jemena],OP_RatesTU_RES_2[[Rate name]:[Rate name]],
IF($D123&lt;&gt;"$",$C123,
IF($C123="Anytime - supply","Anytime","TOU"))),4),
0,1)</f>
        <v>0</v>
      </c>
      <c r="J123" s="79">
        <f>IF(ROUND(J88,4)=ROUND(
SUMIFS(OP_Rates_RES_2[Powercor],OP_Rates_RES_2[[Rate name]:[Rate name]],$C123)+
SUMIFS(OP_RatesTU_RES_2[Powercor],OP_RatesTU_RES_2[[Rate name]:[Rate name]],
IF($D123&lt;&gt;"$",$C123,
IF($C123="Anytime - supply","Anytime","TOU"))),4),
0,1)</f>
        <v>0</v>
      </c>
      <c r="K123" s="79">
        <f>IF(ROUND(K88,4)=ROUND(
SUMIFS(OP_Rates_RES_2[United Energy],OP_Rates_RES_2[[Rate name]:[Rate name]],$C123)+
SUMIFS(OP_RatesTU_RES_2[United Energy],OP_RatesTU_RES_2[[Rate name]:[Rate name]],
IF($D123&lt;&gt;"$",$C123,
IF($C123="Anytime - supply","Anytime","TOU"))),4),
0,1)</f>
        <v>0</v>
      </c>
      <c r="M123" s="48" t="s">
        <v>370</v>
      </c>
      <c r="N123" s="48" t="s">
        <v>218</v>
      </c>
      <c r="O123" s="48" t="s">
        <v>32</v>
      </c>
      <c r="Q123" s="79">
        <f>IF(ROUND(Q88,4)=ROUND(
SUMIFS(OP_Rates_SME_2[Ausnet],OP_Rates_SME_2[[Rate name]:[Rate name]],$M123)+
SUMIFS(OP_RatesTU_SME_2[Ausnet],OP_RatesTU_SME_2[[Rate name]:[Rate name]],
IF($N123&lt;&gt;"$",$M123,
IF($M123="Anytime - supply","Anytime","TOU"))),4),
0,1)</f>
        <v>0</v>
      </c>
      <c r="R123" s="79">
        <f>IF(ROUND(R88,4)=ROUND(
SUMIFS(OP_Rates_SME_2[Citipower],OP_Rates_SME_2[[Rate name]:[Rate name]],$M123)+
SUMIFS(OP_RatesTU_SME_2[Citipower],OP_RatesTU_SME_2[[Rate name]:[Rate name]],
IF($N123&lt;&gt;"$",$M123,
IF($M123="Anytime - supply","Anytime","TOU"))),4),
0,1)</f>
        <v>0</v>
      </c>
      <c r="S123" s="79">
        <f>IF(ROUND(S88,4)=ROUND(
SUMIFS(OP_Rates_SME_2[Jemena],OP_Rates_SME_2[[Rate name]:[Rate name]],$M123)+
SUMIFS(OP_RatesTU_SME_2[Jemena],OP_RatesTU_SME_2[[Rate name]:[Rate name]],
IF($N123&lt;&gt;"$",$M123,
IF($M123="Anytime - supply","Anytime","TOU"))),4),
0,1)</f>
        <v>0</v>
      </c>
      <c r="T123" s="79">
        <f>IF(ROUND(T88,4)=ROUND(
SUMIFS(OP_Rates_SME_2[Powercor],OP_Rates_SME_2[[Rate name]:[Rate name]],$M123)+
SUMIFS(OP_RatesTU_SME_2[Powercor],OP_RatesTU_SME_2[[Rate name]:[Rate name]],
IF($N123&lt;&gt;"$",$M123,
IF($M123="Anytime - supply","Anytime","TOU"))),4),
0,1)</f>
        <v>0</v>
      </c>
      <c r="U123" s="79">
        <f>IF(ROUND(U88,4)=ROUND(
SUMIFS(OP_Rates_SME_2[United Energy],OP_Rates_SME_2[[Rate name]:[Rate name]],$M123)+
SUMIFS(OP_RatesTU_SME_2[United Energy],OP_RatesTU_SME_2[[Rate name]:[Rate name]],
IF($N123&lt;&gt;"$",$M123,
IF($M123="Anytime - supply","Anytime","TOU"))),4),
0,1)</f>
        <v>0</v>
      </c>
    </row>
    <row r="124" spans="3:21" ht="15.75" hidden="1" outlineLevel="2" x14ac:dyDescent="0.25">
      <c r="C124" s="48" t="s">
        <v>223</v>
      </c>
      <c r="D124" s="48" t="s">
        <v>218</v>
      </c>
      <c r="E124" s="48" t="s">
        <v>31</v>
      </c>
      <c r="G124" s="79">
        <f>IF(ROUND(G89,4)=ROUND(
SUMIFS(OP_Rates_RES_2[Ausnet],OP_Rates_RES_2[[Rate name]:[Rate name]],$C124)+
SUMIFS(OP_RatesTU_RES_2[Ausnet],OP_RatesTU_RES_2[[Rate name]:[Rate name]],
IF($D124&lt;&gt;"$",$C124,
IF($C124="Anytime - supply","Anytime","TOU"))),4),
0,1)</f>
        <v>0</v>
      </c>
      <c r="H124" s="79">
        <f>IF(ROUND(H89,4)=ROUND(
SUMIFS(OP_Rates_RES_2[Citipower],OP_Rates_RES_2[[Rate name]:[Rate name]],$C124)+
SUMIFS(OP_RatesTU_RES_2[Citipower],OP_RatesTU_RES_2[[Rate name]:[Rate name]],
IF($D124&lt;&gt;"$",$C124,
IF($C124="Anytime - supply","Anytime","TOU"))),4),
0,1)</f>
        <v>0</v>
      </c>
      <c r="I124" s="79">
        <f>IF(ROUND(I89,4)=ROUND(
SUMIFS(OP_Rates_RES_2[Jemena],OP_Rates_RES_2[[Rate name]:[Rate name]],$C124)+
SUMIFS(OP_RatesTU_RES_2[Jemena],OP_RatesTU_RES_2[[Rate name]:[Rate name]],
IF($D124&lt;&gt;"$",$C124,
IF($C124="Anytime - supply","Anytime","TOU"))),4),
0,1)</f>
        <v>0</v>
      </c>
      <c r="J124" s="79">
        <f>IF(ROUND(J89,4)=ROUND(
SUMIFS(OP_Rates_RES_2[Powercor],OP_Rates_RES_2[[Rate name]:[Rate name]],$C124)+
SUMIFS(OP_RatesTU_RES_2[Powercor],OP_RatesTU_RES_2[[Rate name]:[Rate name]],
IF($D124&lt;&gt;"$",$C124,
IF($C124="Anytime - supply","Anytime","TOU"))),4),
0,1)</f>
        <v>0</v>
      </c>
      <c r="K124" s="79">
        <f>IF(ROUND(K89,4)=ROUND(
SUMIFS(OP_Rates_RES_2[United Energy],OP_Rates_RES_2[[Rate name]:[Rate name]],$C124)+
SUMIFS(OP_RatesTU_RES_2[United Energy],OP_RatesTU_RES_2[[Rate name]:[Rate name]],
IF($D124&lt;&gt;"$",$C124,
IF($C124="Anytime - supply","Anytime","TOU"))),4),
0,1)</f>
        <v>0</v>
      </c>
      <c r="M124" s="48"/>
      <c r="N124" s="48"/>
      <c r="O124" s="48"/>
      <c r="Q124" s="79"/>
      <c r="R124" s="79"/>
      <c r="S124" s="79"/>
      <c r="T124" s="79"/>
      <c r="U124" s="79"/>
    </row>
    <row r="125" spans="3:21" hidden="1" outlineLevel="2" x14ac:dyDescent="0.25">
      <c r="P125" s="74"/>
      <c r="Q125" s="74"/>
      <c r="R125" s="74"/>
    </row>
    <row r="126" spans="3:21" ht="15.75" hidden="1" outlineLevel="2" x14ac:dyDescent="0.25">
      <c r="C126" s="23" t="str">
        <f>C$91&amp;" - checks"</f>
        <v>Residential calculated rate - checks</v>
      </c>
      <c r="M126" s="23" t="str">
        <f>M$91&amp;" - checks"</f>
        <v>Small business calculated rate - checks</v>
      </c>
    </row>
    <row r="127" spans="3:21" ht="15.75" hidden="1" outlineLevel="2" x14ac:dyDescent="0.25">
      <c r="C127" s="33" t="s">
        <v>263</v>
      </c>
      <c r="D127" s="33" t="s">
        <v>38</v>
      </c>
      <c r="E127" s="33" t="s">
        <v>30</v>
      </c>
      <c r="G127" s="42" t="s">
        <v>204</v>
      </c>
      <c r="H127" s="42" t="s">
        <v>205</v>
      </c>
      <c r="I127" s="42" t="s">
        <v>206</v>
      </c>
      <c r="J127" s="42" t="s">
        <v>207</v>
      </c>
      <c r="K127" s="42" t="s">
        <v>208</v>
      </c>
      <c r="M127" s="33" t="s">
        <v>263</v>
      </c>
      <c r="N127" s="33" t="s">
        <v>38</v>
      </c>
      <c r="O127" s="33" t="s">
        <v>30</v>
      </c>
      <c r="Q127" s="42" t="s">
        <v>204</v>
      </c>
      <c r="R127" s="42" t="s">
        <v>205</v>
      </c>
      <c r="S127" s="42" t="s">
        <v>206</v>
      </c>
      <c r="T127" s="42" t="s">
        <v>207</v>
      </c>
      <c r="U127" s="42" t="s">
        <v>208</v>
      </c>
    </row>
    <row r="128" spans="3:21" ht="15.75" hidden="1" outlineLevel="2" x14ac:dyDescent="0.25">
      <c r="C128" s="18" t="s">
        <v>339</v>
      </c>
      <c r="D128" s="18" t="s">
        <v>45</v>
      </c>
      <c r="E128" s="18" t="s">
        <v>31</v>
      </c>
      <c r="G128" s="79" cm="1">
        <f t="array" ref="G128">IF(G93="-","-",
IF(ROUND(G93,8)=
ROUND(((
(SUMIFS(Calc_NetworkF_2[Ausnet],Calc_NetworkF_2[[Cost item]:[Cost item]],$C128,Calc_NetworkF_2[[Customer type]:[Customer type]],$E128)+
SUMIFS(Calc_Fixed_2[Ausnet],Calc_Fixed_2[[Customer type]:[Customer type]],"All")+
SUMIFS(Calc_Fixed_2[Ausnet],Calc_Fixed_2[[Customer type]:[Customer type]],$E128))/DiY)*(1+Calc_ROM_2[Ausnet]))*(1+GST),8),0,1))</f>
        <v>0</v>
      </c>
      <c r="H128" s="79" cm="1">
        <f t="array" ref="H128">IF(H93="-","-",
IF(ROUND(H93,8)=
ROUND(((
(SUMIFS(Calc_NetworkF_2[Citipower],Calc_NetworkF_2[[Cost item]:[Cost item]],$C128,Calc_NetworkF_2[[Customer type]:[Customer type]],$E128)+
SUMIFS(Calc_Fixed_2[Citipower],Calc_Fixed_2[[Customer type]:[Customer type]],"All")+
SUMIFS(Calc_Fixed_2[Citipower],Calc_Fixed_2[[Customer type]:[Customer type]],$E128))/DiY)*(1+Calc_ROM_2[Citipower]))*(1+GST),8),0,1))</f>
        <v>0</v>
      </c>
      <c r="I128" s="79" cm="1">
        <f t="array" ref="I128">IF(I93="-","-",
IF(ROUND(I93,8)=
ROUND(((
(SUMIFS(Calc_NetworkF_2[Jemena],Calc_NetworkF_2[[Cost item]:[Cost item]],$C128,Calc_NetworkF_2[[Customer type]:[Customer type]],$E128)+
SUMIFS(Calc_Fixed_2[Jemena],Calc_Fixed_2[[Customer type]:[Customer type]],"All")+
SUMIFS(Calc_Fixed_2[Jemena],Calc_Fixed_2[[Customer type]:[Customer type]],$E128))/DiY)*(1+Calc_ROM_2[Jemena]))*(1+GST),8),0,1))</f>
        <v>0</v>
      </c>
      <c r="J128" s="79" cm="1">
        <f t="array" ref="J128">IF(J93="-","-",
IF(ROUND(J93,8)=
ROUND(((
(SUMIFS(Calc_NetworkF_2[Powercor],Calc_NetworkF_2[[Cost item]:[Cost item]],$C128,Calc_NetworkF_2[[Customer type]:[Customer type]],$E128)+
SUMIFS(Calc_Fixed_2[Powercor],Calc_Fixed_2[[Customer type]:[Customer type]],"All")+
SUMIFS(Calc_Fixed_2[Powercor],Calc_Fixed_2[[Customer type]:[Customer type]],$E128))/DiY)*(1+Calc_ROM_2[Powercor]))*(1+GST),8),0,1))</f>
        <v>0</v>
      </c>
      <c r="K128" s="79" cm="1">
        <f t="array" ref="K128">IF(K93="-","-",
IF(ROUND(K93,8)=
ROUND(((
(SUMIFS(Calc_NetworkF_2[United Energy],Calc_NetworkF_2[[Cost item]:[Cost item]],$C128,Calc_NetworkF_2[[Customer type]:[Customer type]],$E128)+
SUMIFS(Calc_Fixed_2[United Energy],Calc_Fixed_2[[Customer type]:[Customer type]],"All")+
SUMIFS(Calc_Fixed_2[United Energy],Calc_Fixed_2[[Customer type]:[Customer type]],$E128))/DiY)*(1+Calc_ROM_2[United Energy]))*(1+GST),8),0,1))</f>
        <v>0</v>
      </c>
      <c r="M128" s="18" t="s">
        <v>339</v>
      </c>
      <c r="N128" s="18" t="s">
        <v>45</v>
      </c>
      <c r="O128" s="18" t="s">
        <v>32</v>
      </c>
      <c r="Q128" s="79" cm="1">
        <f t="array" ref="Q128">IF(Q93="-","-",
IF(ROUND(Q93,8)=
ROUND((((SUMIFS(Calc_NetworkF_2[Ausnet],Calc_NetworkF_2[[Cost item]:[Cost item]],$M128,Calc_NetworkF_2[[Customer type]:[Customer type]],$O128)+SUMIFS(Calc_Fixed_2[Ausnet],Calc_Fixed_2[[Customer type]:[Customer type]],"All")+SUMIFS(Calc_Fixed_2[Ausnet],Calc_Fixed_2[[Customer type]:[Customer type]],$O128))/DiY)*(1+Calc_ROM_2[Ausnet]))*(1+GST),8),0,1))</f>
        <v>0</v>
      </c>
      <c r="R128" s="79" cm="1">
        <f t="array" ref="R128">IF(R93="-","-",
IF(ROUND(R93,8)=
ROUND((((SUMIFS(Calc_NetworkF_2[Citipower],Calc_NetworkF_2[[Cost item]:[Cost item]],$M128,Calc_NetworkF_2[[Customer type]:[Customer type]],$O128)+SUMIFS(Calc_Fixed_2[Citipower],Calc_Fixed_2[[Customer type]:[Customer type]],"All")+SUMIFS(Calc_Fixed_2[Citipower],Calc_Fixed_2[[Customer type]:[Customer type]],$O128))/DiY)*(1+Calc_ROM_2[Citipower]))*(1+GST),8),0,1))</f>
        <v>0</v>
      </c>
      <c r="S128" s="79" cm="1">
        <f t="array" ref="S128">IF(S93="-","-",
IF(ROUND(S93,8)=
ROUND((((SUMIFS(Calc_NetworkF_2[Jemena],Calc_NetworkF_2[[Cost item]:[Cost item]],$M128,Calc_NetworkF_2[[Customer type]:[Customer type]],$O128)+SUMIFS(Calc_Fixed_2[Jemena],Calc_Fixed_2[[Customer type]:[Customer type]],"All")+SUMIFS(Calc_Fixed_2[Jemena],Calc_Fixed_2[[Customer type]:[Customer type]],$O128))/DiY)*(1+Calc_ROM_2[Jemena]))*(1+GST),8),0,1))</f>
        <v>0</v>
      </c>
      <c r="T128" s="79" cm="1">
        <f t="array" ref="T128">IF(T93="-","-",
IF(ROUND(T93,8)=
ROUND((((SUMIFS(Calc_NetworkF_2[Powercor],Calc_NetworkF_2[[Cost item]:[Cost item]],$M128,Calc_NetworkF_2[[Customer type]:[Customer type]],$O128)+SUMIFS(Calc_Fixed_2[Powercor],Calc_Fixed_2[[Customer type]:[Customer type]],"All")+SUMIFS(Calc_Fixed_2[Powercor],Calc_Fixed_2[[Customer type]:[Customer type]],$O128))/DiY)*(1+Calc_ROM_2[Powercor]))*(1+GST),8),0,1))</f>
        <v>0</v>
      </c>
      <c r="U128" s="79" cm="1">
        <f t="array" ref="U128">IF(U93="-","-",
IF(ROUND(U93,8)=
ROUND((((SUMIFS(Calc_NetworkF_2[United Energy],Calc_NetworkF_2[[Cost item]:[Cost item]],$M128,Calc_NetworkF_2[[Customer type]:[Customer type]],$O128)+SUMIFS(Calc_Fixed_2[United Energy],Calc_Fixed_2[[Customer type]:[Customer type]],"All")+SUMIFS(Calc_Fixed_2[United Energy],Calc_Fixed_2[[Customer type]:[Customer type]],$O128))/DiY)*(1+Calc_ROM_2[United Energy]))*(1+GST),8),0,1))</f>
        <v>0</v>
      </c>
    </row>
    <row r="129" spans="3:21" ht="15.75" hidden="1" outlineLevel="2" x14ac:dyDescent="0.25">
      <c r="C129" s="18" t="s">
        <v>157</v>
      </c>
      <c r="D129" s="18" t="s">
        <v>218</v>
      </c>
      <c r="E129" s="18" t="s">
        <v>31</v>
      </c>
      <c r="G129" s="79" cm="1">
        <f t="array" ref="G129">IF(G94="-","-",
IF(ROUND(G94,8)=ROUND(
((SUMIFS(Calc_Variable_2[Ausnet],Calc_Variable_2[[Customer type]:[Customer type]],"All")+
SUMIFS(Calc_Variable_2[Ausnet],Calc_Variable_2[[Customer type]:[Customer type]],OP_Rates!$E129)+
SUMIFS(Calc_NetworkV_2[Ausnet],Calc_NetworkV_2[[Customer type]:[Customer type]],OP_Rates!$E129,Calc_NetworkV_2[[Cost item]:[Cost item]],OP_Rates!$C129))*(1+Calc_ROM_2[Ausnet]))*(1+GST),8),0,1))</f>
        <v>0</v>
      </c>
      <c r="H129" s="79" t="str" cm="1">
        <f t="array" ref="H129">IF(H94="-","-",
IF(ROUND(H94,8)=ROUND(
((SUMIFS(Calc_Variable_2[Citipower],Calc_Variable_2[[Customer type]:[Customer type]],"All")+
SUMIFS(Calc_Variable_2[Citipower],Calc_Variable_2[[Customer type]:[Customer type]],OP_Rates!$E129)+
SUMIFS(Calc_NetworkV_2[Citipower],Calc_NetworkV_2[[Customer type]:[Customer type]],OP_Rates!$E129,Calc_NetworkV_2[[Cost item]:[Cost item]],OP_Rates!$C129))*(1+Calc_ROM_2[Citipower]))*(1+GST),8),0,1))</f>
        <v>-</v>
      </c>
      <c r="I129" s="79" t="str" cm="1">
        <f t="array" ref="I129">IF(I94="-","-",
IF(ROUND(I94,8)=ROUND(
((SUMIFS(Calc_Variable_2[Jemena],Calc_Variable_2[[Customer type]:[Customer type]],"All")+
SUMIFS(Calc_Variable_2[Jemena],Calc_Variable_2[[Customer type]:[Customer type]],OP_Rates!$E129)+
SUMIFS(Calc_NetworkV_2[Jemena],Calc_NetworkV_2[[Customer type]:[Customer type]],OP_Rates!$E129,Calc_NetworkV_2[[Cost item]:[Cost item]],OP_Rates!$C129))*(1+Calc_ROM_2[Jemena]))*(1+GST),8),0,1))</f>
        <v>-</v>
      </c>
      <c r="J129" s="79" t="str" cm="1">
        <f t="array" ref="J129">IF(J94="-","-",
IF(ROUND(J94,8)=ROUND(
((SUMIFS(Calc_Variable_2[Powercor],Calc_Variable_2[[Customer type]:[Customer type]],"All")+
SUMIFS(Calc_Variable_2[Powercor],Calc_Variable_2[[Customer type]:[Customer type]],OP_Rates!$E129)+
SUMIFS(Calc_NetworkV_2[Powercor],Calc_NetworkV_2[[Customer type]:[Customer type]],OP_Rates!$E129,Calc_NetworkV_2[[Cost item]:[Cost item]],OP_Rates!$C129))*(1+Calc_ROM_2[Powercor]))*(1+GST),8),0,1))</f>
        <v>-</v>
      </c>
      <c r="K129" s="79" t="str" cm="1">
        <f t="array" ref="K129">IF(K94="-","-",
IF(ROUND(K94,8)=ROUND(
((SUMIFS(Calc_Variable_2[United Energy],Calc_Variable_2[[Customer type]:[Customer type]],"All")+
SUMIFS(Calc_Variable_2[United Energy],Calc_Variable_2[[Customer type]:[Customer type]],OP_Rates!$E129)+
SUMIFS(Calc_NetworkV_2[United Energy],Calc_NetworkV_2[[Customer type]:[Customer type]],OP_Rates!$E129,Calc_NetworkV_2[[Cost item]:[Cost item]],OP_Rates!$C129))*(1+Calc_ROM_2[United Energy]))*(1+GST),8),0,1))</f>
        <v>-</v>
      </c>
      <c r="M129" s="18" t="s">
        <v>157</v>
      </c>
      <c r="N129" s="18" t="s">
        <v>218</v>
      </c>
      <c r="O129" s="18" t="s">
        <v>32</v>
      </c>
      <c r="Q129" s="79" cm="1">
        <f t="array" ref="Q129">IF(Q94="-","-",
IF(ROUND(Q94,8)=ROUND(
((SUMIFS(Calc_Variable_2[Ausnet],Calc_Variable_2[[Customer type]:[Customer type]],"All")+SUMIFS(Calc_Variable_2[Ausnet],Calc_Variable_2[[Customer type]:[Customer type]],OP_Rates!$O129)+
SUMIFS(Calc_NetworkV_2[Ausnet],Calc_NetworkV_2[[Customer type]:[Customer type]],OP_Rates!$O129,Calc_NetworkV_2[[Cost item]:[Cost item]],OP_Rates!$M129))*(1+Calc_ROM_2[Ausnet]))*(1+GST),8),0,1))</f>
        <v>0</v>
      </c>
      <c r="R129" s="79" t="str" cm="1">
        <f t="array" ref="R129">IF(R94="-","-",
IF(ROUND(R94,8)=ROUND(
((SUMIFS(Calc_Variable_2[Citipower],Calc_Variable_2[[Customer type]:[Customer type]],"All")+SUMIFS(Calc_Variable_2[Citipower],Calc_Variable_2[[Customer type]:[Customer type]],OP_Rates!$O129)+
SUMIFS(Calc_NetworkV_2[Citipower],Calc_NetworkV_2[[Customer type]:[Customer type]],OP_Rates!$O129,Calc_NetworkV_2[[Cost item]:[Cost item]],OP_Rates!$M129))*(1+Calc_ROM_2[Citipower]))*(1+GST),8),0,1))</f>
        <v>-</v>
      </c>
      <c r="S129" s="79" t="str" cm="1">
        <f t="array" ref="S129">IF(S94="-","-",
IF(ROUND(S94,8)=ROUND(
((SUMIFS(Calc_Variable_2[Jemena],Calc_Variable_2[[Customer type]:[Customer type]],"All")+SUMIFS(Calc_Variable_2[Jemena],Calc_Variable_2[[Customer type]:[Customer type]],OP_Rates!$O129)+
SUMIFS(Calc_NetworkV_2[Jemena],Calc_NetworkV_2[[Customer type]:[Customer type]],OP_Rates!$O129,Calc_NetworkV_2[[Cost item]:[Cost item]],OP_Rates!$M129))*(1+Calc_ROM_2[Jemena]))*(1+GST),8),0,1))</f>
        <v>-</v>
      </c>
      <c r="T129" s="79" t="str" cm="1">
        <f t="array" ref="T129">IF(T94="-","-",
IF(ROUND(T94,8)=ROUND(
((SUMIFS(Calc_Variable_2[Powercor],Calc_Variable_2[[Customer type]:[Customer type]],"All")+SUMIFS(Calc_Variable_2[Powercor],Calc_Variable_2[[Customer type]:[Customer type]],OP_Rates!$O129)+
SUMIFS(Calc_NetworkV_2[Powercor],Calc_NetworkV_2[[Customer type]:[Customer type]],OP_Rates!$O129,Calc_NetworkV_2[[Cost item]:[Cost item]],OP_Rates!$M129))*(1+Calc_ROM_2[Powercor]))*(1+GST),8),0,1))</f>
        <v>-</v>
      </c>
      <c r="U129" s="79" t="str" cm="1">
        <f t="array" ref="U129">IF(U94="-","-",
IF(ROUND(U94,8)=ROUND(
((SUMIFS(Calc_Variable_2[United Energy],Calc_Variable_2[[Customer type]:[Customer type]],"All")+SUMIFS(Calc_Variable_2[United Energy],Calc_Variable_2[[Customer type]:[Customer type]],OP_Rates!$O129)+
SUMIFS(Calc_NetworkV_2[United Energy],Calc_NetworkV_2[[Customer type]:[Customer type]],OP_Rates!$O129,Calc_NetworkV_2[[Cost item]:[Cost item]],OP_Rates!$M129))*(1+Calc_ROM_2[United Energy]))*(1+GST),8),0,1))</f>
        <v>-</v>
      </c>
    </row>
    <row r="130" spans="3:21" ht="15.75" hidden="1" outlineLevel="2" x14ac:dyDescent="0.25">
      <c r="C130" s="18" t="s">
        <v>164</v>
      </c>
      <c r="D130" s="18" t="s">
        <v>218</v>
      </c>
      <c r="E130" s="18" t="s">
        <v>31</v>
      </c>
      <c r="G130" s="79" cm="1">
        <f t="array" ref="G130">IF(G95="-","-",
IF(ROUND(G95,8)=ROUND(
((SUMIFS(Calc_Variable_2[Ausnet],Calc_Variable_2[[Customer type]:[Customer type]],"All")+
SUMIFS(Calc_Variable_2[Ausnet],Calc_Variable_2[[Customer type]:[Customer type]],OP_Rates!$E130)+
SUMIFS(Calc_NetworkV_2[Ausnet],Calc_NetworkV_2[[Customer type]:[Customer type]],OP_Rates!$E130,Calc_NetworkV_2[[Cost item]:[Cost item]],OP_Rates!$C130))*(1+Calc_ROM_2[Ausnet]))*(1+GST),8),0,1))</f>
        <v>0</v>
      </c>
      <c r="H130" s="79" t="str" cm="1">
        <f t="array" ref="H130">IF(H95="-","-",
IF(ROUND(H95,8)=ROUND(
((SUMIFS(Calc_Variable_2[Citipower],Calc_Variable_2[[Customer type]:[Customer type]],"All")+
SUMIFS(Calc_Variable_2[Citipower],Calc_Variable_2[[Customer type]:[Customer type]],OP_Rates!$E130)+
SUMIFS(Calc_NetworkV_2[Citipower],Calc_NetworkV_2[[Customer type]:[Customer type]],OP_Rates!$E130,Calc_NetworkV_2[[Cost item]:[Cost item]],OP_Rates!$C130))*(1+Calc_ROM_2[Citipower]))*(1+GST),8),0,1))</f>
        <v>-</v>
      </c>
      <c r="I130" s="79" t="str" cm="1">
        <f t="array" ref="I130">IF(I95="-","-",
IF(ROUND(I95,8)=ROUND(
((SUMIFS(Calc_Variable_2[Jemena],Calc_Variable_2[[Customer type]:[Customer type]],"All")+
SUMIFS(Calc_Variable_2[Jemena],Calc_Variable_2[[Customer type]:[Customer type]],OP_Rates!$E130)+
SUMIFS(Calc_NetworkV_2[Jemena],Calc_NetworkV_2[[Customer type]:[Customer type]],OP_Rates!$E130,Calc_NetworkV_2[[Cost item]:[Cost item]],OP_Rates!$C130))*(1+Calc_ROM_2[Jemena]))*(1+GST),8),0,1))</f>
        <v>-</v>
      </c>
      <c r="J130" s="79" t="str" cm="1">
        <f t="array" ref="J130">IF(J95="-","-",
IF(ROUND(J95,8)=ROUND(
((SUMIFS(Calc_Variable_2[Powercor],Calc_Variable_2[[Customer type]:[Customer type]],"All")+
SUMIFS(Calc_Variable_2[Powercor],Calc_Variable_2[[Customer type]:[Customer type]],OP_Rates!$E130)+
SUMIFS(Calc_NetworkV_2[Powercor],Calc_NetworkV_2[[Customer type]:[Customer type]],OP_Rates!$E130,Calc_NetworkV_2[[Cost item]:[Cost item]],OP_Rates!$C130))*(1+Calc_ROM_2[Powercor]))*(1+GST),8),0,1))</f>
        <v>-</v>
      </c>
      <c r="K130" s="79" t="str" cm="1">
        <f t="array" ref="K130">IF(K95="-","-",
IF(ROUND(K95,8)=ROUND(
((SUMIFS(Calc_Variable_2[United Energy],Calc_Variable_2[[Customer type]:[Customer type]],"All")+
SUMIFS(Calc_Variable_2[United Energy],Calc_Variable_2[[Customer type]:[Customer type]],OP_Rates!$E130)+
SUMIFS(Calc_NetworkV_2[United Energy],Calc_NetworkV_2[[Customer type]:[Customer type]],OP_Rates!$E130,Calc_NetworkV_2[[Cost item]:[Cost item]],OP_Rates!$C130))*(1+Calc_ROM_2[United Energy]))*(1+GST),8),0,1))</f>
        <v>-</v>
      </c>
      <c r="M130" s="18" t="s">
        <v>164</v>
      </c>
      <c r="N130" s="18" t="s">
        <v>218</v>
      </c>
      <c r="O130" s="18" t="s">
        <v>32</v>
      </c>
      <c r="Q130" s="79" cm="1">
        <f t="array" ref="Q130">IF(Q95="-","-",
IF(ROUND(Q95,8)=ROUND(
((SUMIFS(Calc_Variable_2[Ausnet],Calc_Variable_2[[Customer type]:[Customer type]],"All")+SUMIFS(Calc_Variable_2[Ausnet],Calc_Variable_2[[Customer type]:[Customer type]],OP_Rates!$O130)+
SUMIFS(Calc_NetworkV_2[Ausnet],Calc_NetworkV_2[[Customer type]:[Customer type]],OP_Rates!$O130,Calc_NetworkV_2[[Cost item]:[Cost item]],OP_Rates!$M130))*(1+Calc_ROM_2[Ausnet]))*(1+GST),8),0,1))</f>
        <v>0</v>
      </c>
      <c r="R130" s="79" t="str" cm="1">
        <f t="array" ref="R130">IF(R95="-","-",
IF(ROUND(R95,8)=ROUND(
((SUMIFS(Calc_Variable_2[Citipower],Calc_Variable_2[[Customer type]:[Customer type]],"All")+SUMIFS(Calc_Variable_2[Citipower],Calc_Variable_2[[Customer type]:[Customer type]],OP_Rates!$O130)+
SUMIFS(Calc_NetworkV_2[Citipower],Calc_NetworkV_2[[Customer type]:[Customer type]],OP_Rates!$O130,Calc_NetworkV_2[[Cost item]:[Cost item]],OP_Rates!$M130))*(1+Calc_ROM_2[Citipower]))*(1+GST),8),0,1))</f>
        <v>-</v>
      </c>
      <c r="S130" s="79" t="str" cm="1">
        <f t="array" ref="S130">IF(S95="-","-",
IF(ROUND(S95,8)=ROUND(
((SUMIFS(Calc_Variable_2[Jemena],Calc_Variable_2[[Customer type]:[Customer type]],"All")+SUMIFS(Calc_Variable_2[Jemena],Calc_Variable_2[[Customer type]:[Customer type]],OP_Rates!$O130)+
SUMIFS(Calc_NetworkV_2[Jemena],Calc_NetworkV_2[[Customer type]:[Customer type]],OP_Rates!$O130,Calc_NetworkV_2[[Cost item]:[Cost item]],OP_Rates!$M130))*(1+Calc_ROM_2[Jemena]))*(1+GST),8),0,1))</f>
        <v>-</v>
      </c>
      <c r="T130" s="79" t="str" cm="1">
        <f t="array" ref="T130">IF(T95="-","-",
IF(ROUND(T95,8)=ROUND(
((SUMIFS(Calc_Variable_2[Powercor],Calc_Variable_2[[Customer type]:[Customer type]],"All")+SUMIFS(Calc_Variable_2[Powercor],Calc_Variable_2[[Customer type]:[Customer type]],OP_Rates!$O130)+
SUMIFS(Calc_NetworkV_2[Powercor],Calc_NetworkV_2[[Customer type]:[Customer type]],OP_Rates!$O130,Calc_NetworkV_2[[Cost item]:[Cost item]],OP_Rates!$M130))*(1+Calc_ROM_2[Powercor]))*(1+GST),8),0,1))</f>
        <v>-</v>
      </c>
      <c r="U130" s="79" t="str" cm="1">
        <f t="array" ref="U130">IF(U95="-","-",
IF(ROUND(U95,8)=ROUND(
((SUMIFS(Calc_Variable_2[United Energy],Calc_Variable_2[[Customer type]:[Customer type]],"All")+SUMIFS(Calc_Variable_2[United Energy],Calc_Variable_2[[Customer type]:[Customer type]],OP_Rates!$O130)+
SUMIFS(Calc_NetworkV_2[United Energy],Calc_NetworkV_2[[Customer type]:[Customer type]],OP_Rates!$O130,Calc_NetworkV_2[[Cost item]:[Cost item]],OP_Rates!$M130))*(1+Calc_ROM_2[United Energy]))*(1+GST),8),0,1))</f>
        <v>-</v>
      </c>
    </row>
    <row r="131" spans="3:21" ht="15.75" hidden="1" outlineLevel="2" x14ac:dyDescent="0.25">
      <c r="C131" s="18" t="s">
        <v>338</v>
      </c>
      <c r="D131" s="18" t="s">
        <v>218</v>
      </c>
      <c r="E131" s="18" t="s">
        <v>31</v>
      </c>
      <c r="G131" s="79" t="str" cm="1">
        <f t="array" ref="G131">IF(G96="-","-",
IF(ROUND(G96,8)=ROUND(
((SUMIFS(Calc_Variable_2[Ausnet],Calc_Variable_2[[Customer type]:[Customer type]],"All")+
SUMIFS(Calc_Variable_2[Ausnet],Calc_Variable_2[[Customer type]:[Customer type]],OP_Rates!$E131)+
SUMIFS(Calc_NetworkV_2[Ausnet],Calc_NetworkV_2[[Customer type]:[Customer type]],OP_Rates!$E131,Calc_NetworkV_2[[Cost item]:[Cost item]],OP_Rates!$C131))*(1+Calc_ROM_2[Ausnet]))*(1+GST),8),0,1))</f>
        <v>-</v>
      </c>
      <c r="H131" s="79" cm="1">
        <f t="array" ref="H131">IF(H96="-","-",
IF(ROUND(H96,8)=ROUND(
((SUMIFS(Calc_Variable_2[Citipower],Calc_Variable_2[[Customer type]:[Customer type]],"All")+
SUMIFS(Calc_Variable_2[Citipower],Calc_Variable_2[[Customer type]:[Customer type]],OP_Rates!$E131)+
SUMIFS(Calc_NetworkV_2[Citipower],Calc_NetworkV_2[[Customer type]:[Customer type]],OP_Rates!$E131,Calc_NetworkV_2[[Cost item]:[Cost item]],OP_Rates!$C131))*(1+Calc_ROM_2[Citipower]))*(1+GST),8),0,1))</f>
        <v>0</v>
      </c>
      <c r="I131" s="79" cm="1">
        <f t="array" ref="I131">IF(I96="-","-",
IF(ROUND(I96,8)=ROUND(
((SUMIFS(Calc_Variable_2[Jemena],Calc_Variable_2[[Customer type]:[Customer type]],"All")+
SUMIFS(Calc_Variable_2[Jemena],Calc_Variable_2[[Customer type]:[Customer type]],OP_Rates!$E131)+
SUMIFS(Calc_NetworkV_2[Jemena],Calc_NetworkV_2[[Customer type]:[Customer type]],OP_Rates!$E131,Calc_NetworkV_2[[Cost item]:[Cost item]],OP_Rates!$C131))*(1+Calc_ROM_2[Jemena]))*(1+GST),8),0,1))</f>
        <v>0</v>
      </c>
      <c r="J131" s="79" cm="1">
        <f t="array" ref="J131">IF(J96="-","-",
IF(ROUND(J96,8)=ROUND(
((SUMIFS(Calc_Variable_2[Powercor],Calc_Variable_2[[Customer type]:[Customer type]],"All")+
SUMIFS(Calc_Variable_2[Powercor],Calc_Variable_2[[Customer type]:[Customer type]],OP_Rates!$E131)+
SUMIFS(Calc_NetworkV_2[Powercor],Calc_NetworkV_2[[Customer type]:[Customer type]],OP_Rates!$E131,Calc_NetworkV_2[[Cost item]:[Cost item]],OP_Rates!$C131))*(1+Calc_ROM_2[Powercor]))*(1+GST),8),0,1))</f>
        <v>0</v>
      </c>
      <c r="K131" s="79" cm="1">
        <f t="array" ref="K131">IF(K96="-","-",
IF(ROUND(K96,8)=ROUND(
((SUMIFS(Calc_Variable_2[United Energy],Calc_Variable_2[[Customer type]:[Customer type]],"All")+
SUMIFS(Calc_Variable_2[United Energy],Calc_Variable_2[[Customer type]:[Customer type]],OP_Rates!$E131)+
SUMIFS(Calc_NetworkV_2[United Energy],Calc_NetworkV_2[[Customer type]:[Customer type]],OP_Rates!$E131,Calc_NetworkV_2[[Cost item]:[Cost item]],OP_Rates!$C131))*(1+Calc_ROM_2[United Energy]))*(1+GST),8),0,1))</f>
        <v>0</v>
      </c>
      <c r="M131" s="18" t="s">
        <v>338</v>
      </c>
      <c r="N131" s="18" t="s">
        <v>218</v>
      </c>
      <c r="O131" s="18" t="s">
        <v>32</v>
      </c>
      <c r="Q131" s="79" t="str" cm="1">
        <f t="array" ref="Q131">IF(Q96="-","-",
IF(ROUND(Q96,8)=ROUND(
((SUMIFS(Calc_Variable_2[Ausnet],Calc_Variable_2[[Customer type]:[Customer type]],"All")+SUMIFS(Calc_Variable_2[Ausnet],Calc_Variable_2[[Customer type]:[Customer type]],OP_Rates!$O131)+
SUMIFS(Calc_NetworkV_2[Ausnet],Calc_NetworkV_2[[Customer type]:[Customer type]],OP_Rates!$O131,Calc_NetworkV_2[[Cost item]:[Cost item]],OP_Rates!$M131))*(1+Calc_ROM_2[Ausnet]))*(1+GST),8),0,1))</f>
        <v>-</v>
      </c>
      <c r="R131" s="79" cm="1">
        <f t="array" ref="R131">IF(R96="-","-",
IF(ROUND(R96,8)=ROUND(
((SUMIFS(Calc_Variable_2[Citipower],Calc_Variable_2[[Customer type]:[Customer type]],"All")+SUMIFS(Calc_Variable_2[Citipower],Calc_Variable_2[[Customer type]:[Customer type]],OP_Rates!$O131)+
SUMIFS(Calc_NetworkV_2[Citipower],Calc_NetworkV_2[[Customer type]:[Customer type]],OP_Rates!$O131,Calc_NetworkV_2[[Cost item]:[Cost item]],OP_Rates!$M131))*(1+Calc_ROM_2[Citipower]))*(1+GST),8),0,1))</f>
        <v>0</v>
      </c>
      <c r="S131" s="79" cm="1">
        <f t="array" ref="S131">IF(S96="-","-",
IF(ROUND(S96,8)=ROUND(
((SUMIFS(Calc_Variable_2[Jemena],Calc_Variable_2[[Customer type]:[Customer type]],"All")+SUMIFS(Calc_Variable_2[Jemena],Calc_Variable_2[[Customer type]:[Customer type]],OP_Rates!$O131)+
SUMIFS(Calc_NetworkV_2[Jemena],Calc_NetworkV_2[[Customer type]:[Customer type]],OP_Rates!$O131,Calc_NetworkV_2[[Cost item]:[Cost item]],OP_Rates!$M131))*(1+Calc_ROM_2[Jemena]))*(1+GST),8),0,1))</f>
        <v>0</v>
      </c>
      <c r="T131" s="79" cm="1">
        <f t="array" ref="T131">IF(T96="-","-",
IF(ROUND(T96,8)=ROUND(
((SUMIFS(Calc_Variable_2[Powercor],Calc_Variable_2[[Customer type]:[Customer type]],"All")+SUMIFS(Calc_Variable_2[Powercor],Calc_Variable_2[[Customer type]:[Customer type]],OP_Rates!$O131)+
SUMIFS(Calc_NetworkV_2[Powercor],Calc_NetworkV_2[[Customer type]:[Customer type]],OP_Rates!$O131,Calc_NetworkV_2[[Cost item]:[Cost item]],OP_Rates!$M131))*(1+Calc_ROM_2[Powercor]))*(1+GST),8),0,1))</f>
        <v>0</v>
      </c>
      <c r="U131" s="79" cm="1">
        <f t="array" ref="U131">IF(U96="-","-",
IF(ROUND(U96,8)=ROUND(
((SUMIFS(Calc_Variable_2[United Energy],Calc_Variable_2[[Customer type]:[Customer type]],"All")+SUMIFS(Calc_Variable_2[United Energy],Calc_Variable_2[[Customer type]:[Customer type]],OP_Rates!$O131)+
SUMIFS(Calc_NetworkV_2[United Energy],Calc_NetworkV_2[[Customer type]:[Customer type]],OP_Rates!$O131,Calc_NetworkV_2[[Cost item]:[Cost item]],OP_Rates!$M131))*(1+Calc_ROM_2[United Energy]))*(1+GST),8),0,1))</f>
        <v>0</v>
      </c>
    </row>
    <row r="132" spans="3:21" ht="15.75" hidden="1" outlineLevel="2" x14ac:dyDescent="0.25">
      <c r="C132" s="18" t="s">
        <v>340</v>
      </c>
      <c r="D132" s="18" t="s">
        <v>45</v>
      </c>
      <c r="E132" s="18" t="s">
        <v>31</v>
      </c>
      <c r="G132" s="79" cm="1">
        <f t="array" ref="G132">IF(G97="-","-",
IF(ROUND(G97,8)=
ROUND((((SUMIFS(Calc_NetworkF_2[Ausnet],Calc_NetworkF_2[[Cost item]:[Cost item]],$C132,Calc_NetworkF_2[[Customer type]:[Customer type]],$E132)+SUMIFS(Calc_Fixed_2[Ausnet],Calc_Fixed_2[[Customer type]:[Customer type]],"All")+SUMIFS(Calc_Fixed_2[Ausnet],Calc_Fixed_2[[Customer type]:[Customer type]],$E132))/DiY)*(1+Calc_ROM_2[Ausnet]))*(1+GST),8),0,1))</f>
        <v>0</v>
      </c>
      <c r="H132" s="79" cm="1">
        <f t="array" ref="H132">IF(H97="-","-",
IF(ROUND(H97,8)=
ROUND((((SUMIFS(Calc_NetworkF_2[Citipower],Calc_NetworkF_2[[Cost item]:[Cost item]],$C132,Calc_NetworkF_2[[Customer type]:[Customer type]],$E132)+SUMIFS(Calc_Fixed_2[Citipower],Calc_Fixed_2[[Customer type]:[Customer type]],"All")+SUMIFS(Calc_Fixed_2[Citipower],Calc_Fixed_2[[Customer type]:[Customer type]],$E132))/DiY)*(1+Calc_ROM_2[Citipower]))*(1+GST),8),0,1))</f>
        <v>0</v>
      </c>
      <c r="I132" s="79" cm="1">
        <f t="array" ref="I132">IF(I97="-","-",
IF(ROUND(I97,8)=
ROUND((((SUMIFS(Calc_NetworkF_2[Jemena],Calc_NetworkF_2[[Cost item]:[Cost item]],$C132,Calc_NetworkF_2[[Customer type]:[Customer type]],$E132)+SUMIFS(Calc_Fixed_2[Jemena],Calc_Fixed_2[[Customer type]:[Customer type]],"All")+SUMIFS(Calc_Fixed_2[Jemena],Calc_Fixed_2[[Customer type]:[Customer type]],$E132))/DiY)*(1+Calc_ROM_2[Jemena]))*(1+GST),8),0,1))</f>
        <v>0</v>
      </c>
      <c r="J132" s="79" cm="1">
        <f t="array" ref="J132">IF(J97="-","-",
IF(ROUND(J97,8)=
ROUND((((SUMIFS(Calc_NetworkF_2[Powercor],Calc_NetworkF_2[[Cost item]:[Cost item]],$C132,Calc_NetworkF_2[[Customer type]:[Customer type]],$E132)+SUMIFS(Calc_Fixed_2[Powercor],Calc_Fixed_2[[Customer type]:[Customer type]],"All")+SUMIFS(Calc_Fixed_2[Powercor],Calc_Fixed_2[[Customer type]:[Customer type]],$E132))/DiY)*(1+Calc_ROM_2[Powercor]))*(1+GST),8),0,1))</f>
        <v>0</v>
      </c>
      <c r="K132" s="79" cm="1">
        <f t="array" ref="K132">IF(K97="-","-",
IF(ROUND(K97,8)=
ROUND((((SUMIFS(Calc_NetworkF_2[United Energy],Calc_NetworkF_2[[Cost item]:[Cost item]],$C132,Calc_NetworkF_2[[Customer type]:[Customer type]],$E132)+SUMIFS(Calc_Fixed_2[United Energy],Calc_Fixed_2[[Customer type]:[Customer type]],"All")+SUMIFS(Calc_Fixed_2[United Energy],Calc_Fixed_2[[Customer type]:[Customer type]],$E132))/DiY)*(1+Calc_ROM_2[United Energy]))*(1+GST),8),0,1))</f>
        <v>0</v>
      </c>
      <c r="M132" s="18" t="s">
        <v>340</v>
      </c>
      <c r="N132" s="18" t="s">
        <v>45</v>
      </c>
      <c r="O132" s="18" t="s">
        <v>32</v>
      </c>
      <c r="Q132" s="79" cm="1">
        <f t="array" ref="Q132">IF(Q97="-","-",
IF(ROUND(Q97,8)=
ROUND((((SUMIFS(Calc_NetworkF_2[Ausnet],Calc_NetworkF_2[[Cost item]:[Cost item]],$M132,Calc_NetworkF_2[[Customer type]:[Customer type]],$O132)+SUMIFS(Calc_Fixed_2[Ausnet],Calc_Fixed_2[[Customer type]:[Customer type]],"All")+SUMIFS(Calc_Fixed_2[Ausnet],Calc_Fixed_2[[Customer type]:[Customer type]],$O132))/DiY)*(1+Calc_ROM_2[Ausnet]))*(1+GST),8),0,1))</f>
        <v>0</v>
      </c>
      <c r="R132" s="79" cm="1">
        <f t="array" ref="R132">IF(R97="-","-",
IF(ROUND(R97,8)=
ROUND((((SUMIFS(Calc_NetworkF_2[Citipower],Calc_NetworkF_2[[Cost item]:[Cost item]],$M132,Calc_NetworkF_2[[Customer type]:[Customer type]],$O132)+SUMIFS(Calc_Fixed_2[Citipower],Calc_Fixed_2[[Customer type]:[Customer type]],"All")+SUMIFS(Calc_Fixed_2[Citipower],Calc_Fixed_2[[Customer type]:[Customer type]],$O132))/DiY)*(1+Calc_ROM_2[Citipower]))*(1+GST),8),0,1))</f>
        <v>0</v>
      </c>
      <c r="S132" s="79" cm="1">
        <f t="array" ref="S132">IF(S97="-","-",
IF(ROUND(S97,8)=
ROUND((((SUMIFS(Calc_NetworkF_2[Jemena],Calc_NetworkF_2[[Cost item]:[Cost item]],$M132,Calc_NetworkF_2[[Customer type]:[Customer type]],$O132)+SUMIFS(Calc_Fixed_2[Jemena],Calc_Fixed_2[[Customer type]:[Customer type]],"All")+SUMIFS(Calc_Fixed_2[Jemena],Calc_Fixed_2[[Customer type]:[Customer type]],$O132))/DiY)*(1+Calc_ROM_2[Jemena]))*(1+GST),8),0,1))</f>
        <v>0</v>
      </c>
      <c r="T132" s="79" cm="1">
        <f t="array" ref="T132">IF(T97="-","-",
IF(ROUND(T97,8)=
ROUND((((SUMIFS(Calc_NetworkF_2[Powercor],Calc_NetworkF_2[[Cost item]:[Cost item]],$M132,Calc_NetworkF_2[[Customer type]:[Customer type]],$O132)+SUMIFS(Calc_Fixed_2[Powercor],Calc_Fixed_2[[Customer type]:[Customer type]],"All")+SUMIFS(Calc_Fixed_2[Powercor],Calc_Fixed_2[[Customer type]:[Customer type]],$O132))/DiY)*(1+Calc_ROM_2[Powercor]))*(1+GST),8),0,1))</f>
        <v>0</v>
      </c>
      <c r="U132" s="79" cm="1">
        <f t="array" ref="U132">IF(U97="-","-",
IF(ROUND(U97,8)=
ROUND((((SUMIFS(Calc_NetworkF_2[United Energy],Calc_NetworkF_2[[Cost item]:[Cost item]],$M132,Calc_NetworkF_2[[Customer type]:[Customer type]],$O132)+SUMIFS(Calc_Fixed_2[United Energy],Calc_Fixed_2[[Customer type]:[Customer type]],"All")+SUMIFS(Calc_Fixed_2[United Energy],Calc_Fixed_2[[Customer type]:[Customer type]],$O132))/DiY)*(1+Calc_ROM_2[United Energy]))*(1+GST),8),0,1))</f>
        <v>0</v>
      </c>
    </row>
    <row r="133" spans="3:21" ht="15.75" hidden="1" outlineLevel="2" x14ac:dyDescent="0.25">
      <c r="C133" s="18" t="s">
        <v>166</v>
      </c>
      <c r="D133" s="18" t="s">
        <v>218</v>
      </c>
      <c r="E133" s="18" t="s">
        <v>31</v>
      </c>
      <c r="G133" s="79" cm="1">
        <f t="array" ref="G133">IF(G98="-","-",
IF(ROUND(G98,8)=ROUND(
((SUMIFS(Calc_Variable_2[Ausnet],Calc_Variable_2[[Customer type]:[Customer type]],"All")+
SUMIFS(Calc_Variable_2[Ausnet],Calc_Variable_2[[Customer type]:[Customer type]],OP_Rates!$E133)+
SUMIFS(Calc_NetworkV_2[Ausnet],Calc_NetworkV_2[[Customer type]:[Customer type]],OP_Rates!$E133,Calc_NetworkV_2[[Cost item]:[Cost item]],OP_Rates!$C133))*(1+Calc_ROM_2[Ausnet]))*(1+GST),8),0,1))</f>
        <v>0</v>
      </c>
      <c r="H133" s="79" cm="1">
        <f t="array" ref="H133">IF(H98="-","-",
IF(ROUND(H98,8)=ROUND(
((SUMIFS(Calc_Variable_2[Citipower],Calc_Variable_2[[Customer type]:[Customer type]],"All")+
SUMIFS(Calc_Variable_2[Citipower],Calc_Variable_2[[Customer type]:[Customer type]],OP_Rates!$E133)+
SUMIFS(Calc_NetworkV_2[Citipower],Calc_NetworkV_2[[Customer type]:[Customer type]],OP_Rates!$E133,Calc_NetworkV_2[[Cost item]:[Cost item]],OP_Rates!$C133))*(1+Calc_ROM_2[Citipower]))*(1+GST),8),0,1))</f>
        <v>0</v>
      </c>
      <c r="I133" s="79" cm="1">
        <f t="array" ref="I133">IF(I98="-","-",
IF(ROUND(I98,8)=ROUND(
((SUMIFS(Calc_Variable_2[Jemena],Calc_Variable_2[[Customer type]:[Customer type]],"All")+
SUMIFS(Calc_Variable_2[Jemena],Calc_Variable_2[[Customer type]:[Customer type]],OP_Rates!$E133)+
SUMIFS(Calc_NetworkV_2[Jemena],Calc_NetworkV_2[[Customer type]:[Customer type]],OP_Rates!$E133,Calc_NetworkV_2[[Cost item]:[Cost item]],OP_Rates!$C133))*(1+Calc_ROM_2[Jemena]))*(1+GST),8),0,1))</f>
        <v>0</v>
      </c>
      <c r="J133" s="79" cm="1">
        <f t="array" ref="J133">IF(J98="-","-",
IF(ROUND(J98,8)=ROUND(
((SUMIFS(Calc_Variable_2[Powercor],Calc_Variable_2[[Customer type]:[Customer type]],"All")+
SUMIFS(Calc_Variable_2[Powercor],Calc_Variable_2[[Customer type]:[Customer type]],OP_Rates!$E133)+
SUMIFS(Calc_NetworkV_2[Powercor],Calc_NetworkV_2[[Customer type]:[Customer type]],OP_Rates!$E133,Calc_NetworkV_2[[Cost item]:[Cost item]],OP_Rates!$C133))*(1+Calc_ROM_2[Powercor]))*(1+GST),8),0,1))</f>
        <v>0</v>
      </c>
      <c r="K133" s="79" cm="1">
        <f t="array" ref="K133">IF(K98="-","-",
IF(ROUND(K98,8)=ROUND(
((SUMIFS(Calc_Variable_2[United Energy],Calc_Variable_2[[Customer type]:[Customer type]],"All")+
SUMIFS(Calc_Variable_2[United Energy],Calc_Variable_2[[Customer type]:[Customer type]],OP_Rates!$E133)+
SUMIFS(Calc_NetworkV_2[United Energy],Calc_NetworkV_2[[Customer type]:[Customer type]],OP_Rates!$E133,Calc_NetworkV_2[[Cost item]:[Cost item]],OP_Rates!$C133))*(1+Calc_ROM_2[United Energy]))*(1+GST),8),0,1))</f>
        <v>0</v>
      </c>
      <c r="M133" s="18" t="s">
        <v>166</v>
      </c>
      <c r="N133" s="18" t="s">
        <v>218</v>
      </c>
      <c r="O133" s="18" t="s">
        <v>32</v>
      </c>
      <c r="Q133" s="79" cm="1">
        <f t="array" ref="Q133">IF(Q98="-","-",
IF(ROUND(Q98,8)=ROUND(
((SUMIFS(Calc_Variable_2[Ausnet],Calc_Variable_2[[Customer type]:[Customer type]],"All")+SUMIFS(Calc_Variable_2[Ausnet],Calc_Variable_2[[Customer type]:[Customer type]],OP_Rates!$O133)+
SUMIFS(Calc_NetworkV_2[Ausnet],Calc_NetworkV_2[[Customer type]:[Customer type]],OP_Rates!$O133,Calc_NetworkV_2[[Cost item]:[Cost item]],OP_Rates!$M133))*(1+Calc_ROM_2[Ausnet]))*(1+GST),8),0,1))</f>
        <v>0</v>
      </c>
      <c r="R133" s="79" cm="1">
        <f t="array" ref="R133">IF(R98="-","-",
IF(ROUND(R98,8)=ROUND(
((SUMIFS(Calc_Variable_2[Citipower],Calc_Variable_2[[Customer type]:[Customer type]],"All")+SUMIFS(Calc_Variable_2[Citipower],Calc_Variable_2[[Customer type]:[Customer type]],OP_Rates!$O133)+
SUMIFS(Calc_NetworkV_2[Citipower],Calc_NetworkV_2[[Customer type]:[Customer type]],OP_Rates!$O133,Calc_NetworkV_2[[Cost item]:[Cost item]],OP_Rates!$M133))*(1+Calc_ROM_2[Citipower]))*(1+GST),8),0,1))</f>
        <v>0</v>
      </c>
      <c r="S133" s="79" cm="1">
        <f t="array" ref="S133">IF(S98="-","-",
IF(ROUND(S98,8)=ROUND(
((SUMIFS(Calc_Variable_2[Jemena],Calc_Variable_2[[Customer type]:[Customer type]],"All")+SUMIFS(Calc_Variable_2[Jemena],Calc_Variable_2[[Customer type]:[Customer type]],OP_Rates!$O133)+
SUMIFS(Calc_NetworkV_2[Jemena],Calc_NetworkV_2[[Customer type]:[Customer type]],OP_Rates!$O133,Calc_NetworkV_2[[Cost item]:[Cost item]],OP_Rates!$M133))*(1+Calc_ROM_2[Jemena]))*(1+GST),8),0,1))</f>
        <v>0</v>
      </c>
      <c r="T133" s="79" cm="1">
        <f t="array" ref="T133">IF(T98="-","-",
IF(ROUND(T98,8)=ROUND(
((SUMIFS(Calc_Variable_2[Powercor],Calc_Variable_2[[Customer type]:[Customer type]],"All")+SUMIFS(Calc_Variable_2[Powercor],Calc_Variable_2[[Customer type]:[Customer type]],OP_Rates!$O133)+
SUMIFS(Calc_NetworkV_2[Powercor],Calc_NetworkV_2[[Customer type]:[Customer type]],OP_Rates!$O133,Calc_NetworkV_2[[Cost item]:[Cost item]],OP_Rates!$M133))*(1+Calc_ROM_2[Powercor]))*(1+GST),8),0,1))</f>
        <v>0</v>
      </c>
      <c r="U133" s="79" cm="1">
        <f t="array" ref="U133">IF(U98="-","-",
IF(ROUND(U98,8)=ROUND(
((SUMIFS(Calc_Variable_2[United Energy],Calc_Variable_2[[Customer type]:[Customer type]],"All")+SUMIFS(Calc_Variable_2[United Energy],Calc_Variable_2[[Customer type]:[Customer type]],OP_Rates!$O133)+
SUMIFS(Calc_NetworkV_2[United Energy],Calc_NetworkV_2[[Customer type]:[Customer type]],OP_Rates!$O133,Calc_NetworkV_2[[Cost item]:[Cost item]],OP_Rates!$M133))*(1+Calc_ROM_2[United Energy]))*(1+GST),8),0,1))</f>
        <v>0</v>
      </c>
    </row>
    <row r="134" spans="3:21" ht="15.75" hidden="1" outlineLevel="2" x14ac:dyDescent="0.25">
      <c r="C134" s="18" t="s">
        <v>370</v>
      </c>
      <c r="D134" s="18" t="s">
        <v>218</v>
      </c>
      <c r="E134" s="18" t="s">
        <v>31</v>
      </c>
      <c r="G134" s="79" cm="1">
        <f t="array" ref="G134">IF(G99="-","-",
IF(ROUND(G99,8)=ROUND(
((SUMIFS(Calc_Variable_2[Ausnet],Calc_Variable_2[[Customer type]:[Customer type]],"All")+
SUMIFS(Calc_Variable_2[Ausnet],Calc_Variable_2[[Customer type]:[Customer type]],OP_Rates!$E134)+
SUMIFS(Calc_NetworkV_2[Ausnet],Calc_NetworkV_2[[Customer type]:[Customer type]],OP_Rates!$E134,Calc_NetworkV_2[[Cost item]:[Cost item]],OP_Rates!$C134))*(1+Calc_ROM_2[Ausnet]))*(1+GST),8),0,1))</f>
        <v>0</v>
      </c>
      <c r="H134" s="79" cm="1">
        <f t="array" ref="H134">IF(H99="-","-",
IF(ROUND(H99,8)=ROUND(
((SUMIFS(Calc_Variable_2[Citipower],Calc_Variable_2[[Customer type]:[Customer type]],"All")+
SUMIFS(Calc_Variable_2[Citipower],Calc_Variable_2[[Customer type]:[Customer type]],OP_Rates!$E134)+
SUMIFS(Calc_NetworkV_2[Citipower],Calc_NetworkV_2[[Customer type]:[Customer type]],OP_Rates!$E134,Calc_NetworkV_2[[Cost item]:[Cost item]],OP_Rates!$C134))*(1+Calc_ROM_2[Citipower]))*(1+GST),8),0,1))</f>
        <v>0</v>
      </c>
      <c r="I134" s="79" cm="1">
        <f t="array" ref="I134">IF(I99="-","-",
IF(ROUND(I99,8)=ROUND(
((SUMIFS(Calc_Variable_2[Jemena],Calc_Variable_2[[Customer type]:[Customer type]],"All")+
SUMIFS(Calc_Variable_2[Jemena],Calc_Variable_2[[Customer type]:[Customer type]],OP_Rates!$E134)+
SUMIFS(Calc_NetworkV_2[Jemena],Calc_NetworkV_2[[Customer type]:[Customer type]],OP_Rates!$E134,Calc_NetworkV_2[[Cost item]:[Cost item]],OP_Rates!$C134))*(1+Calc_ROM_2[Jemena]))*(1+GST),8),0,1))</f>
        <v>0</v>
      </c>
      <c r="J134" s="79" cm="1">
        <f t="array" ref="J134">IF(J99="-","-",
IF(ROUND(J99,8)=ROUND(
((SUMIFS(Calc_Variable_2[Powercor],Calc_Variable_2[[Customer type]:[Customer type]],"All")+
SUMIFS(Calc_Variable_2[Powercor],Calc_Variable_2[[Customer type]:[Customer type]],OP_Rates!$E134)+
SUMIFS(Calc_NetworkV_2[Powercor],Calc_NetworkV_2[[Customer type]:[Customer type]],OP_Rates!$E134,Calc_NetworkV_2[[Cost item]:[Cost item]],OP_Rates!$C134))*(1+Calc_ROM_2[Powercor]))*(1+GST),8),0,1))</f>
        <v>0</v>
      </c>
      <c r="K134" s="79" cm="1">
        <f t="array" ref="K134">IF(K99="-","-",
IF(ROUND(K99,8)=ROUND(
((SUMIFS(Calc_Variable_2[United Energy],Calc_Variable_2[[Customer type]:[Customer type]],"All")+
SUMIFS(Calc_Variable_2[United Energy],Calc_Variable_2[[Customer type]:[Customer type]],OP_Rates!$E134)+
SUMIFS(Calc_NetworkV_2[United Energy],Calc_NetworkV_2[[Customer type]:[Customer type]],OP_Rates!$E134,Calc_NetworkV_2[[Cost item]:[Cost item]],OP_Rates!$C134))*(1+Calc_ROM_2[United Energy]))*(1+GST),8),0,1))</f>
        <v>0</v>
      </c>
      <c r="M134" s="18" t="s">
        <v>370</v>
      </c>
      <c r="N134" s="18" t="s">
        <v>218</v>
      </c>
      <c r="O134" s="18" t="s">
        <v>32</v>
      </c>
      <c r="Q134" s="79" cm="1">
        <f t="array" ref="Q134">IF(Q99="-","-",
IF(ROUND(Q99,8)=ROUND(
((SUMIFS(Calc_Variable_2[Ausnet],Calc_Variable_2[[Customer type]:[Customer type]],"All")+SUMIFS(Calc_Variable_2[Ausnet],Calc_Variable_2[[Customer type]:[Customer type]],OP_Rates!$O134)+
SUMIFS(Calc_NetworkV_2[Ausnet],Calc_NetworkV_2[[Customer type]:[Customer type]],OP_Rates!$O134,Calc_NetworkV_2[[Cost item]:[Cost item]],OP_Rates!$M134))*(1+Calc_ROM_2[Ausnet]))*(1+GST),8),0,1))</f>
        <v>0</v>
      </c>
      <c r="R134" s="79" cm="1">
        <f t="array" ref="R134">IF(R99="-","-",
IF(ROUND(R99,8)=ROUND(
((SUMIFS(Calc_Variable_2[Citipower],Calc_Variable_2[[Customer type]:[Customer type]],"All")+SUMIFS(Calc_Variable_2[Citipower],Calc_Variable_2[[Customer type]:[Customer type]],OP_Rates!$O134)+
SUMIFS(Calc_NetworkV_2[Citipower],Calc_NetworkV_2[[Customer type]:[Customer type]],OP_Rates!$O134,Calc_NetworkV_2[[Cost item]:[Cost item]],OP_Rates!$M134))*(1+Calc_ROM_2[Citipower]))*(1+GST),8),0,1))</f>
        <v>0</v>
      </c>
      <c r="S134" s="79" cm="1">
        <f t="array" ref="S134">IF(S99="-","-",
IF(ROUND(S99,8)=ROUND(
((SUMIFS(Calc_Variable_2[Jemena],Calc_Variable_2[[Customer type]:[Customer type]],"All")+SUMIFS(Calc_Variable_2[Jemena],Calc_Variable_2[[Customer type]:[Customer type]],OP_Rates!$O134)+
SUMIFS(Calc_NetworkV_2[Jemena],Calc_NetworkV_2[[Customer type]:[Customer type]],OP_Rates!$O134,Calc_NetworkV_2[[Cost item]:[Cost item]],OP_Rates!$M134))*(1+Calc_ROM_2[Jemena]))*(1+GST),8),0,1))</f>
        <v>0</v>
      </c>
      <c r="T134" s="79" cm="1">
        <f t="array" ref="T134">IF(T99="-","-",
IF(ROUND(T99,8)=ROUND(
((SUMIFS(Calc_Variable_2[Powercor],Calc_Variable_2[[Customer type]:[Customer type]],"All")+SUMIFS(Calc_Variable_2[Powercor],Calc_Variable_2[[Customer type]:[Customer type]],OP_Rates!$O134)+
SUMIFS(Calc_NetworkV_2[Powercor],Calc_NetworkV_2[[Customer type]:[Customer type]],OP_Rates!$O134,Calc_NetworkV_2[[Cost item]:[Cost item]],OP_Rates!$M134))*(1+Calc_ROM_2[Powercor]))*(1+GST),8),0,1))</f>
        <v>0</v>
      </c>
      <c r="U134" s="79" cm="1">
        <f t="array" ref="U134">IF(U99="-","-",
IF(ROUND(U99,8)=ROUND(
((SUMIFS(Calc_Variable_2[United Energy],Calc_Variable_2[[Customer type]:[Customer type]],"All")+SUMIFS(Calc_Variable_2[United Energy],Calc_Variable_2[[Customer type]:[Customer type]],OP_Rates!$O134)+
SUMIFS(Calc_NetworkV_2[United Energy],Calc_NetworkV_2[[Customer type]:[Customer type]],OP_Rates!$O134,Calc_NetworkV_2[[Cost item]:[Cost item]],OP_Rates!$M134))*(1+Calc_ROM_2[United Energy]))*(1+GST),8),0,1))</f>
        <v>0</v>
      </c>
    </row>
    <row r="135" spans="3:21" ht="15.75" hidden="1" outlineLevel="2" x14ac:dyDescent="0.25">
      <c r="C135" s="18" t="s">
        <v>223</v>
      </c>
      <c r="D135" s="18" t="s">
        <v>218</v>
      </c>
      <c r="E135" s="18" t="s">
        <v>31</v>
      </c>
      <c r="G135" s="79" cm="1">
        <f t="array" ref="G135">IF(G100="-","-",
IF(ROUND(G100,8)=ROUND(
((SUMIFS(Calc_Variable_2[Ausnet],Calc_Variable_2[[Customer type]:[Customer type]],"All")+
SUMIFS(Calc_Variable_2[Ausnet],Calc_Variable_2[[Customer type]:[Customer type]],OP_Rates!$E135)+
SUMIFS(Calc_NetworkV_2[Ausnet],Calc_NetworkV_2[[Customer type]:[Customer type]],OP_Rates!$E135,Calc_NetworkV_2[[Cost item]:[Cost item]],OP_Rates!$C135))*(1+Calc_ROM_2[Ausnet]))*(1+GST),8),0,1))</f>
        <v>0</v>
      </c>
      <c r="H135" s="79" cm="1">
        <f t="array" ref="H135">IF(H100="-","-",
IF(ROUND(H100,8)=ROUND(
((SUMIFS(Calc_Variable_2[Citipower],Calc_Variable_2[[Customer type]:[Customer type]],"All")+
SUMIFS(Calc_Variable_2[Citipower],Calc_Variable_2[[Customer type]:[Customer type]],OP_Rates!$E135)+
SUMIFS(Calc_NetworkV_2[Citipower],Calc_NetworkV_2[[Customer type]:[Customer type]],OP_Rates!$E135,Calc_NetworkV_2[[Cost item]:[Cost item]],OP_Rates!$C135))*(1+Calc_ROM_2[Citipower]))*(1+GST),8),0,1))</f>
        <v>0</v>
      </c>
      <c r="I135" s="79" cm="1">
        <f t="array" ref="I135">IF(I100="-","-",
IF(ROUND(I100,8)=ROUND(
((SUMIFS(Calc_Variable_2[Jemena],Calc_Variable_2[[Customer type]:[Customer type]],"All")+
SUMIFS(Calc_Variable_2[Jemena],Calc_Variable_2[[Customer type]:[Customer type]],OP_Rates!$E135)+
SUMIFS(Calc_NetworkV_2[Jemena],Calc_NetworkV_2[[Customer type]:[Customer type]],OP_Rates!$E135,Calc_NetworkV_2[[Cost item]:[Cost item]],OP_Rates!$C135))*(1+Calc_ROM_2[Jemena]))*(1+GST),8),0,1))</f>
        <v>0</v>
      </c>
      <c r="J135" s="79" cm="1">
        <f t="array" ref="J135">IF(J100="-","-",
IF(ROUND(J100,8)=ROUND(
((SUMIFS(Calc_Variable_2[Powercor],Calc_Variable_2[[Customer type]:[Customer type]],"All")+
SUMIFS(Calc_Variable_2[Powercor],Calc_Variable_2[[Customer type]:[Customer type]],OP_Rates!$E135)+
SUMIFS(Calc_NetworkV_2[Powercor],Calc_NetworkV_2[[Customer type]:[Customer type]],OP_Rates!$E135,Calc_NetworkV_2[[Cost item]:[Cost item]],OP_Rates!$C135))*(1+Calc_ROM_2[Powercor]))*(1+GST),8),0,1))</f>
        <v>0</v>
      </c>
      <c r="K135" s="79" cm="1">
        <f t="array" ref="K135">IF(K100="-","-",
IF(ROUND(K100,8)=ROUND(
((SUMIFS(Calc_Variable_2[United Energy],Calc_Variable_2[[Customer type]:[Customer type]],"All")+
SUMIFS(Calc_Variable_2[United Energy],Calc_Variable_2[[Customer type]:[Customer type]],OP_Rates!$E135)+
SUMIFS(Calc_NetworkV_2[United Energy],Calc_NetworkV_2[[Customer type]:[Customer type]],OP_Rates!$E135,Calc_NetworkV_2[[Cost item]:[Cost item]],OP_Rates!$C135))*(1+Calc_ROM_2[United Energy]))*(1+GST),8),0,1))</f>
        <v>0</v>
      </c>
      <c r="M135" s="18"/>
      <c r="N135" s="18"/>
      <c r="O135" s="18"/>
      <c r="Q135" s="79"/>
      <c r="R135" s="79"/>
      <c r="S135" s="79"/>
      <c r="T135" s="79"/>
      <c r="U135" s="79"/>
    </row>
    <row r="136" spans="3:21" hidden="1" outlineLevel="2" x14ac:dyDescent="0.25"/>
    <row r="137" spans="3:21" ht="15.75" hidden="1" outlineLevel="2" x14ac:dyDescent="0.25">
      <c r="C137" s="23" t="str">
        <f>C$102&amp;" - checks"</f>
        <v>Residential True Up - checks</v>
      </c>
      <c r="M137" s="23" t="str">
        <f>M$102&amp;" - checks"</f>
        <v>Small business True Up - checks</v>
      </c>
    </row>
    <row r="138" spans="3:21" ht="15.75" hidden="1" outlineLevel="2" x14ac:dyDescent="0.25">
      <c r="C138" s="33" t="s">
        <v>263</v>
      </c>
      <c r="D138" s="33" t="s">
        <v>38</v>
      </c>
      <c r="E138" s="33" t="s">
        <v>30</v>
      </c>
      <c r="F138" s="33" t="s">
        <v>23</v>
      </c>
      <c r="G138" s="42" t="s">
        <v>204</v>
      </c>
      <c r="H138" s="42" t="s">
        <v>205</v>
      </c>
      <c r="I138" s="42" t="s">
        <v>206</v>
      </c>
      <c r="J138" s="42" t="s">
        <v>207</v>
      </c>
      <c r="K138" s="42" t="s">
        <v>208</v>
      </c>
      <c r="M138" s="33" t="s">
        <v>263</v>
      </c>
      <c r="N138" s="33" t="s">
        <v>38</v>
      </c>
      <c r="O138" s="33" t="s">
        <v>30</v>
      </c>
      <c r="P138" s="33" t="s">
        <v>23</v>
      </c>
      <c r="Q138" s="42" t="s">
        <v>204</v>
      </c>
      <c r="R138" s="42" t="s">
        <v>205</v>
      </c>
      <c r="S138" s="42" t="s">
        <v>206</v>
      </c>
      <c r="T138" s="42" t="s">
        <v>207</v>
      </c>
      <c r="U138" s="42" t="s">
        <v>208</v>
      </c>
    </row>
    <row r="139" spans="3:21" ht="15.75" hidden="1" outlineLevel="2" x14ac:dyDescent="0.25">
      <c r="C139" s="48" t="s">
        <v>345</v>
      </c>
      <c r="D139" s="48" t="s">
        <v>45</v>
      </c>
      <c r="E139" s="48" t="s">
        <v>31</v>
      </c>
      <c r="F139" s="48" t="s">
        <v>57</v>
      </c>
      <c r="G139" s="169" cm="1">
        <f t="array" ref="G139">IF(G104="-","-",
IF(ROUND(G104,8)=
IF($F139="Network",
ROUND(INDEX(Calc_TUR_Net_2[[Ausnet]:[United Energy]],MATCH(1,(Calc_TUR_Net_2[[Customer type]:[Customer type]]=OP_Rates!$E139)*(Calc_TUR_Net_2[[Rate type]:[Rate type]]=OP_Rates!$C139),0),MATCH(OP_Rates!G$65,Calc_TUR_Net_2[[#Headers],[Ausnet]:[United Energy]],0)),8),
IF($F139="Environmental",
ROUND(SUMIFS(Calc_TUR_ENV_2[Ausnet],Calc_TUR_ENV_2[[Customer type]:[Customer type]],OP_Rates!$E139,Calc_TUR_ENV_2[[Rate type]:[Rate type]],OP_Rates!$C139),8))),0,1))</f>
        <v>0</v>
      </c>
      <c r="H139" s="169" cm="1">
        <f t="array" ref="H139">IF(H104="-","-",
IF(ROUND(H104,8)=
IF($F139="Network",
ROUND(INDEX(Calc_TUR_Net_2[[Ausnet]:[United Energy]],MATCH(1,(Calc_TUR_Net_2[[Customer type]:[Customer type]]=OP_Rates!$E139)*(Calc_TUR_Net_2[[Rate type]:[Rate type]]=OP_Rates!$C139),0),MATCH(OP_Rates!H$65,Calc_TUR_Net_2[[#Headers],[Ausnet]:[United Energy]],0)),8),
IF($F139="Environmental",
ROUND(SUMIFS(Calc_TUR_ENV_2[Citipower],Calc_TUR_ENV_2[[Customer type]:[Customer type]],OP_Rates!$E139,Calc_TUR_ENV_2[[Rate type]:[Rate type]],OP_Rates!$C139),8))),0,1))</f>
        <v>0</v>
      </c>
      <c r="I139" s="169" cm="1">
        <f t="array" ref="I139">IF(I104="-","-",
IF(ROUND(I104,8)=
IF($F139="Network",
ROUND(INDEX(Calc_TUR_Net_2[[Ausnet]:[United Energy]],MATCH(1,(Calc_TUR_Net_2[[Customer type]:[Customer type]]=OP_Rates!$E139)*(Calc_TUR_Net_2[[Rate type]:[Rate type]]=OP_Rates!$C139),0),MATCH(OP_Rates!I$65,Calc_TUR_Net_2[[#Headers],[Ausnet]:[United Energy]],0)),8),
IF($F139="Environmental",
ROUND(SUMIFS(Calc_TUR_ENV_2[Jemena],Calc_TUR_ENV_2[[Customer type]:[Customer type]],OP_Rates!$E139,Calc_TUR_ENV_2[[Rate type]:[Rate type]],OP_Rates!$C139),8))),0,1))</f>
        <v>0</v>
      </c>
      <c r="J139" s="169" cm="1">
        <f t="array" ref="J139">IF(J104="-","-",
IF(ROUND(J104,8)=
IF($F139="Network",
ROUND(INDEX(Calc_TUR_Net_2[[Ausnet]:[United Energy]],MATCH(1,(Calc_TUR_Net_2[[Customer type]:[Customer type]]=OP_Rates!$E139)*(Calc_TUR_Net_2[[Rate type]:[Rate type]]=OP_Rates!$C139),0),MATCH(OP_Rates!J$65,Calc_TUR_Net_2[[#Headers],[Ausnet]:[United Energy]],0)),8),
IF($F139="Environmental",
ROUND(SUMIFS(Calc_TUR_ENV_2[Powercor],Calc_TUR_ENV_2[[Customer type]:[Customer type]],OP_Rates!$E139,Calc_TUR_ENV_2[[Rate type]:[Rate type]],OP_Rates!$C139),8))),0,1))</f>
        <v>0</v>
      </c>
      <c r="K139" s="169" cm="1">
        <f t="array" ref="K139">IF(K104="-","-",
IF(ROUND(K104,8)=
IF($F139="Network",
ROUND(INDEX(Calc_TUR_Net_2[[Ausnet]:[United Energy]],MATCH(1,(Calc_TUR_Net_2[[Customer type]:[Customer type]]=OP_Rates!$E139)*(Calc_TUR_Net_2[[Rate type]:[Rate type]]=OP_Rates!$C139),0),MATCH(OP_Rates!K$65,Calc_TUR_Net_2[[#Headers],[Ausnet]:[United Energy]],0)),8),
IF($F139="Environmental",
ROUND(SUMIFS(Calc_TUR_ENV_2[United Energy],Calc_TUR_ENV_2[[Customer type]:[Customer type]],OP_Rates!$E139,Calc_TUR_ENV_2[[Rate type]:[Rate type]],OP_Rates!$C139),8))),0,1))</f>
        <v>0</v>
      </c>
      <c r="M139" s="48" t="s">
        <v>345</v>
      </c>
      <c r="N139" s="48" t="s">
        <v>45</v>
      </c>
      <c r="O139" s="48" t="s">
        <v>32</v>
      </c>
      <c r="P139" s="48" t="s">
        <v>57</v>
      </c>
      <c r="Q139" s="169" cm="1">
        <f t="array" ref="Q139">IF(Q104="-","-",
IF(ROUND(Q104,8)=
IF($P139="Network",
ROUND(INDEX(Calc_TUR_Net_2[[Ausnet]:[United Energy]],MATCH(1,(Calc_TUR_Net_2[[Customer type]:[Customer type]]=OP_Rates!$O139)*(Calc_TUR_Net_2[[Rate type]:[Rate type]]=OP_Rates!$M139),0),MATCH(OP_Rates!Q$65,Calc_TUR_Net_2[[#Headers],[Ausnet]:[United Energy]],0)),8),
IF($P139="Environmental",
ROUND(SUMIFS(Calc_TUR_ENV_2[Ausnet],Calc_TUR_ENV_2[[Customer type]:[Customer type]],OP_Rates!$O139,Calc_TUR_ENV_2[[Rate type]:[Rate type]],OP_Rates!$M139),8))),0,1))</f>
        <v>0</v>
      </c>
      <c r="R139" s="169" cm="1">
        <f t="array" ref="R139">IF(R104="-","-",
IF(ROUND(R104,8)=
IF($P139="Network",
ROUND(INDEX(Calc_TUR_Net_2[[Ausnet]:[United Energy]],MATCH(1,(Calc_TUR_Net_2[[Customer type]:[Customer type]]=OP_Rates!$O139)*(Calc_TUR_Net_2[[Rate type]:[Rate type]]=OP_Rates!$M139),0),MATCH(OP_Rates!R$65,Calc_TUR_Net_2[[#Headers],[Ausnet]:[United Energy]],0)),8),
IF($P139="Environmental",
ROUND(SUMIFS(Calc_TUR_ENV_2[Citipower],Calc_TUR_ENV_2[[Customer type]:[Customer type]],OP_Rates!$O139,Calc_TUR_ENV_2[[Rate type]:[Rate type]],OP_Rates!$M139),8))),0,1))</f>
        <v>0</v>
      </c>
      <c r="S139" s="169" cm="1">
        <f t="array" ref="S139">IF(S104="-","-",
IF(ROUND(S104,8)=
IF($P139="Network",
ROUND(INDEX(Calc_TUR_Net_2[[Ausnet]:[United Energy]],MATCH(1,(Calc_TUR_Net_2[[Customer type]:[Customer type]]=OP_Rates!$O139)*(Calc_TUR_Net_2[[Rate type]:[Rate type]]=OP_Rates!$M139),0),MATCH(OP_Rates!S$65,Calc_TUR_Net_2[[#Headers],[Ausnet]:[United Energy]],0)),8),
IF($P139="Environmental",
ROUND(SUMIFS(Calc_TUR_ENV_2[Jemena],Calc_TUR_ENV_2[[Customer type]:[Customer type]],OP_Rates!$O139,Calc_TUR_ENV_2[[Rate type]:[Rate type]],OP_Rates!$M139),8))),0,1))</f>
        <v>0</v>
      </c>
      <c r="T139" s="169" cm="1">
        <f t="array" ref="T139">IF(T104="-","-",
IF(ROUND(T104,8)=
IF($P139="Network",
ROUND(INDEX(Calc_TUR_Net_2[[Ausnet]:[United Energy]],MATCH(1,(Calc_TUR_Net_2[[Customer type]:[Customer type]]=OP_Rates!$O139)*(Calc_TUR_Net_2[[Rate type]:[Rate type]]=OP_Rates!$M139),0),MATCH(OP_Rates!T$65,Calc_TUR_Net_2[[#Headers],[Ausnet]:[United Energy]],0)),8),
IF($P139="Environmental",
ROUND(SUMIFS(Calc_TUR_ENV_2[Powercor],Calc_TUR_ENV_2[[Customer type]:[Customer type]],OP_Rates!$O139,Calc_TUR_ENV_2[[Rate type]:[Rate type]],OP_Rates!$M139),8))),0,1))</f>
        <v>0</v>
      </c>
      <c r="U139" s="169" cm="1">
        <f t="array" ref="U139">IF(U104="-","-",
IF(ROUND(U104,8)=
IF($P139="Network",
ROUND(INDEX(Calc_TUR_Net_2[[Ausnet]:[United Energy]],MATCH(1,(Calc_TUR_Net_2[[Customer type]:[Customer type]]=OP_Rates!$O139)*(Calc_TUR_Net_2[[Rate type]:[Rate type]]=OP_Rates!$M139),0),MATCH(OP_Rates!U$65,Calc_TUR_Net_2[[#Headers],[Ausnet]:[United Energy]],0)),8),
IF($P139="Environmental",
ROUND(SUMIFS(Calc_TUR_ENV_2[United Energy],Calc_TUR_ENV_2[[Customer type]:[Customer type]],OP_Rates!$O139,Calc_TUR_ENV_2[[Rate type]:[Rate type]],OP_Rates!$M139),8))),0,1))</f>
        <v>0</v>
      </c>
    </row>
    <row r="140" spans="3:21" ht="15.75" hidden="1" outlineLevel="2" x14ac:dyDescent="0.25">
      <c r="C140" s="48" t="s">
        <v>346</v>
      </c>
      <c r="D140" s="48" t="s">
        <v>45</v>
      </c>
      <c r="E140" s="48" t="s">
        <v>31</v>
      </c>
      <c r="F140" s="48" t="s">
        <v>57</v>
      </c>
      <c r="G140" s="169" cm="1">
        <f t="array" ref="G140">IF(G105="-","-",
IF(ROUND(G105,8)=
IF($F140="Network",
ROUND(INDEX(Calc_TUR_Net_2[[Ausnet]:[United Energy]],MATCH(1,(Calc_TUR_Net_2[[Customer type]:[Customer type]]=OP_Rates!$E140)*(Calc_TUR_Net_2[[Rate type]:[Rate type]]=OP_Rates!$C140),0),MATCH(OP_Rates!G$65,Calc_TUR_Net_2[[#Headers],[Ausnet]:[United Energy]],0)),8),
IF($F140="Environmental",
ROUND(SUMIFS(Calc_TUR_ENV_2[Ausnet],Calc_TUR_ENV_2[[Customer type]:[Customer type]],OP_Rates!$E140,Calc_TUR_ENV_2[[Rate type]:[Rate type]],OP_Rates!$C140),8))),0,1))</f>
        <v>0</v>
      </c>
      <c r="H140" s="169" cm="1">
        <f t="array" ref="H140">IF(H105="-","-",
IF(ROUND(H105,8)=
IF($F140="Network",
ROUND(INDEX(Calc_TUR_Net_2[[Ausnet]:[United Energy]],MATCH(1,(Calc_TUR_Net_2[[Customer type]:[Customer type]]=OP_Rates!$E140)*(Calc_TUR_Net_2[[Rate type]:[Rate type]]=OP_Rates!$C140),0),MATCH(OP_Rates!H$65,Calc_TUR_Net_2[[#Headers],[Ausnet]:[United Energy]],0)),8),
IF($F140="Environmental",
ROUND(SUMIFS(Calc_TUR_ENV_2[Citipower],Calc_TUR_ENV_2[[Customer type]:[Customer type]],OP_Rates!$E140,Calc_TUR_ENV_2[[Rate type]:[Rate type]],OP_Rates!$C140),8))),0,1))</f>
        <v>0</v>
      </c>
      <c r="I140" s="169" cm="1">
        <f t="array" ref="I140">IF(I105="-","-",
IF(ROUND(I105,8)=
IF($F140="Network",
ROUND(INDEX(Calc_TUR_Net_2[[Ausnet]:[United Energy]],MATCH(1,(Calc_TUR_Net_2[[Customer type]:[Customer type]]=OP_Rates!$E140)*(Calc_TUR_Net_2[[Rate type]:[Rate type]]=OP_Rates!$C140),0),MATCH(OP_Rates!I$65,Calc_TUR_Net_2[[#Headers],[Ausnet]:[United Energy]],0)),8),
IF($F140="Environmental",
ROUND(SUMIFS(Calc_TUR_ENV_2[Jemena],Calc_TUR_ENV_2[[Customer type]:[Customer type]],OP_Rates!$E140,Calc_TUR_ENV_2[[Rate type]:[Rate type]],OP_Rates!$C140),8))),0,1))</f>
        <v>0</v>
      </c>
      <c r="J140" s="169" cm="1">
        <f t="array" ref="J140">IF(J105="-","-",
IF(ROUND(J105,8)=
IF($F140="Network",
ROUND(INDEX(Calc_TUR_Net_2[[Ausnet]:[United Energy]],MATCH(1,(Calc_TUR_Net_2[[Customer type]:[Customer type]]=OP_Rates!$E140)*(Calc_TUR_Net_2[[Rate type]:[Rate type]]=OP_Rates!$C140),0),MATCH(OP_Rates!J$65,Calc_TUR_Net_2[[#Headers],[Ausnet]:[United Energy]],0)),8),
IF($F140="Environmental",
ROUND(SUMIFS(Calc_TUR_ENV_2[Powercor],Calc_TUR_ENV_2[[Customer type]:[Customer type]],OP_Rates!$E140,Calc_TUR_ENV_2[[Rate type]:[Rate type]],OP_Rates!$C140),8))),0,1))</f>
        <v>0</v>
      </c>
      <c r="K140" s="169" cm="1">
        <f t="array" ref="K140">IF(K105="-","-",
IF(ROUND(K105,8)=
IF($F140="Network",
ROUND(INDEX(Calc_TUR_Net_2[[Ausnet]:[United Energy]],MATCH(1,(Calc_TUR_Net_2[[Customer type]:[Customer type]]=OP_Rates!$E140)*(Calc_TUR_Net_2[[Rate type]:[Rate type]]=OP_Rates!$C140),0),MATCH(OP_Rates!K$65,Calc_TUR_Net_2[[#Headers],[Ausnet]:[United Energy]],0)),8),
IF($F140="Environmental",
ROUND(SUMIFS(Calc_TUR_ENV_2[United Energy],Calc_TUR_ENV_2[[Customer type]:[Customer type]],OP_Rates!$E140,Calc_TUR_ENV_2[[Rate type]:[Rate type]],OP_Rates!$C140),8))),0,1))</f>
        <v>0</v>
      </c>
      <c r="M140" s="48" t="s">
        <v>346</v>
      </c>
      <c r="N140" s="48" t="s">
        <v>45</v>
      </c>
      <c r="O140" s="48" t="s">
        <v>32</v>
      </c>
      <c r="P140" s="48" t="s">
        <v>57</v>
      </c>
      <c r="Q140" s="169" cm="1">
        <f t="array" ref="Q140">IF(Q105="-","-",
IF(ROUND(Q105,8)=
IF($P140="Network",
ROUND(INDEX(Calc_TUR_Net_2[[Ausnet]:[United Energy]],MATCH(1,(Calc_TUR_Net_2[[Customer type]:[Customer type]]=OP_Rates!$O140)*(Calc_TUR_Net_2[[Rate type]:[Rate type]]=OP_Rates!$M140),0),MATCH(OP_Rates!Q$65,Calc_TUR_Net_2[[#Headers],[Ausnet]:[United Energy]],0)),8),
IF($P140="Environmental",
ROUND(SUMIFS(Calc_TUR_ENV_2[Ausnet],Calc_TUR_ENV_2[[Customer type]:[Customer type]],OP_Rates!$O140,Calc_TUR_ENV_2[[Rate type]:[Rate type]],OP_Rates!$M140),8))),0,1))</f>
        <v>0</v>
      </c>
      <c r="R140" s="169" cm="1">
        <f t="array" ref="R140">IF(R105="-","-",
IF(ROUND(R105,8)=
IF($P140="Network",
ROUND(INDEX(Calc_TUR_Net_2[[Ausnet]:[United Energy]],MATCH(1,(Calc_TUR_Net_2[[Customer type]:[Customer type]]=OP_Rates!$O140)*(Calc_TUR_Net_2[[Rate type]:[Rate type]]=OP_Rates!$M140),0),MATCH(OP_Rates!R$65,Calc_TUR_Net_2[[#Headers],[Ausnet]:[United Energy]],0)),8),
IF($P140="Environmental",
ROUND(SUMIFS(Calc_TUR_ENV_2[Citipower],Calc_TUR_ENV_2[[Customer type]:[Customer type]],OP_Rates!$O140,Calc_TUR_ENV_2[[Rate type]:[Rate type]],OP_Rates!$M140),8))),0,1))</f>
        <v>0</v>
      </c>
      <c r="S140" s="169" cm="1">
        <f t="array" ref="S140">IF(S105="-","-",
IF(ROUND(S105,8)=
IF($P140="Network",
ROUND(INDEX(Calc_TUR_Net_2[[Ausnet]:[United Energy]],MATCH(1,(Calc_TUR_Net_2[[Customer type]:[Customer type]]=OP_Rates!$O140)*(Calc_TUR_Net_2[[Rate type]:[Rate type]]=OP_Rates!$M140),0),MATCH(OP_Rates!S$65,Calc_TUR_Net_2[[#Headers],[Ausnet]:[United Energy]],0)),8),
IF($P140="Environmental",
ROUND(SUMIFS(Calc_TUR_ENV_2[Jemena],Calc_TUR_ENV_2[[Customer type]:[Customer type]],OP_Rates!$O140,Calc_TUR_ENV_2[[Rate type]:[Rate type]],OP_Rates!$M140),8))),0,1))</f>
        <v>0</v>
      </c>
      <c r="T140" s="169" cm="1">
        <f t="array" ref="T140">IF(T105="-","-",
IF(ROUND(T105,8)=
IF($P140="Network",
ROUND(INDEX(Calc_TUR_Net_2[[Ausnet]:[United Energy]],MATCH(1,(Calc_TUR_Net_2[[Customer type]:[Customer type]]=OP_Rates!$O140)*(Calc_TUR_Net_2[[Rate type]:[Rate type]]=OP_Rates!$M140),0),MATCH(OP_Rates!T$65,Calc_TUR_Net_2[[#Headers],[Ausnet]:[United Energy]],0)),8),
IF($P140="Environmental",
ROUND(SUMIFS(Calc_TUR_ENV_2[Powercor],Calc_TUR_ENV_2[[Customer type]:[Customer type]],OP_Rates!$O140,Calc_TUR_ENV_2[[Rate type]:[Rate type]],OP_Rates!$M140),8))),0,1))</f>
        <v>0</v>
      </c>
      <c r="U140" s="169" cm="1">
        <f t="array" ref="U140">IF(U105="-","-",
IF(ROUND(U105,8)=
IF($P140="Network",
ROUND(INDEX(Calc_TUR_Net_2[[Ausnet]:[United Energy]],MATCH(1,(Calc_TUR_Net_2[[Customer type]:[Customer type]]=OP_Rates!$O140)*(Calc_TUR_Net_2[[Rate type]:[Rate type]]=OP_Rates!$M140),0),MATCH(OP_Rates!U$65,Calc_TUR_Net_2[[#Headers],[Ausnet]:[United Energy]],0)),8),
IF($P140="Environmental",
ROUND(SUMIFS(Calc_TUR_ENV_2[United Energy],Calc_TUR_ENV_2[[Customer type]:[Customer type]],OP_Rates!$O140,Calc_TUR_ENV_2[[Rate type]:[Rate type]],OP_Rates!$M140),8))),0,1))</f>
        <v>0</v>
      </c>
    </row>
    <row r="141" spans="3:21" ht="15.75" hidden="1" outlineLevel="2" x14ac:dyDescent="0.25">
      <c r="C141" s="48" t="s">
        <v>223</v>
      </c>
      <c r="D141" s="48" t="s">
        <v>218</v>
      </c>
      <c r="E141" s="48" t="s">
        <v>31</v>
      </c>
      <c r="F141" s="48" t="s">
        <v>57</v>
      </c>
      <c r="G141" s="169" cm="1">
        <f t="array" ref="G141">IF(G106="-","-",
IF(ROUND(G106,8)=
IF($F141="Network",
ROUND(INDEX(Calc_TUR_Net_2[[Ausnet]:[United Energy]],MATCH(1,(Calc_TUR_Net_2[[Customer type]:[Customer type]]=OP_Rates!$E141)*(Calc_TUR_Net_2[[Rate type]:[Rate type]]=OP_Rates!$C141),0),MATCH(OP_Rates!G$65,Calc_TUR_Net_2[[#Headers],[Ausnet]:[United Energy]],0)),8),
IF($F141="Environmental",
ROUND(SUMIFS(Calc_TUR_ENV_2[Ausnet],Calc_TUR_ENV_2[[Customer type]:[Customer type]],OP_Rates!$E141,Calc_TUR_ENV_2[[Rate type]:[Rate type]],OP_Rates!$C141),8))),0,1))</f>
        <v>0</v>
      </c>
      <c r="H141" s="169" cm="1">
        <f t="array" ref="H141">IF(H106="-","-",
IF(ROUND(H106,8)=
IF($F141="Network",
ROUND(INDEX(Calc_TUR_Net_2[[Ausnet]:[United Energy]],MATCH(1,(Calc_TUR_Net_2[[Customer type]:[Customer type]]=OP_Rates!$E141)*(Calc_TUR_Net_2[[Rate type]:[Rate type]]=OP_Rates!$C141),0),MATCH(OP_Rates!H$65,Calc_TUR_Net_2[[#Headers],[Ausnet]:[United Energy]],0)),8),
IF($F141="Environmental",
ROUND(SUMIFS(Calc_TUR_ENV_2[Citipower],Calc_TUR_ENV_2[[Customer type]:[Customer type]],OP_Rates!$E141,Calc_TUR_ENV_2[[Rate type]:[Rate type]],OP_Rates!$C141),8))),0,1))</f>
        <v>0</v>
      </c>
      <c r="I141" s="169" cm="1">
        <f t="array" ref="I141">IF(I106="-","-",
IF(ROUND(I106,8)=
IF($F141="Network",
ROUND(INDEX(Calc_TUR_Net_2[[Ausnet]:[United Energy]],MATCH(1,(Calc_TUR_Net_2[[Customer type]:[Customer type]]=OP_Rates!$E141)*(Calc_TUR_Net_2[[Rate type]:[Rate type]]=OP_Rates!$C141),0),MATCH(OP_Rates!I$65,Calc_TUR_Net_2[[#Headers],[Ausnet]:[United Energy]],0)),8),
IF($F141="Environmental",
ROUND(SUMIFS(Calc_TUR_ENV_2[Jemena],Calc_TUR_ENV_2[[Customer type]:[Customer type]],OP_Rates!$E141,Calc_TUR_ENV_2[[Rate type]:[Rate type]],OP_Rates!$C141),8))),0,1))</f>
        <v>0</v>
      </c>
      <c r="J141" s="169" cm="1">
        <f t="array" ref="J141">IF(J106="-","-",
IF(ROUND(J106,8)=
IF($F141="Network",
ROUND(INDEX(Calc_TUR_Net_2[[Ausnet]:[United Energy]],MATCH(1,(Calc_TUR_Net_2[[Customer type]:[Customer type]]=OP_Rates!$E141)*(Calc_TUR_Net_2[[Rate type]:[Rate type]]=OP_Rates!$C141),0),MATCH(OP_Rates!J$65,Calc_TUR_Net_2[[#Headers],[Ausnet]:[United Energy]],0)),8),
IF($F141="Environmental",
ROUND(SUMIFS(Calc_TUR_ENV_2[Powercor],Calc_TUR_ENV_2[[Customer type]:[Customer type]],OP_Rates!$E141,Calc_TUR_ENV_2[[Rate type]:[Rate type]],OP_Rates!$C141),8))),0,1))</f>
        <v>0</v>
      </c>
      <c r="K141" s="169" cm="1">
        <f t="array" ref="K141">IF(K106="-","-",
IF(ROUND(K106,8)=
IF($F141="Network",
ROUND(INDEX(Calc_TUR_Net_2[[Ausnet]:[United Energy]],MATCH(1,(Calc_TUR_Net_2[[Customer type]:[Customer type]]=OP_Rates!$E141)*(Calc_TUR_Net_2[[Rate type]:[Rate type]]=OP_Rates!$C141),0),MATCH(OP_Rates!K$65,Calc_TUR_Net_2[[#Headers],[Ausnet]:[United Energy]],0)),8),
IF($F141="Environmental",
ROUND(SUMIFS(Calc_TUR_ENV_2[United Energy],Calc_TUR_ENV_2[[Customer type]:[Customer type]],OP_Rates!$E141,Calc_TUR_ENV_2[[Rate type]:[Rate type]],OP_Rates!$C141),8))),0,1))</f>
        <v>0</v>
      </c>
      <c r="M141" s="48" t="s">
        <v>223</v>
      </c>
      <c r="N141" s="48"/>
      <c r="O141" s="48"/>
      <c r="P141" s="48"/>
      <c r="Q141" s="169" t="str" cm="1">
        <f t="array" ref="Q141">IF(Q106="-","-",
IF(ROUND(Q106,8)=
IF($P141="Network",
ROUND(INDEX(Calc_TUR_Net_2[[Ausnet]:[United Energy]],MATCH(1,(Calc_TUR_Net_2[[Customer type]:[Customer type]]=OP_Rates!$O141)*(Calc_TUR_Net_2[[Rate type]:[Rate type]]=OP_Rates!$M141),0),MATCH(OP_Rates!Q$65,Calc_TUR_Net_2[[#Headers],[Ausnet]:[United Energy]],0)),8),
IF($P141="Environmental",
ROUND(SUMIFS(Calc_TUR_ENV_2[Ausnet],Calc_TUR_ENV_2[[Customer type]:[Customer type]],OP_Rates!$O141,Calc_TUR_ENV_2[[Rate type]:[Rate type]],OP_Rates!$M141),8))),0,1))</f>
        <v>-</v>
      </c>
      <c r="R141" s="169" t="str" cm="1">
        <f t="array" ref="R141">IF(R106="-","-",
IF(ROUND(R106,8)=
IF($P141="Network",
ROUND(INDEX(Calc_TUR_Net_2[[Ausnet]:[United Energy]],MATCH(1,(Calc_TUR_Net_2[[Customer type]:[Customer type]]=OP_Rates!$O141)*(Calc_TUR_Net_2[[Rate type]:[Rate type]]=OP_Rates!$M141),0),MATCH(OP_Rates!R$65,Calc_TUR_Net_2[[#Headers],[Ausnet]:[United Energy]],0)),8),
IF($P141="Environmental",
ROUND(SUMIFS(Calc_TUR_ENV_2[Citipower],Calc_TUR_ENV_2[[Customer type]:[Customer type]],OP_Rates!$O141,Calc_TUR_ENV_2[[Rate type]:[Rate type]],OP_Rates!$M141),8))),0,1))</f>
        <v>-</v>
      </c>
      <c r="S141" s="169" t="str" cm="1">
        <f t="array" ref="S141">IF(S106="-","-",
IF(ROUND(S106,8)=
IF($P141="Network",
ROUND(INDEX(Calc_TUR_Net_2[[Ausnet]:[United Energy]],MATCH(1,(Calc_TUR_Net_2[[Customer type]:[Customer type]]=OP_Rates!$O141)*(Calc_TUR_Net_2[[Rate type]:[Rate type]]=OP_Rates!$M141),0),MATCH(OP_Rates!S$65,Calc_TUR_Net_2[[#Headers],[Ausnet]:[United Energy]],0)),8),
IF($P141="Environmental",
ROUND(SUMIFS(Calc_TUR_ENV_2[Jemena],Calc_TUR_ENV_2[[Customer type]:[Customer type]],OP_Rates!$O141,Calc_TUR_ENV_2[[Rate type]:[Rate type]],OP_Rates!$M141),8))),0,1))</f>
        <v>-</v>
      </c>
      <c r="T141" s="169" t="str" cm="1">
        <f t="array" ref="T141">IF(T106="-","-",
IF(ROUND(T106,8)=
IF($P141="Network",
ROUND(INDEX(Calc_TUR_Net_2[[Ausnet]:[United Energy]],MATCH(1,(Calc_TUR_Net_2[[Customer type]:[Customer type]]=OP_Rates!$O141)*(Calc_TUR_Net_2[[Rate type]:[Rate type]]=OP_Rates!$M141),0),MATCH(OP_Rates!T$65,Calc_TUR_Net_2[[#Headers],[Ausnet]:[United Energy]],0)),8),
IF($P141="Environmental",
ROUND(SUMIFS(Calc_TUR_ENV_2[Powercor],Calc_TUR_ENV_2[[Customer type]:[Customer type]],OP_Rates!$O141,Calc_TUR_ENV_2[[Rate type]:[Rate type]],OP_Rates!$M141),8))),0,1))</f>
        <v>-</v>
      </c>
      <c r="U141" s="169" t="str" cm="1">
        <f t="array" ref="U141">IF(U106="-","-",
IF(ROUND(U106,8)=
IF($P141="Network",
ROUND(INDEX(Calc_TUR_Net_2[[Ausnet]:[United Energy]],MATCH(1,(Calc_TUR_Net_2[[Customer type]:[Customer type]]=OP_Rates!$O141)*(Calc_TUR_Net_2[[Rate type]:[Rate type]]=OP_Rates!$M141),0),MATCH(OP_Rates!U$65,Calc_TUR_Net_2[[#Headers],[Ausnet]:[United Energy]],0)),8),
IF($P141="Environmental",
ROUND(SUMIFS(Calc_TUR_ENV_2[United Energy],Calc_TUR_ENV_2[[Customer type]:[Customer type]],OP_Rates!$O141,Calc_TUR_ENV_2[[Rate type]:[Rate type]],OP_Rates!$M141),8))),0,1))</f>
        <v>-</v>
      </c>
    </row>
    <row r="142" spans="3:21" ht="15.75" hidden="1" outlineLevel="2" x14ac:dyDescent="0.25">
      <c r="C142" s="48" t="s">
        <v>157</v>
      </c>
      <c r="D142" s="48" t="s">
        <v>218</v>
      </c>
      <c r="E142" s="48" t="s">
        <v>31</v>
      </c>
      <c r="F142" s="48" t="s">
        <v>87</v>
      </c>
      <c r="G142" s="169" cm="1">
        <f t="array" ref="G142">IF(G107="-","-",
IF(ROUND(G107,8)=
IF($F142="Network",
ROUND(INDEX(Calc_TUR_Net_2[[Ausnet]:[United Energy]],MATCH(1,(Calc_TUR_Net_2[[Customer type]:[Customer type]]=OP_Rates!$E142)*(Calc_TUR_Net_2[[Rate type]:[Rate type]]=OP_Rates!$C142),0),MATCH(OP_Rates!G$65,Calc_TUR_Net_2[[#Headers],[Ausnet]:[United Energy]],0)),8),
IF($F142="Environmental",
ROUND(SUMIFS(Calc_TUR_ENV_2[Ausnet],Calc_TUR_ENV_2[[Customer type]:[Customer type]],OP_Rates!$E142,Calc_TUR_ENV_2[[Rate type]:[Rate type]],OP_Rates!$C142),8))),0,1))</f>
        <v>0</v>
      </c>
      <c r="H142" s="169" cm="1">
        <f t="array" ref="H142">IF(H107="-","-",
IF(ROUND(H107,8)=
IF($F142="Network",
ROUND(INDEX(Calc_TUR_Net_2[[Ausnet]:[United Energy]],MATCH(1,(Calc_TUR_Net_2[[Customer type]:[Customer type]]=OP_Rates!$E142)*(Calc_TUR_Net_2[[Rate type]:[Rate type]]=OP_Rates!$C142),0),MATCH(OP_Rates!H$65,Calc_TUR_Net_2[[#Headers],[Ausnet]:[United Energy]],0)),8),
IF($F142="Environmental",
ROUND(SUMIFS(Calc_TUR_ENV_2[Citipower],Calc_TUR_ENV_2[[Customer type]:[Customer type]],OP_Rates!$E142,Calc_TUR_ENV_2[[Rate type]:[Rate type]],OP_Rates!$C142),8))),0,1))</f>
        <v>0</v>
      </c>
      <c r="I142" s="169" cm="1">
        <f t="array" ref="I142">IF(I107="-","-",
IF(ROUND(I107,8)=
IF($F142="Network",
ROUND(INDEX(Calc_TUR_Net_2[[Ausnet]:[United Energy]],MATCH(1,(Calc_TUR_Net_2[[Customer type]:[Customer type]]=OP_Rates!$E142)*(Calc_TUR_Net_2[[Rate type]:[Rate type]]=OP_Rates!$C142),0),MATCH(OP_Rates!I$65,Calc_TUR_Net_2[[#Headers],[Ausnet]:[United Energy]],0)),8),
IF($F142="Environmental",
ROUND(SUMIFS(Calc_TUR_ENV_2[Jemena],Calc_TUR_ENV_2[[Customer type]:[Customer type]],OP_Rates!$E142,Calc_TUR_ENV_2[[Rate type]:[Rate type]],OP_Rates!$C142),8))),0,1))</f>
        <v>0</v>
      </c>
      <c r="J142" s="169" cm="1">
        <f t="array" ref="J142">IF(J107="-","-",
IF(ROUND(J107,8)=
IF($F142="Network",
ROUND(INDEX(Calc_TUR_Net_2[[Ausnet]:[United Energy]],MATCH(1,(Calc_TUR_Net_2[[Customer type]:[Customer type]]=OP_Rates!$E142)*(Calc_TUR_Net_2[[Rate type]:[Rate type]]=OP_Rates!$C142),0),MATCH(OP_Rates!J$65,Calc_TUR_Net_2[[#Headers],[Ausnet]:[United Energy]],0)),8),
IF($F142="Environmental",
ROUND(SUMIFS(Calc_TUR_ENV_2[Powercor],Calc_TUR_ENV_2[[Customer type]:[Customer type]],OP_Rates!$E142,Calc_TUR_ENV_2[[Rate type]:[Rate type]],OP_Rates!$C142),8))),0,1))</f>
        <v>0</v>
      </c>
      <c r="K142" s="169" cm="1">
        <f t="array" ref="K142">IF(K107="-","-",
IF(ROUND(K107,8)=
IF($F142="Network",
ROUND(INDEX(Calc_TUR_Net_2[[Ausnet]:[United Energy]],MATCH(1,(Calc_TUR_Net_2[[Customer type]:[Customer type]]=OP_Rates!$E142)*(Calc_TUR_Net_2[[Rate type]:[Rate type]]=OP_Rates!$C142),0),MATCH(OP_Rates!K$65,Calc_TUR_Net_2[[#Headers],[Ausnet]:[United Energy]],0)),8),
IF($F142="Environmental",
ROUND(SUMIFS(Calc_TUR_ENV_2[United Energy],Calc_TUR_ENV_2[[Customer type]:[Customer type]],OP_Rates!$E142,Calc_TUR_ENV_2[[Rate type]:[Rate type]],OP_Rates!$C142),8))),0,1))</f>
        <v>0</v>
      </c>
      <c r="M142" s="48" t="s">
        <v>157</v>
      </c>
      <c r="N142" s="48" t="s">
        <v>218</v>
      </c>
      <c r="O142" s="48" t="s">
        <v>32</v>
      </c>
      <c r="P142" s="48" t="s">
        <v>87</v>
      </c>
      <c r="Q142" s="169" cm="1">
        <f t="array" ref="Q142">IF(Q107="-","-",
IF(ROUND(Q107,8)=
IF($P142="Network",
ROUND(INDEX(Calc_TUR_Net_2[[Ausnet]:[United Energy]],MATCH(1,(Calc_TUR_Net_2[[Customer type]:[Customer type]]=OP_Rates!$O142)*(Calc_TUR_Net_2[[Rate type]:[Rate type]]=OP_Rates!$M142),0),MATCH(OP_Rates!Q$65,Calc_TUR_Net_2[[#Headers],[Ausnet]:[United Energy]],0)),8),
IF($P142="Environmental",
ROUND(SUMIFS(Calc_TUR_ENV_2[Ausnet],Calc_TUR_ENV_2[[Customer type]:[Customer type]],OP_Rates!$O142,Calc_TUR_ENV_2[[Rate type]:[Rate type]],OP_Rates!$M142),8))),0,1))</f>
        <v>0</v>
      </c>
      <c r="R142" s="169" cm="1">
        <f t="array" ref="R142">IF(R107="-","-",
IF(ROUND(R107,8)=
IF($P142="Network",
ROUND(INDEX(Calc_TUR_Net_2[[Ausnet]:[United Energy]],MATCH(1,(Calc_TUR_Net_2[[Customer type]:[Customer type]]=OP_Rates!$O142)*(Calc_TUR_Net_2[[Rate type]:[Rate type]]=OP_Rates!$M142),0),MATCH(OP_Rates!R$65,Calc_TUR_Net_2[[#Headers],[Ausnet]:[United Energy]],0)),8),
IF($P142="Environmental",
ROUND(SUMIFS(Calc_TUR_ENV_2[Citipower],Calc_TUR_ENV_2[[Customer type]:[Customer type]],OP_Rates!$O142,Calc_TUR_ENV_2[[Rate type]:[Rate type]],OP_Rates!$M142),8))),0,1))</f>
        <v>0</v>
      </c>
      <c r="S142" s="169" cm="1">
        <f t="array" ref="S142">IF(S107="-","-",
IF(ROUND(S107,8)=
IF($P142="Network",
ROUND(INDEX(Calc_TUR_Net_2[[Ausnet]:[United Energy]],MATCH(1,(Calc_TUR_Net_2[[Customer type]:[Customer type]]=OP_Rates!$O142)*(Calc_TUR_Net_2[[Rate type]:[Rate type]]=OP_Rates!$M142),0),MATCH(OP_Rates!S$65,Calc_TUR_Net_2[[#Headers],[Ausnet]:[United Energy]],0)),8),
IF($P142="Environmental",
ROUND(SUMIFS(Calc_TUR_ENV_2[Jemena],Calc_TUR_ENV_2[[Customer type]:[Customer type]],OP_Rates!$O142,Calc_TUR_ENV_2[[Rate type]:[Rate type]],OP_Rates!$M142),8))),0,1))</f>
        <v>0</v>
      </c>
      <c r="T142" s="169" cm="1">
        <f t="array" ref="T142">IF(T107="-","-",
IF(ROUND(T107,8)=
IF($P142="Network",
ROUND(INDEX(Calc_TUR_Net_2[[Ausnet]:[United Energy]],MATCH(1,(Calc_TUR_Net_2[[Customer type]:[Customer type]]=OP_Rates!$O142)*(Calc_TUR_Net_2[[Rate type]:[Rate type]]=OP_Rates!$M142),0),MATCH(OP_Rates!T$65,Calc_TUR_Net_2[[#Headers],[Ausnet]:[United Energy]],0)),8),
IF($P142="Environmental",
ROUND(SUMIFS(Calc_TUR_ENV_2[Powercor],Calc_TUR_ENV_2[[Customer type]:[Customer type]],OP_Rates!$O142,Calc_TUR_ENV_2[[Rate type]:[Rate type]],OP_Rates!$M142),8))),0,1))</f>
        <v>0</v>
      </c>
      <c r="U142" s="169" cm="1">
        <f t="array" ref="U142">IF(U107="-","-",
IF(ROUND(U107,8)=
IF($P142="Network",
ROUND(INDEX(Calc_TUR_Net_2[[Ausnet]:[United Energy]],MATCH(1,(Calc_TUR_Net_2[[Customer type]:[Customer type]]=OP_Rates!$O142)*(Calc_TUR_Net_2[[Rate type]:[Rate type]]=OP_Rates!$M142),0),MATCH(OP_Rates!U$65,Calc_TUR_Net_2[[#Headers],[Ausnet]:[United Energy]],0)),8),
IF($P142="Environmental",
ROUND(SUMIFS(Calc_TUR_ENV_2[United Energy],Calc_TUR_ENV_2[[Customer type]:[Customer type]],OP_Rates!$O142,Calc_TUR_ENV_2[[Rate type]:[Rate type]],OP_Rates!$M142),8))),0,1))</f>
        <v>0</v>
      </c>
    </row>
    <row r="143" spans="3:21" ht="15.75" hidden="1" outlineLevel="2" x14ac:dyDescent="0.25">
      <c r="C143" s="48" t="s">
        <v>164</v>
      </c>
      <c r="D143" s="48" t="s">
        <v>218</v>
      </c>
      <c r="E143" s="48" t="s">
        <v>31</v>
      </c>
      <c r="F143" s="48" t="s">
        <v>87</v>
      </c>
      <c r="G143" s="169" cm="1">
        <f t="array" ref="G143">IF(G108="-","-",
IF(ROUND(G108,8)=
IF($F143="Network",
ROUND(INDEX(Calc_TUR_Net_2[[Ausnet]:[United Energy]],MATCH(1,(Calc_TUR_Net_2[[Customer type]:[Customer type]]=OP_Rates!$E143)*(Calc_TUR_Net_2[[Rate type]:[Rate type]]=OP_Rates!$C143),0),MATCH(OP_Rates!G$65,Calc_TUR_Net_2[[#Headers],[Ausnet]:[United Energy]],0)),8),
IF($F143="Environmental",
ROUND(SUMIFS(Calc_TUR_ENV_2[Ausnet],Calc_TUR_ENV_2[[Customer type]:[Customer type]],OP_Rates!$E143,Calc_TUR_ENV_2[[Rate type]:[Rate type]],OP_Rates!$C143),8))),0,1))</f>
        <v>0</v>
      </c>
      <c r="H143" s="169" cm="1">
        <f t="array" ref="H143">IF(H108="-","-",
IF(ROUND(H108,8)=
IF($F143="Network",
ROUND(INDEX(Calc_TUR_Net_2[[Ausnet]:[United Energy]],MATCH(1,(Calc_TUR_Net_2[[Customer type]:[Customer type]]=OP_Rates!$E143)*(Calc_TUR_Net_2[[Rate type]:[Rate type]]=OP_Rates!$C143),0),MATCH(OP_Rates!H$65,Calc_TUR_Net_2[[#Headers],[Ausnet]:[United Energy]],0)),8),
IF($F143="Environmental",
ROUND(SUMIFS(Calc_TUR_ENV_2[Citipower],Calc_TUR_ENV_2[[Customer type]:[Customer type]],OP_Rates!$E143,Calc_TUR_ENV_2[[Rate type]:[Rate type]],OP_Rates!$C143),8))),0,1))</f>
        <v>0</v>
      </c>
      <c r="I143" s="169" cm="1">
        <f t="array" ref="I143">IF(I108="-","-",
IF(ROUND(I108,8)=
IF($F143="Network",
ROUND(INDEX(Calc_TUR_Net_2[[Ausnet]:[United Energy]],MATCH(1,(Calc_TUR_Net_2[[Customer type]:[Customer type]]=OP_Rates!$E143)*(Calc_TUR_Net_2[[Rate type]:[Rate type]]=OP_Rates!$C143),0),MATCH(OP_Rates!I$65,Calc_TUR_Net_2[[#Headers],[Ausnet]:[United Energy]],0)),8),
IF($F143="Environmental",
ROUND(SUMIFS(Calc_TUR_ENV_2[Jemena],Calc_TUR_ENV_2[[Customer type]:[Customer type]],OP_Rates!$E143,Calc_TUR_ENV_2[[Rate type]:[Rate type]],OP_Rates!$C143),8))),0,1))</f>
        <v>0</v>
      </c>
      <c r="J143" s="169" cm="1">
        <f t="array" ref="J143">IF(J108="-","-",
IF(ROUND(J108,8)=
IF($F143="Network",
ROUND(INDEX(Calc_TUR_Net_2[[Ausnet]:[United Energy]],MATCH(1,(Calc_TUR_Net_2[[Customer type]:[Customer type]]=OP_Rates!$E143)*(Calc_TUR_Net_2[[Rate type]:[Rate type]]=OP_Rates!$C143),0),MATCH(OP_Rates!J$65,Calc_TUR_Net_2[[#Headers],[Ausnet]:[United Energy]],0)),8),
IF($F143="Environmental",
ROUND(SUMIFS(Calc_TUR_ENV_2[Powercor],Calc_TUR_ENV_2[[Customer type]:[Customer type]],OP_Rates!$E143,Calc_TUR_ENV_2[[Rate type]:[Rate type]],OP_Rates!$C143),8))),0,1))</f>
        <v>0</v>
      </c>
      <c r="K143" s="169" cm="1">
        <f t="array" ref="K143">IF(K108="-","-",
IF(ROUND(K108,8)=
IF($F143="Network",
ROUND(INDEX(Calc_TUR_Net_2[[Ausnet]:[United Energy]],MATCH(1,(Calc_TUR_Net_2[[Customer type]:[Customer type]]=OP_Rates!$E143)*(Calc_TUR_Net_2[[Rate type]:[Rate type]]=OP_Rates!$C143),0),MATCH(OP_Rates!K$65,Calc_TUR_Net_2[[#Headers],[Ausnet]:[United Energy]],0)),8),
IF($F143="Environmental",
ROUND(SUMIFS(Calc_TUR_ENV_2[United Energy],Calc_TUR_ENV_2[[Customer type]:[Customer type]],OP_Rates!$E143,Calc_TUR_ENV_2[[Rate type]:[Rate type]],OP_Rates!$C143),8))),0,1))</f>
        <v>0</v>
      </c>
      <c r="M143" s="48" t="s">
        <v>164</v>
      </c>
      <c r="N143" s="48" t="s">
        <v>218</v>
      </c>
      <c r="O143" s="48" t="s">
        <v>32</v>
      </c>
      <c r="P143" s="48" t="s">
        <v>87</v>
      </c>
      <c r="Q143" s="169" cm="1">
        <f t="array" ref="Q143">IF(Q108="-","-",
IF(ROUND(Q108,8)=
IF($P143="Network",
ROUND(INDEX(Calc_TUR_Net_2[[Ausnet]:[United Energy]],MATCH(1,(Calc_TUR_Net_2[[Customer type]:[Customer type]]=OP_Rates!$O143)*(Calc_TUR_Net_2[[Rate type]:[Rate type]]=OP_Rates!$M143),0),MATCH(OP_Rates!Q$65,Calc_TUR_Net_2[[#Headers],[Ausnet]:[United Energy]],0)),8),
IF($P143="Environmental",
ROUND(SUMIFS(Calc_TUR_ENV_2[Ausnet],Calc_TUR_ENV_2[[Customer type]:[Customer type]],OP_Rates!$O143,Calc_TUR_ENV_2[[Rate type]:[Rate type]],OP_Rates!$M143),8))),0,1))</f>
        <v>0</v>
      </c>
      <c r="R143" s="169" cm="1">
        <f t="array" ref="R143">IF(R108="-","-",
IF(ROUND(R108,8)=
IF($P143="Network",
ROUND(INDEX(Calc_TUR_Net_2[[Ausnet]:[United Energy]],MATCH(1,(Calc_TUR_Net_2[[Customer type]:[Customer type]]=OP_Rates!$O143)*(Calc_TUR_Net_2[[Rate type]:[Rate type]]=OP_Rates!$M143),0),MATCH(OP_Rates!R$65,Calc_TUR_Net_2[[#Headers],[Ausnet]:[United Energy]],0)),8),
IF($P143="Environmental",
ROUND(SUMIFS(Calc_TUR_ENV_2[Citipower],Calc_TUR_ENV_2[[Customer type]:[Customer type]],OP_Rates!$O143,Calc_TUR_ENV_2[[Rate type]:[Rate type]],OP_Rates!$M143),8))),0,1))</f>
        <v>0</v>
      </c>
      <c r="S143" s="169" cm="1">
        <f t="array" ref="S143">IF(S108="-","-",
IF(ROUND(S108,8)=
IF($P143="Network",
ROUND(INDEX(Calc_TUR_Net_2[[Ausnet]:[United Energy]],MATCH(1,(Calc_TUR_Net_2[[Customer type]:[Customer type]]=OP_Rates!$O143)*(Calc_TUR_Net_2[[Rate type]:[Rate type]]=OP_Rates!$M143),0),MATCH(OP_Rates!S$65,Calc_TUR_Net_2[[#Headers],[Ausnet]:[United Energy]],0)),8),
IF($P143="Environmental",
ROUND(SUMIFS(Calc_TUR_ENV_2[Jemena],Calc_TUR_ENV_2[[Customer type]:[Customer type]],OP_Rates!$O143,Calc_TUR_ENV_2[[Rate type]:[Rate type]],OP_Rates!$M143),8))),0,1))</f>
        <v>0</v>
      </c>
      <c r="T143" s="169" cm="1">
        <f t="array" ref="T143">IF(T108="-","-",
IF(ROUND(T108,8)=
IF($P143="Network",
ROUND(INDEX(Calc_TUR_Net_2[[Ausnet]:[United Energy]],MATCH(1,(Calc_TUR_Net_2[[Customer type]:[Customer type]]=OP_Rates!$O143)*(Calc_TUR_Net_2[[Rate type]:[Rate type]]=OP_Rates!$M143),0),MATCH(OP_Rates!T$65,Calc_TUR_Net_2[[#Headers],[Ausnet]:[United Energy]],0)),8),
IF($P143="Environmental",
ROUND(SUMIFS(Calc_TUR_ENV_2[Powercor],Calc_TUR_ENV_2[[Customer type]:[Customer type]],OP_Rates!$O143,Calc_TUR_ENV_2[[Rate type]:[Rate type]],OP_Rates!$M143),8))),0,1))</f>
        <v>0</v>
      </c>
      <c r="U143" s="169" cm="1">
        <f t="array" ref="U143">IF(U108="-","-",
IF(ROUND(U108,8)=
IF($P143="Network",
ROUND(INDEX(Calc_TUR_Net_2[[Ausnet]:[United Energy]],MATCH(1,(Calc_TUR_Net_2[[Customer type]:[Customer type]]=OP_Rates!$O143)*(Calc_TUR_Net_2[[Rate type]:[Rate type]]=OP_Rates!$M143),0),MATCH(OP_Rates!U$65,Calc_TUR_Net_2[[#Headers],[Ausnet]:[United Energy]],0)),8),
IF($P143="Environmental",
ROUND(SUMIFS(Calc_TUR_ENV_2[United Energy],Calc_TUR_ENV_2[[Customer type]:[Customer type]],OP_Rates!$O143,Calc_TUR_ENV_2[[Rate type]:[Rate type]],OP_Rates!$M143),8))),0,1))</f>
        <v>0</v>
      </c>
    </row>
    <row r="144" spans="3:21" ht="15.75" hidden="1" outlineLevel="2" x14ac:dyDescent="0.25">
      <c r="C144" s="48" t="s">
        <v>338</v>
      </c>
      <c r="D144" s="48" t="s">
        <v>218</v>
      </c>
      <c r="E144" s="48" t="s">
        <v>31</v>
      </c>
      <c r="F144" s="48" t="s">
        <v>87</v>
      </c>
      <c r="G144" s="169" cm="1">
        <f t="array" ref="G144">IF(G109="-","-",
IF(ROUND(G109,8)=
IF($F144="Network",
ROUND(INDEX(Calc_TUR_Net_2[[Ausnet]:[United Energy]],MATCH(1,(Calc_TUR_Net_2[[Customer type]:[Customer type]]=OP_Rates!$E144)*(Calc_TUR_Net_2[[Rate type]:[Rate type]]=OP_Rates!$C144),0),MATCH(OP_Rates!G$65,Calc_TUR_Net_2[[#Headers],[Ausnet]:[United Energy]],0)),8),
IF($F144="Environmental",
ROUND(SUMIFS(Calc_TUR_ENV_2[Ausnet],Calc_TUR_ENV_2[[Customer type]:[Customer type]],OP_Rates!$E144,Calc_TUR_ENV_2[[Rate type]:[Rate type]],OP_Rates!$C144),8))),0,1))</f>
        <v>0</v>
      </c>
      <c r="H144" s="169" cm="1">
        <f t="array" ref="H144">IF(H109="-","-",
IF(ROUND(H109,8)=
IF($F144="Network",
ROUND(INDEX(Calc_TUR_Net_2[[Ausnet]:[United Energy]],MATCH(1,(Calc_TUR_Net_2[[Customer type]:[Customer type]]=OP_Rates!$E144)*(Calc_TUR_Net_2[[Rate type]:[Rate type]]=OP_Rates!$C144),0),MATCH(OP_Rates!H$65,Calc_TUR_Net_2[[#Headers],[Ausnet]:[United Energy]],0)),8),
IF($F144="Environmental",
ROUND(SUMIFS(Calc_TUR_ENV_2[Citipower],Calc_TUR_ENV_2[[Customer type]:[Customer type]],OP_Rates!$E144,Calc_TUR_ENV_2[[Rate type]:[Rate type]],OP_Rates!$C144),8))),0,1))</f>
        <v>0</v>
      </c>
      <c r="I144" s="169" cm="1">
        <f t="array" ref="I144">IF(I109="-","-",
IF(ROUND(I109,8)=
IF($F144="Network",
ROUND(INDEX(Calc_TUR_Net_2[[Ausnet]:[United Energy]],MATCH(1,(Calc_TUR_Net_2[[Customer type]:[Customer type]]=OP_Rates!$E144)*(Calc_TUR_Net_2[[Rate type]:[Rate type]]=OP_Rates!$C144),0),MATCH(OP_Rates!I$65,Calc_TUR_Net_2[[#Headers],[Ausnet]:[United Energy]],0)),8),
IF($F144="Environmental",
ROUND(SUMIFS(Calc_TUR_ENV_2[Jemena],Calc_TUR_ENV_2[[Customer type]:[Customer type]],OP_Rates!$E144,Calc_TUR_ENV_2[[Rate type]:[Rate type]],OP_Rates!$C144),8))),0,1))</f>
        <v>0</v>
      </c>
      <c r="J144" s="169" cm="1">
        <f t="array" ref="J144">IF(J109="-","-",
IF(ROUND(J109,8)=
IF($F144="Network",
ROUND(INDEX(Calc_TUR_Net_2[[Ausnet]:[United Energy]],MATCH(1,(Calc_TUR_Net_2[[Customer type]:[Customer type]]=OP_Rates!$E144)*(Calc_TUR_Net_2[[Rate type]:[Rate type]]=OP_Rates!$C144),0),MATCH(OP_Rates!J$65,Calc_TUR_Net_2[[#Headers],[Ausnet]:[United Energy]],0)),8),
IF($F144="Environmental",
ROUND(SUMIFS(Calc_TUR_ENV_2[Powercor],Calc_TUR_ENV_2[[Customer type]:[Customer type]],OP_Rates!$E144,Calc_TUR_ENV_2[[Rate type]:[Rate type]],OP_Rates!$C144),8))),0,1))</f>
        <v>0</v>
      </c>
      <c r="K144" s="169" cm="1">
        <f t="array" ref="K144">IF(K109="-","-",
IF(ROUND(K109,8)=
IF($F144="Network",
ROUND(INDEX(Calc_TUR_Net_2[[Ausnet]:[United Energy]],MATCH(1,(Calc_TUR_Net_2[[Customer type]:[Customer type]]=OP_Rates!$E144)*(Calc_TUR_Net_2[[Rate type]:[Rate type]]=OP_Rates!$C144),0),MATCH(OP_Rates!K$65,Calc_TUR_Net_2[[#Headers],[Ausnet]:[United Energy]],0)),8),
IF($F144="Environmental",
ROUND(SUMIFS(Calc_TUR_ENV_2[United Energy],Calc_TUR_ENV_2[[Customer type]:[Customer type]],OP_Rates!$E144,Calc_TUR_ENV_2[[Rate type]:[Rate type]],OP_Rates!$C144),8))),0,1))</f>
        <v>0</v>
      </c>
      <c r="M144" s="48" t="s">
        <v>338</v>
      </c>
      <c r="N144" s="48" t="s">
        <v>218</v>
      </c>
      <c r="O144" s="48" t="s">
        <v>32</v>
      </c>
      <c r="P144" s="48" t="s">
        <v>87</v>
      </c>
      <c r="Q144" s="169" cm="1">
        <f t="array" ref="Q144">IF(Q109="-","-",
IF(ROUND(Q109,8)=
IF($P144="Network",
ROUND(INDEX(Calc_TUR_Net_2[[Ausnet]:[United Energy]],MATCH(1,(Calc_TUR_Net_2[[Customer type]:[Customer type]]=OP_Rates!$O144)*(Calc_TUR_Net_2[[Rate type]:[Rate type]]=OP_Rates!$M144),0),MATCH(OP_Rates!Q$65,Calc_TUR_Net_2[[#Headers],[Ausnet]:[United Energy]],0)),8),
IF($P144="Environmental",
ROUND(SUMIFS(Calc_TUR_ENV_2[Ausnet],Calc_TUR_ENV_2[[Customer type]:[Customer type]],OP_Rates!$O144,Calc_TUR_ENV_2[[Rate type]:[Rate type]],OP_Rates!$M144),8))),0,1))</f>
        <v>0</v>
      </c>
      <c r="R144" s="169" cm="1">
        <f t="array" ref="R144">IF(R109="-","-",
IF(ROUND(R109,8)=
IF($P144="Network",
ROUND(INDEX(Calc_TUR_Net_2[[Ausnet]:[United Energy]],MATCH(1,(Calc_TUR_Net_2[[Customer type]:[Customer type]]=OP_Rates!$O144)*(Calc_TUR_Net_2[[Rate type]:[Rate type]]=OP_Rates!$M144),0),MATCH(OP_Rates!R$65,Calc_TUR_Net_2[[#Headers],[Ausnet]:[United Energy]],0)),8),
IF($P144="Environmental",
ROUND(SUMIFS(Calc_TUR_ENV_2[Citipower],Calc_TUR_ENV_2[[Customer type]:[Customer type]],OP_Rates!$O144,Calc_TUR_ENV_2[[Rate type]:[Rate type]],OP_Rates!$M144),8))),0,1))</f>
        <v>0</v>
      </c>
      <c r="S144" s="169" cm="1">
        <f t="array" ref="S144">IF(S109="-","-",
IF(ROUND(S109,8)=
IF($P144="Network",
ROUND(INDEX(Calc_TUR_Net_2[[Ausnet]:[United Energy]],MATCH(1,(Calc_TUR_Net_2[[Customer type]:[Customer type]]=OP_Rates!$O144)*(Calc_TUR_Net_2[[Rate type]:[Rate type]]=OP_Rates!$M144),0),MATCH(OP_Rates!S$65,Calc_TUR_Net_2[[#Headers],[Ausnet]:[United Energy]],0)),8),
IF($P144="Environmental",
ROUND(SUMIFS(Calc_TUR_ENV_2[Jemena],Calc_TUR_ENV_2[[Customer type]:[Customer type]],OP_Rates!$O144,Calc_TUR_ENV_2[[Rate type]:[Rate type]],OP_Rates!$M144),8))),0,1))</f>
        <v>0</v>
      </c>
      <c r="T144" s="169" cm="1">
        <f t="array" ref="T144">IF(T109="-","-",
IF(ROUND(T109,8)=
IF($P144="Network",
ROUND(INDEX(Calc_TUR_Net_2[[Ausnet]:[United Energy]],MATCH(1,(Calc_TUR_Net_2[[Customer type]:[Customer type]]=OP_Rates!$O144)*(Calc_TUR_Net_2[[Rate type]:[Rate type]]=OP_Rates!$M144),0),MATCH(OP_Rates!T$65,Calc_TUR_Net_2[[#Headers],[Ausnet]:[United Energy]],0)),8),
IF($P144="Environmental",
ROUND(SUMIFS(Calc_TUR_ENV_2[Powercor],Calc_TUR_ENV_2[[Customer type]:[Customer type]],OP_Rates!$O144,Calc_TUR_ENV_2[[Rate type]:[Rate type]],OP_Rates!$M144),8))),0,1))</f>
        <v>0</v>
      </c>
      <c r="U144" s="169" cm="1">
        <f t="array" ref="U144">IF(U109="-","-",
IF(ROUND(U109,8)=
IF($P144="Network",
ROUND(INDEX(Calc_TUR_Net_2[[Ausnet]:[United Energy]],MATCH(1,(Calc_TUR_Net_2[[Customer type]:[Customer type]]=OP_Rates!$O144)*(Calc_TUR_Net_2[[Rate type]:[Rate type]]=OP_Rates!$M144),0),MATCH(OP_Rates!U$65,Calc_TUR_Net_2[[#Headers],[Ausnet]:[United Energy]],0)),8),
IF($P144="Environmental",
ROUND(SUMIFS(Calc_TUR_ENV_2[United Energy],Calc_TUR_ENV_2[[Customer type]:[Customer type]],OP_Rates!$O144,Calc_TUR_ENV_2[[Rate type]:[Rate type]],OP_Rates!$M144),8))),0,1))</f>
        <v>0</v>
      </c>
    </row>
    <row r="145" spans="3:21" ht="15.75" hidden="1" outlineLevel="2" x14ac:dyDescent="0.25">
      <c r="C145" s="48" t="s">
        <v>166</v>
      </c>
      <c r="D145" s="48" t="s">
        <v>218</v>
      </c>
      <c r="E145" s="48" t="s">
        <v>31</v>
      </c>
      <c r="F145" s="48" t="s">
        <v>87</v>
      </c>
      <c r="G145" s="169" cm="1">
        <f t="array" ref="G145">IF(G110="-","-",
IF(ROUND(G110,8)=
IF($F145="Network",
ROUND(INDEX(Calc_TUR_Net_2[[Ausnet]:[United Energy]],MATCH(1,(Calc_TUR_Net_2[[Customer type]:[Customer type]]=OP_Rates!$E145)*(Calc_TUR_Net_2[[Rate type]:[Rate type]]=OP_Rates!$C145),0),MATCH(OP_Rates!G$65,Calc_TUR_Net_2[[#Headers],[Ausnet]:[United Energy]],0)),8),
IF($F145="Environmental",
ROUND(SUMIFS(Calc_TUR_ENV_2[Ausnet],Calc_TUR_ENV_2[[Customer type]:[Customer type]],OP_Rates!$E145,Calc_TUR_ENV_2[[Rate type]:[Rate type]],OP_Rates!$C145),8))),0,1))</f>
        <v>0</v>
      </c>
      <c r="H145" s="169" cm="1">
        <f t="array" ref="H145">IF(H110="-","-",
IF(ROUND(H110,8)=
IF($F145="Network",
ROUND(INDEX(Calc_TUR_Net_2[[Ausnet]:[United Energy]],MATCH(1,(Calc_TUR_Net_2[[Customer type]:[Customer type]]=OP_Rates!$E145)*(Calc_TUR_Net_2[[Rate type]:[Rate type]]=OP_Rates!$C145),0),MATCH(OP_Rates!H$65,Calc_TUR_Net_2[[#Headers],[Ausnet]:[United Energy]],0)),8),
IF($F145="Environmental",
ROUND(SUMIFS(Calc_TUR_ENV_2[Citipower],Calc_TUR_ENV_2[[Customer type]:[Customer type]],OP_Rates!$E145,Calc_TUR_ENV_2[[Rate type]:[Rate type]],OP_Rates!$C145),8))),0,1))</f>
        <v>0</v>
      </c>
      <c r="I145" s="169" cm="1">
        <f t="array" ref="I145">IF(I110="-","-",
IF(ROUND(I110,8)=
IF($F145="Network",
ROUND(INDEX(Calc_TUR_Net_2[[Ausnet]:[United Energy]],MATCH(1,(Calc_TUR_Net_2[[Customer type]:[Customer type]]=OP_Rates!$E145)*(Calc_TUR_Net_2[[Rate type]:[Rate type]]=OP_Rates!$C145),0),MATCH(OP_Rates!I$65,Calc_TUR_Net_2[[#Headers],[Ausnet]:[United Energy]],0)),8),
IF($F145="Environmental",
ROUND(SUMIFS(Calc_TUR_ENV_2[Jemena],Calc_TUR_ENV_2[[Customer type]:[Customer type]],OP_Rates!$E145,Calc_TUR_ENV_2[[Rate type]:[Rate type]],OP_Rates!$C145),8))),0,1))</f>
        <v>0</v>
      </c>
      <c r="J145" s="169" cm="1">
        <f t="array" ref="J145">IF(J110="-","-",
IF(ROUND(J110,8)=
IF($F145="Network",
ROUND(INDEX(Calc_TUR_Net_2[[Ausnet]:[United Energy]],MATCH(1,(Calc_TUR_Net_2[[Customer type]:[Customer type]]=OP_Rates!$E145)*(Calc_TUR_Net_2[[Rate type]:[Rate type]]=OP_Rates!$C145),0),MATCH(OP_Rates!J$65,Calc_TUR_Net_2[[#Headers],[Ausnet]:[United Energy]],0)),8),
IF($F145="Environmental",
ROUND(SUMIFS(Calc_TUR_ENV_2[Powercor],Calc_TUR_ENV_2[[Customer type]:[Customer type]],OP_Rates!$E145,Calc_TUR_ENV_2[[Rate type]:[Rate type]],OP_Rates!$C145),8))),0,1))</f>
        <v>0</v>
      </c>
      <c r="K145" s="169" cm="1">
        <f t="array" ref="K145">IF(K110="-","-",
IF(ROUND(K110,8)=
IF($F145="Network",
ROUND(INDEX(Calc_TUR_Net_2[[Ausnet]:[United Energy]],MATCH(1,(Calc_TUR_Net_2[[Customer type]:[Customer type]]=OP_Rates!$E145)*(Calc_TUR_Net_2[[Rate type]:[Rate type]]=OP_Rates!$C145),0),MATCH(OP_Rates!K$65,Calc_TUR_Net_2[[#Headers],[Ausnet]:[United Energy]],0)),8),
IF($F145="Environmental",
ROUND(SUMIFS(Calc_TUR_ENV_2[United Energy],Calc_TUR_ENV_2[[Customer type]:[Customer type]],OP_Rates!$E145,Calc_TUR_ENV_2[[Rate type]:[Rate type]],OP_Rates!$C145),8))),0,1))</f>
        <v>0</v>
      </c>
      <c r="M145" s="48" t="s">
        <v>166</v>
      </c>
      <c r="N145" s="48" t="s">
        <v>218</v>
      </c>
      <c r="O145" s="48" t="s">
        <v>32</v>
      </c>
      <c r="P145" s="48" t="s">
        <v>87</v>
      </c>
      <c r="Q145" s="169" cm="1">
        <f t="array" ref="Q145">IF(Q110="-","-",
IF(ROUND(Q110,8)=
IF($P145="Network",
ROUND(INDEX(Calc_TUR_Net_2[[Ausnet]:[United Energy]],MATCH(1,(Calc_TUR_Net_2[[Customer type]:[Customer type]]=OP_Rates!$O145)*(Calc_TUR_Net_2[[Rate type]:[Rate type]]=OP_Rates!$M145),0),MATCH(OP_Rates!Q$65,Calc_TUR_Net_2[[#Headers],[Ausnet]:[United Energy]],0)),8),
IF($P145="Environmental",
ROUND(SUMIFS(Calc_TUR_ENV_2[Ausnet],Calc_TUR_ENV_2[[Customer type]:[Customer type]],OP_Rates!$O145,Calc_TUR_ENV_2[[Rate type]:[Rate type]],OP_Rates!$M145),8))),0,1))</f>
        <v>0</v>
      </c>
      <c r="R145" s="169" cm="1">
        <f t="array" ref="R145">IF(R110="-","-",
IF(ROUND(R110,8)=
IF($P145="Network",
ROUND(INDEX(Calc_TUR_Net_2[[Ausnet]:[United Energy]],MATCH(1,(Calc_TUR_Net_2[[Customer type]:[Customer type]]=OP_Rates!$O145)*(Calc_TUR_Net_2[[Rate type]:[Rate type]]=OP_Rates!$M145),0),MATCH(OP_Rates!R$65,Calc_TUR_Net_2[[#Headers],[Ausnet]:[United Energy]],0)),8),
IF($P145="Environmental",
ROUND(SUMIFS(Calc_TUR_ENV_2[Citipower],Calc_TUR_ENV_2[[Customer type]:[Customer type]],OP_Rates!$O145,Calc_TUR_ENV_2[[Rate type]:[Rate type]],OP_Rates!$M145),8))),0,1))</f>
        <v>0</v>
      </c>
      <c r="S145" s="169" cm="1">
        <f t="array" ref="S145">IF(S110="-","-",
IF(ROUND(S110,8)=
IF($P145="Network",
ROUND(INDEX(Calc_TUR_Net_2[[Ausnet]:[United Energy]],MATCH(1,(Calc_TUR_Net_2[[Customer type]:[Customer type]]=OP_Rates!$O145)*(Calc_TUR_Net_2[[Rate type]:[Rate type]]=OP_Rates!$M145),0),MATCH(OP_Rates!S$65,Calc_TUR_Net_2[[#Headers],[Ausnet]:[United Energy]],0)),8),
IF($P145="Environmental",
ROUND(SUMIFS(Calc_TUR_ENV_2[Jemena],Calc_TUR_ENV_2[[Customer type]:[Customer type]],OP_Rates!$O145,Calc_TUR_ENV_2[[Rate type]:[Rate type]],OP_Rates!$M145),8))),0,1))</f>
        <v>0</v>
      </c>
      <c r="T145" s="169" cm="1">
        <f t="array" ref="T145">IF(T110="-","-",
IF(ROUND(T110,8)=
IF($P145="Network",
ROUND(INDEX(Calc_TUR_Net_2[[Ausnet]:[United Energy]],MATCH(1,(Calc_TUR_Net_2[[Customer type]:[Customer type]]=OP_Rates!$O145)*(Calc_TUR_Net_2[[Rate type]:[Rate type]]=OP_Rates!$M145),0),MATCH(OP_Rates!T$65,Calc_TUR_Net_2[[#Headers],[Ausnet]:[United Energy]],0)),8),
IF($P145="Environmental",
ROUND(SUMIFS(Calc_TUR_ENV_2[Powercor],Calc_TUR_ENV_2[[Customer type]:[Customer type]],OP_Rates!$O145,Calc_TUR_ENV_2[[Rate type]:[Rate type]],OP_Rates!$M145),8))),0,1))</f>
        <v>0</v>
      </c>
      <c r="U145" s="169" cm="1">
        <f t="array" ref="U145">IF(U110="-","-",
IF(ROUND(U110,8)=
IF($P145="Network",
ROUND(INDEX(Calc_TUR_Net_2[[Ausnet]:[United Energy]],MATCH(1,(Calc_TUR_Net_2[[Customer type]:[Customer type]]=OP_Rates!$O145)*(Calc_TUR_Net_2[[Rate type]:[Rate type]]=OP_Rates!$M145),0),MATCH(OP_Rates!U$65,Calc_TUR_Net_2[[#Headers],[Ausnet]:[United Energy]],0)),8),
IF($P145="Environmental",
ROUND(SUMIFS(Calc_TUR_ENV_2[United Energy],Calc_TUR_ENV_2[[Customer type]:[Customer type]],OP_Rates!$O145,Calc_TUR_ENV_2[[Rate type]:[Rate type]],OP_Rates!$M145),8))),0,1))</f>
        <v>0</v>
      </c>
    </row>
    <row r="146" spans="3:21" ht="15.75" hidden="1" outlineLevel="2" x14ac:dyDescent="0.25">
      <c r="C146" s="48" t="s">
        <v>370</v>
      </c>
      <c r="D146" s="48" t="s">
        <v>218</v>
      </c>
      <c r="E146" s="48" t="s">
        <v>31</v>
      </c>
      <c r="F146" s="48" t="s">
        <v>87</v>
      </c>
      <c r="G146" s="169" cm="1">
        <f t="array" ref="G146">IF(G111="-","-",
IF(ROUND(G111,8)=
IF($F146="Network",
ROUND(INDEX(Calc_TUR_Net_2[[Ausnet]:[United Energy]],MATCH(1,(Calc_TUR_Net_2[[Customer type]:[Customer type]]=OP_Rates!$E146)*(Calc_TUR_Net_2[[Rate type]:[Rate type]]=OP_Rates!$C146),0),MATCH(OP_Rates!G$65,Calc_TUR_Net_2[[#Headers],[Ausnet]:[United Energy]],0)),8),
IF($F146="Environmental",
ROUND(SUMIFS(Calc_TUR_ENV_2[Ausnet],Calc_TUR_ENV_2[[Customer type]:[Customer type]],OP_Rates!$E146,Calc_TUR_ENV_2[[Rate type]:[Rate type]],OP_Rates!$C146),8))),0,1))</f>
        <v>0</v>
      </c>
      <c r="H146" s="169" cm="1">
        <f t="array" ref="H146">IF(H111="-","-",
IF(ROUND(H111,8)=
IF($F146="Network",
ROUND(INDEX(Calc_TUR_Net_2[[Ausnet]:[United Energy]],MATCH(1,(Calc_TUR_Net_2[[Customer type]:[Customer type]]=OP_Rates!$E146)*(Calc_TUR_Net_2[[Rate type]:[Rate type]]=OP_Rates!$C146),0),MATCH(OP_Rates!H$65,Calc_TUR_Net_2[[#Headers],[Ausnet]:[United Energy]],0)),8),
IF($F146="Environmental",
ROUND(SUMIFS(Calc_TUR_ENV_2[Citipower],Calc_TUR_ENV_2[[Customer type]:[Customer type]],OP_Rates!$E146,Calc_TUR_ENV_2[[Rate type]:[Rate type]],OP_Rates!$C146),8))),0,1))</f>
        <v>0</v>
      </c>
      <c r="I146" s="169" cm="1">
        <f t="array" ref="I146">IF(I111="-","-",
IF(ROUND(I111,8)=
IF($F146="Network",
ROUND(INDEX(Calc_TUR_Net_2[[Ausnet]:[United Energy]],MATCH(1,(Calc_TUR_Net_2[[Customer type]:[Customer type]]=OP_Rates!$E146)*(Calc_TUR_Net_2[[Rate type]:[Rate type]]=OP_Rates!$C146),0),MATCH(OP_Rates!I$65,Calc_TUR_Net_2[[#Headers],[Ausnet]:[United Energy]],0)),8),
IF($F146="Environmental",
ROUND(SUMIFS(Calc_TUR_ENV_2[Jemena],Calc_TUR_ENV_2[[Customer type]:[Customer type]],OP_Rates!$E146,Calc_TUR_ENV_2[[Rate type]:[Rate type]],OP_Rates!$C146),8))),0,1))</f>
        <v>0</v>
      </c>
      <c r="J146" s="169" cm="1">
        <f t="array" ref="J146">IF(J111="-","-",
IF(ROUND(J111,8)=
IF($F146="Network",
ROUND(INDEX(Calc_TUR_Net_2[[Ausnet]:[United Energy]],MATCH(1,(Calc_TUR_Net_2[[Customer type]:[Customer type]]=OP_Rates!$E146)*(Calc_TUR_Net_2[[Rate type]:[Rate type]]=OP_Rates!$C146),0),MATCH(OP_Rates!J$65,Calc_TUR_Net_2[[#Headers],[Ausnet]:[United Energy]],0)),8),
IF($F146="Environmental",
ROUND(SUMIFS(Calc_TUR_ENV_2[Powercor],Calc_TUR_ENV_2[[Customer type]:[Customer type]],OP_Rates!$E146,Calc_TUR_ENV_2[[Rate type]:[Rate type]],OP_Rates!$C146),8))),0,1))</f>
        <v>0</v>
      </c>
      <c r="K146" s="169" cm="1">
        <f t="array" ref="K146">IF(K111="-","-",
IF(ROUND(K111,8)=
IF($F146="Network",
ROUND(INDEX(Calc_TUR_Net_2[[Ausnet]:[United Energy]],MATCH(1,(Calc_TUR_Net_2[[Customer type]:[Customer type]]=OP_Rates!$E146)*(Calc_TUR_Net_2[[Rate type]:[Rate type]]=OP_Rates!$C146),0),MATCH(OP_Rates!K$65,Calc_TUR_Net_2[[#Headers],[Ausnet]:[United Energy]],0)),8),
IF($F146="Environmental",
ROUND(SUMIFS(Calc_TUR_ENV_2[United Energy],Calc_TUR_ENV_2[[Customer type]:[Customer type]],OP_Rates!$E146,Calc_TUR_ENV_2[[Rate type]:[Rate type]],OP_Rates!$C146),8))),0,1))</f>
        <v>0</v>
      </c>
      <c r="M146" s="48" t="s">
        <v>370</v>
      </c>
      <c r="N146" s="48" t="s">
        <v>218</v>
      </c>
      <c r="O146" s="48" t="s">
        <v>32</v>
      </c>
      <c r="P146" s="48" t="s">
        <v>87</v>
      </c>
      <c r="Q146" s="169" cm="1">
        <f t="array" ref="Q146">IF(Q111="-","-",
IF(ROUND(Q111,8)=
IF($P146="Network",
ROUND(INDEX(Calc_TUR_Net_2[[Ausnet]:[United Energy]],MATCH(1,(Calc_TUR_Net_2[[Customer type]:[Customer type]]=OP_Rates!$O146)*(Calc_TUR_Net_2[[Rate type]:[Rate type]]=OP_Rates!$M146),0),MATCH(OP_Rates!Q$65,Calc_TUR_Net_2[[#Headers],[Ausnet]:[United Energy]],0)),8),
IF($P146="Environmental",
ROUND(SUMIFS(Calc_TUR_ENV_2[Ausnet],Calc_TUR_ENV_2[[Customer type]:[Customer type]],OP_Rates!$O146,Calc_TUR_ENV_2[[Rate type]:[Rate type]],OP_Rates!$M146),8))),0,1))</f>
        <v>0</v>
      </c>
      <c r="R146" s="169" cm="1">
        <f t="array" ref="R146">IF(R111="-","-",
IF(ROUND(R111,8)=
IF($P146="Network",
ROUND(INDEX(Calc_TUR_Net_2[[Ausnet]:[United Energy]],MATCH(1,(Calc_TUR_Net_2[[Customer type]:[Customer type]]=OP_Rates!$O146)*(Calc_TUR_Net_2[[Rate type]:[Rate type]]=OP_Rates!$M146),0),MATCH(OP_Rates!R$65,Calc_TUR_Net_2[[#Headers],[Ausnet]:[United Energy]],0)),8),
IF($P146="Environmental",
ROUND(SUMIFS(Calc_TUR_ENV_2[Citipower],Calc_TUR_ENV_2[[Customer type]:[Customer type]],OP_Rates!$O146,Calc_TUR_ENV_2[[Rate type]:[Rate type]],OP_Rates!$M146),8))),0,1))</f>
        <v>0</v>
      </c>
      <c r="S146" s="169" cm="1">
        <f t="array" ref="S146">IF(S111="-","-",
IF(ROUND(S111,8)=
IF($P146="Network",
ROUND(INDEX(Calc_TUR_Net_2[[Ausnet]:[United Energy]],MATCH(1,(Calc_TUR_Net_2[[Customer type]:[Customer type]]=OP_Rates!$O146)*(Calc_TUR_Net_2[[Rate type]:[Rate type]]=OP_Rates!$M146),0),MATCH(OP_Rates!S$65,Calc_TUR_Net_2[[#Headers],[Ausnet]:[United Energy]],0)),8),
IF($P146="Environmental",
ROUND(SUMIFS(Calc_TUR_ENV_2[Jemena],Calc_TUR_ENV_2[[Customer type]:[Customer type]],OP_Rates!$O146,Calc_TUR_ENV_2[[Rate type]:[Rate type]],OP_Rates!$M146),8))),0,1))</f>
        <v>0</v>
      </c>
      <c r="T146" s="169" cm="1">
        <f t="array" ref="T146">IF(T111="-","-",
IF(ROUND(T111,8)=
IF($P146="Network",
ROUND(INDEX(Calc_TUR_Net_2[[Ausnet]:[United Energy]],MATCH(1,(Calc_TUR_Net_2[[Customer type]:[Customer type]]=OP_Rates!$O146)*(Calc_TUR_Net_2[[Rate type]:[Rate type]]=OP_Rates!$M146),0),MATCH(OP_Rates!T$65,Calc_TUR_Net_2[[#Headers],[Ausnet]:[United Energy]],0)),8),
IF($P146="Environmental",
ROUND(SUMIFS(Calc_TUR_ENV_2[Powercor],Calc_TUR_ENV_2[[Customer type]:[Customer type]],OP_Rates!$O146,Calc_TUR_ENV_2[[Rate type]:[Rate type]],OP_Rates!$M146),8))),0,1))</f>
        <v>0</v>
      </c>
      <c r="U146" s="169" cm="1">
        <f t="array" ref="U146">IF(U111="-","-",
IF(ROUND(U111,8)=
IF($P146="Network",
ROUND(INDEX(Calc_TUR_Net_2[[Ausnet]:[United Energy]],MATCH(1,(Calc_TUR_Net_2[[Customer type]:[Customer type]]=OP_Rates!$O146)*(Calc_TUR_Net_2[[Rate type]:[Rate type]]=OP_Rates!$M146),0),MATCH(OP_Rates!U$65,Calc_TUR_Net_2[[#Headers],[Ausnet]:[United Energy]],0)),8),
IF($P146="Environmental",
ROUND(SUMIFS(Calc_TUR_ENV_2[United Energy],Calc_TUR_ENV_2[[Customer type]:[Customer type]],OP_Rates!$O146,Calc_TUR_ENV_2[[Rate type]:[Rate type]],OP_Rates!$M146),8))),0,1))</f>
        <v>0</v>
      </c>
    </row>
    <row r="147" spans="3:21" ht="15.75" hidden="1" outlineLevel="2" x14ac:dyDescent="0.25">
      <c r="C147" s="48" t="s">
        <v>223</v>
      </c>
      <c r="D147" s="48" t="s">
        <v>218</v>
      </c>
      <c r="E147" s="48" t="s">
        <v>31</v>
      </c>
      <c r="F147" s="48" t="s">
        <v>87</v>
      </c>
      <c r="G147" s="169" cm="1">
        <f t="array" ref="G147">IF(G112="-","-",
IF(ROUND(G112,8)=
IF($F147="Network",
ROUND(INDEX(Calc_TUR_Net_2[[Ausnet]:[United Energy]],MATCH(1,(Calc_TUR_Net_2[[Customer type]:[Customer type]]=OP_Rates!$E147)*(Calc_TUR_Net_2[[Rate type]:[Rate type]]=OP_Rates!$C147),0),MATCH(OP_Rates!G$65,Calc_TUR_Net_2[[#Headers],[Ausnet]:[United Energy]],0)),8),
IF($F147="Environmental",
ROUND(SUMIFS(Calc_TUR_ENV_2[Ausnet],Calc_TUR_ENV_2[[Customer type]:[Customer type]],OP_Rates!$E147,Calc_TUR_ENV_2[[Rate type]:[Rate type]],OP_Rates!$C147),8))),0,1))</f>
        <v>0</v>
      </c>
      <c r="H147" s="169" cm="1">
        <f t="array" ref="H147">IF(H112="-","-",
IF(ROUND(H112,8)=
IF($F147="Network",
ROUND(INDEX(Calc_TUR_Net_2[[Ausnet]:[United Energy]],MATCH(1,(Calc_TUR_Net_2[[Customer type]:[Customer type]]=OP_Rates!$E147)*(Calc_TUR_Net_2[[Rate type]:[Rate type]]=OP_Rates!$C147),0),MATCH(OP_Rates!H$65,Calc_TUR_Net_2[[#Headers],[Ausnet]:[United Energy]],0)),8),
IF($F147="Environmental",
ROUND(SUMIFS(Calc_TUR_ENV_2[Citipower],Calc_TUR_ENV_2[[Customer type]:[Customer type]],OP_Rates!$E147,Calc_TUR_ENV_2[[Rate type]:[Rate type]],OP_Rates!$C147),8))),0,1))</f>
        <v>0</v>
      </c>
      <c r="I147" s="169" cm="1">
        <f t="array" ref="I147">IF(I112="-","-",
IF(ROUND(I112,8)=
IF($F147="Network",
ROUND(INDEX(Calc_TUR_Net_2[[Ausnet]:[United Energy]],MATCH(1,(Calc_TUR_Net_2[[Customer type]:[Customer type]]=OP_Rates!$E147)*(Calc_TUR_Net_2[[Rate type]:[Rate type]]=OP_Rates!$C147),0),MATCH(OP_Rates!I$65,Calc_TUR_Net_2[[#Headers],[Ausnet]:[United Energy]],0)),8),
IF($F147="Environmental",
ROUND(SUMIFS(Calc_TUR_ENV_2[Jemena],Calc_TUR_ENV_2[[Customer type]:[Customer type]],OP_Rates!$E147,Calc_TUR_ENV_2[[Rate type]:[Rate type]],OP_Rates!$C147),8))),0,1))</f>
        <v>0</v>
      </c>
      <c r="J147" s="169" cm="1">
        <f t="array" ref="J147">IF(J112="-","-",
IF(ROUND(J112,8)=
IF($F147="Network",
ROUND(INDEX(Calc_TUR_Net_2[[Ausnet]:[United Energy]],MATCH(1,(Calc_TUR_Net_2[[Customer type]:[Customer type]]=OP_Rates!$E147)*(Calc_TUR_Net_2[[Rate type]:[Rate type]]=OP_Rates!$C147),0),MATCH(OP_Rates!J$65,Calc_TUR_Net_2[[#Headers],[Ausnet]:[United Energy]],0)),8),
IF($F147="Environmental",
ROUND(SUMIFS(Calc_TUR_ENV_2[Powercor],Calc_TUR_ENV_2[[Customer type]:[Customer type]],OP_Rates!$E147,Calc_TUR_ENV_2[[Rate type]:[Rate type]],OP_Rates!$C147),8))),0,1))</f>
        <v>0</v>
      </c>
      <c r="K147" s="169" cm="1">
        <f t="array" ref="K147">IF(K112="-","-",
IF(ROUND(K112,8)=
IF($F147="Network",
ROUND(INDEX(Calc_TUR_Net_2[[Ausnet]:[United Energy]],MATCH(1,(Calc_TUR_Net_2[[Customer type]:[Customer type]]=OP_Rates!$E147)*(Calc_TUR_Net_2[[Rate type]:[Rate type]]=OP_Rates!$C147),0),MATCH(OP_Rates!K$65,Calc_TUR_Net_2[[#Headers],[Ausnet]:[United Energy]],0)),8),
IF($F147="Environmental",
ROUND(SUMIFS(Calc_TUR_ENV_2[United Energy],Calc_TUR_ENV_2[[Customer type]:[Customer type]],OP_Rates!$E147,Calc_TUR_ENV_2[[Rate type]:[Rate type]],OP_Rates!$C147),8))),0,1))</f>
        <v>0</v>
      </c>
      <c r="M147" s="48"/>
      <c r="N147" s="48"/>
      <c r="O147" s="48"/>
      <c r="P147" s="48"/>
      <c r="Q147" s="169"/>
      <c r="R147" s="169"/>
      <c r="S147" s="169"/>
      <c r="T147" s="169"/>
      <c r="U147" s="169"/>
    </row>
    <row r="148" spans="3:21" outlineLevel="1" collapsed="1" x14ac:dyDescent="0.25"/>
    <row r="167" spans="6:10" x14ac:dyDescent="0.25">
      <c r="F167" s="90"/>
      <c r="G167" s="90"/>
      <c r="H167" s="90"/>
      <c r="I167" s="90"/>
      <c r="J167" s="90"/>
    </row>
    <row r="168" spans="6:10" x14ac:dyDescent="0.25">
      <c r="F168" s="90"/>
      <c r="G168" s="90"/>
      <c r="H168" s="90"/>
      <c r="I168" s="90"/>
      <c r="J168" s="90"/>
    </row>
    <row r="169" spans="6:10" x14ac:dyDescent="0.25">
      <c r="F169" s="90"/>
      <c r="G169" s="90"/>
      <c r="H169" s="90"/>
      <c r="I169" s="90"/>
      <c r="J169" s="90"/>
    </row>
    <row r="170" spans="6:10" x14ac:dyDescent="0.25">
      <c r="F170" s="90"/>
      <c r="G170" s="90"/>
      <c r="H170" s="90"/>
      <c r="I170" s="90"/>
      <c r="J170" s="90"/>
    </row>
    <row r="171" spans="6:10" x14ac:dyDescent="0.25">
      <c r="F171" s="90"/>
      <c r="G171" s="90"/>
      <c r="H171" s="90"/>
      <c r="I171" s="90"/>
      <c r="J171" s="90"/>
    </row>
    <row r="172" spans="6:10" x14ac:dyDescent="0.25">
      <c r="F172" s="90"/>
      <c r="G172" s="90"/>
      <c r="H172" s="90"/>
      <c r="I172" s="90"/>
      <c r="J172" s="90"/>
    </row>
    <row r="173" spans="6:10" x14ac:dyDescent="0.25">
      <c r="F173" s="90"/>
      <c r="G173" s="90"/>
      <c r="H173" s="90"/>
      <c r="I173" s="90"/>
      <c r="J173" s="90"/>
    </row>
  </sheetData>
  <sheetProtection algorithmName="SHA-512" hashValue="tgRj3gwB+Hll+A5TJmiGDJH2cHh72qsvSgYNaUOmmNIpnhX6NeLiZKGJ4l1y7nslWcTnLZjoO+JKheAMTGuB7g==" saltValue="2ocAj99LtAr2ci6d7YidFg==" spinCount="100000" sheet="1" objects="1" scenarios="1"/>
  <mergeCells count="1">
    <mergeCell ref="A2:A3"/>
  </mergeCells>
  <dataValidations count="2">
    <dataValidation type="list" allowBlank="1" showInputMessage="1" showErrorMessage="1" sqref="O55:O62 O9:O16 E128:E135 O128:O135 O20:O27 E20:E27 E93:E100 O93:O100 E82:E89 O82:O89 E9:E16 E55:E62 E44:E51 O44:O51 E117:E124 O117:O124 O104:O112 E104:E112 E139:E147 O139:O147 E31:E39 O31:O39 E66:E74 O66:O74" xr:uid="{AE1D8D9F-4D5B-4AC8-9791-FC1C8C5CF940}">
      <formula1>#REF!</formula1>
    </dataValidation>
    <dataValidation type="list" allowBlank="1" showInputMessage="1" showErrorMessage="1" sqref="D93:D100 D55:D62 N20:N27 N128:N135 D128:D135 D20:D27 N9:N16 N93:N100 D82:D89 N82:N89 D9:D16 N55:N62 D44:D51 N44:N51 D117:D124 N117:N124 N104:N112 D104:D112 D139:D147 N139:N147 D31:D39 N31:N39 D66:D74 N66:N74" xr:uid="{1A9A4095-A88F-441F-8070-8597F2CE1034}">
      <formula1>#REF!</formula1>
    </dataValidation>
  </dataValidations>
  <pageMargins left="0.7" right="0.7" top="0.75" bottom="0.75" header="0.3" footer="0.3"/>
  <tableParts count="12">
    <tablePart r:id="rId1"/>
    <tablePart r:id="rId2"/>
    <tablePart r:id="rId3"/>
    <tablePart r:id="rId4"/>
    <tablePart r:id="rId5"/>
    <tablePart r:id="rId6"/>
    <tablePart r:id="rId7"/>
    <tablePart r:id="rId8"/>
    <tablePart r:id="rId9"/>
    <tablePart r:id="rId10"/>
    <tablePart r:id="rId11"/>
    <tablePart r:id="rId1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1C5C-D042-428B-AB68-13F89BD3F2D5}">
  <sheetPr>
    <tabColor rgb="FFCE0058"/>
  </sheetPr>
  <dimension ref="A1:R51"/>
  <sheetViews>
    <sheetView showGridLines="0" zoomScale="70" zoomScaleNormal="70" workbookViewId="0">
      <pane ySplit="3" topLeftCell="A21" activePane="bottomLeft" state="frozen"/>
      <selection pane="bottomLeft" activeCell="D53" sqref="D53"/>
    </sheetView>
  </sheetViews>
  <sheetFormatPr defaultColWidth="9.140625" defaultRowHeight="15" outlineLevelCol="1" x14ac:dyDescent="0.25"/>
  <cols>
    <col min="1" max="1" width="100.7109375" hidden="1" customWidth="1" outlineLevel="1"/>
    <col min="2" max="2" width="10.7109375" style="6" customWidth="1" collapsed="1"/>
    <col min="3" max="3" width="20.5703125" customWidth="1"/>
    <col min="4" max="4" width="23.85546875" bestFit="1" customWidth="1"/>
    <col min="5" max="9" width="20.5703125" customWidth="1"/>
    <col min="10" max="10" width="5.5703125" customWidth="1"/>
    <col min="11" max="18" width="20.5703125" customWidth="1"/>
  </cols>
  <sheetData>
    <row r="1" spans="1:18" ht="15" customHeight="1" x14ac:dyDescent="0.25">
      <c r="A1" s="1" t="s">
        <v>16</v>
      </c>
      <c r="B1" s="16"/>
      <c r="C1" s="17"/>
      <c r="D1" s="17"/>
      <c r="E1" s="17"/>
      <c r="F1" s="17"/>
      <c r="G1" s="100" t="s">
        <v>293</v>
      </c>
      <c r="H1" s="82"/>
      <c r="I1" s="17"/>
      <c r="J1" s="17"/>
      <c r="K1" s="17"/>
      <c r="L1" s="17"/>
      <c r="M1" s="17"/>
      <c r="N1" s="17"/>
      <c r="O1" s="17"/>
      <c r="P1" s="17"/>
      <c r="Q1" s="17"/>
      <c r="R1" s="17"/>
    </row>
    <row r="2" spans="1:18" s="4" customFormat="1" ht="50.1" customHeight="1" x14ac:dyDescent="0.25">
      <c r="A2" s="183" t="s">
        <v>17</v>
      </c>
      <c r="B2" s="19"/>
      <c r="C2" s="19" t="str">
        <f>Disclaimer!$B$1</f>
        <v>VDO calculation model</v>
      </c>
      <c r="D2" s="19"/>
      <c r="E2" s="19"/>
      <c r="F2" s="19"/>
      <c r="G2" s="170" t="str">
        <f>Calc_Rates!$D$5</f>
        <v>VDO 2021 - Variation final</v>
      </c>
      <c r="H2" s="170" t="str">
        <f>Calc_Rates!$D$249</f>
        <v>VDO 2022 - Draft</v>
      </c>
      <c r="I2" s="19"/>
      <c r="J2" s="19"/>
      <c r="K2" s="19"/>
      <c r="L2" s="19"/>
      <c r="M2" s="19"/>
      <c r="N2" s="19"/>
      <c r="O2" s="19"/>
      <c r="P2" s="19"/>
      <c r="Q2" s="19"/>
      <c r="R2" s="19"/>
    </row>
    <row r="3" spans="1:18" s="4" customFormat="1" ht="30" customHeight="1" x14ac:dyDescent="0.25">
      <c r="A3" s="184"/>
      <c r="B3" s="21">
        <f ca="1">_xlfn.SHEET()</f>
        <v>11</v>
      </c>
      <c r="C3" s="20" t="s">
        <v>264</v>
      </c>
      <c r="D3" s="20"/>
      <c r="E3" s="20"/>
      <c r="F3" s="20"/>
      <c r="G3" s="81">
        <f>SUM(E18:I20)+SUM(M18:Q20)</f>
        <v>0</v>
      </c>
      <c r="H3" s="81">
        <f>SUM(E36:I38)+SUM(M36:Q38)</f>
        <v>0</v>
      </c>
      <c r="I3" s="20"/>
      <c r="J3" s="20"/>
      <c r="K3" s="20"/>
      <c r="L3" s="20"/>
      <c r="M3" s="20"/>
      <c r="N3" s="20"/>
      <c r="O3" s="20"/>
      <c r="P3" s="20"/>
      <c r="Q3" s="20"/>
      <c r="R3" s="20"/>
    </row>
    <row r="4" spans="1:18" x14ac:dyDescent="0.25">
      <c r="B4"/>
    </row>
    <row r="5" spans="1:18" ht="16.5" thickBot="1" x14ac:dyDescent="0.3">
      <c r="A5" s="1" t="s">
        <v>19</v>
      </c>
      <c r="B5" s="7">
        <f ca="1">MAX(B$3:B4)+0.1</f>
        <v>11.1</v>
      </c>
      <c r="C5" s="22" t="str">
        <f>"CMAB amounts - "&amp;Calc_Rates!$D$5</f>
        <v>CMAB amounts - VDO 2021 - Variation final</v>
      </c>
      <c r="D5" s="22"/>
      <c r="E5" s="22"/>
      <c r="F5" s="22"/>
      <c r="G5" s="22"/>
      <c r="H5" s="22"/>
      <c r="I5" s="22"/>
      <c r="J5" s="22"/>
      <c r="K5" s="22"/>
      <c r="L5" s="22"/>
      <c r="M5" s="22"/>
      <c r="N5" s="22"/>
      <c r="O5" s="22"/>
      <c r="P5" s="22"/>
      <c r="Q5" s="22"/>
      <c r="R5" s="22"/>
    </row>
    <row r="7" spans="1:18" ht="15.75" x14ac:dyDescent="0.25">
      <c r="C7" s="43" t="s">
        <v>36</v>
      </c>
      <c r="D7" s="32" t="str">
        <f>Calc_Rates!$D$5</f>
        <v>VDO 2021 - Variation final</v>
      </c>
      <c r="F7" s="43" t="s">
        <v>343</v>
      </c>
      <c r="G7" s="71" t="str">
        <f>INDEX(Inputs!$H$10:$Q$10,1,MATCH($D$7,Inputs!$H$8:$Q$8,0))</f>
        <v>VF-CurrentVDO_Input</v>
      </c>
      <c r="H7" s="156" t="str">
        <f>INDEX(Input_TUNet_Dates[[F-CurrentVDO_Input]:[F-NextVDO_Input]],MATCH(F7,Input_TUNet_Dates[Item],0),MATCH(G7,Input_TUNet_Dates[[#Headers],[F-CurrentVDO_Input]:[F-NextVDO_Input]],0))</f>
        <v>-</v>
      </c>
    </row>
    <row r="8" spans="1:18" ht="15.75" x14ac:dyDescent="0.25">
      <c r="F8" s="43" t="s">
        <v>344</v>
      </c>
      <c r="G8" s="71" t="str">
        <f>INDEX(Inputs!$H$10:$Q$10,1,MATCH($D$7,Inputs!$H$8:$Q$8,0))</f>
        <v>VF-CurrentVDO_Input</v>
      </c>
      <c r="H8" s="156" t="str">
        <f>INDEX(Input_TUNet_Dates[[F-CurrentVDO_Input]:[F-NextVDO_Input]],MATCH(F8,Input_TUNet_Dates[Item],0),MATCH(G8,Input_TUNet_Dates[[#Headers],[F-CurrentVDO_Input]:[F-NextVDO_Input]],0))</f>
        <v>-</v>
      </c>
    </row>
    <row r="9" spans="1:18" ht="15.75" x14ac:dyDescent="0.25">
      <c r="F9" s="23"/>
    </row>
    <row r="10" spans="1:18" ht="15.75" x14ac:dyDescent="0.25">
      <c r="F10" s="43" t="s">
        <v>399</v>
      </c>
      <c r="H10" s="176" t="str">
        <f>IFERROR(_xlfn.DAYS(H8,H7)+1,"-")</f>
        <v>-</v>
      </c>
    </row>
    <row r="12" spans="1:18" ht="15.75" x14ac:dyDescent="0.25">
      <c r="C12" s="23" t="s">
        <v>31</v>
      </c>
      <c r="K12" s="23" t="s">
        <v>32</v>
      </c>
    </row>
    <row r="13" spans="1:18" ht="15.75" x14ac:dyDescent="0.25">
      <c r="C13" s="34" t="s">
        <v>30</v>
      </c>
      <c r="D13" s="34" t="s">
        <v>29</v>
      </c>
      <c r="E13" s="49" t="s">
        <v>204</v>
      </c>
      <c r="F13" s="49" t="s">
        <v>205</v>
      </c>
      <c r="G13" s="49" t="s">
        <v>206</v>
      </c>
      <c r="H13" s="49" t="s">
        <v>207</v>
      </c>
      <c r="I13" s="49" t="s">
        <v>208</v>
      </c>
      <c r="K13" s="34" t="s">
        <v>30</v>
      </c>
      <c r="L13" s="34" t="s">
        <v>29</v>
      </c>
      <c r="M13" s="49" t="s">
        <v>204</v>
      </c>
      <c r="N13" s="49" t="s">
        <v>205</v>
      </c>
      <c r="O13" s="49" t="s">
        <v>206</v>
      </c>
      <c r="P13" s="49" t="s">
        <v>207</v>
      </c>
      <c r="Q13" s="49" t="s">
        <v>208</v>
      </c>
    </row>
    <row r="14" spans="1:18" hidden="1" x14ac:dyDescent="0.25">
      <c r="C14" s="18" t="s">
        <v>31</v>
      </c>
      <c r="D14" s="18" t="s">
        <v>156</v>
      </c>
      <c r="E14" s="97">
        <f>IFERROR(
IF($D$7="VDO 2021 - Final",
ROUNDUP(
(INDEX(OP_Rates_RES_1[[Ausnet]:[United Energy]],MATCH("Anytime - supply",OP_Rates_RES_1[[Rate name]:[Rate name]],0),MATCH(OP_CMAB!E$13,OP_Rates_RES_1[[#Headers],[Ausnet]:[United Energy]],0))*DiY)+
IFERROR((INDEX(OP_RatesTU_RES_1[[Ausnet]:[United Energy]],MATCH("Anytime",OP_RatesTU_RES_1[[Rate name]:[Rate name]],0),MATCH(OP_CMAB!E$13,OP_RatesTU_RES_1[[#Headers],[Ausnet]:[United Energy]],0))*$H$10),0)+
(IFERROR((INDEX(OP_TotalRates_RES_1[[Ausnet]:[United Energy]],MATCH("Block 1",OP_TotalRates_RES_1[[Rate name]:[Rate name]],0),MATCH(OP_CMAB!E$13,OP_TotalRates_RES_1[[#Headers],[Ausnet]:[United Energy]],0))*
INDEX(Input_Usage[[F-CurrentVDO_Input]:[F-NextVDO_Input]],MATCH(OP_CMAB!$D14&amp;" - Block 1",Input_Usage[[Ref]:[Ref]],0),MATCH(OP_CMAB!$D$7,Inputs!$I$131:$M$131,0))),0)+
IFERROR((INDEX(OP_TotalRates_RES_1[[Ausnet]:[United Energy]],MATCH("Balance",OP_TotalRates_RES_1[[Rate name]:[Rate name]],0),MATCH(OP_CMAB!E$13,OP_TotalRates_RES_1[[#Headers],[Ausnet]:[United Energy]],0))*
INDEX(Input_Usage[[F-CurrentVDO_Input]:[F-NextVDO_Input]],MATCH(OP_CMAB!$D14&amp;" - Balance",Input_Usage[[Ref]:[Ref]],0),MATCH(OP_CMAB!$D$7,Inputs!$I$131:$M$131,0))),0)+
IFERROR((INDEX(OP_TotalRates_RES_1[[Ausnet]:[United Energy]],MATCH("Single rate",OP_TotalRates_RES_1[[Rate name]:[Rate name]],0),MATCH(OP_CMAB!E$13,OP_TotalRates_RES_1[[#Headers],[Ausnet]:[United Energy]],0))*
INDEX(Input_Usage[[F-CurrentVDO_Input]:[F-NextVDO_Input]],MATCH(OP_CMAB!$D14&amp;" - Annual",Input_Usage[[Ref]:[Ref]],0),MATCH(OP_CMAB!$D$7,Inputs!$I$131:$M$131,0))),0)),0),
ROUNDUP(
(INDEX(OP_Rates_RES_1[[Ausnet]:[United Energy]],MATCH("TOU - supply",OP_Rates_RES_1[[Rate name]:[Rate name]],0),MATCH(OP_CMAB!E$13,OP_Rates_RES_1[[#Headers],[Ausnet]:[United Energy]],0))*DiY)+
IFERROR((INDEX(OP_RatesTU_RES_1[[Ausnet]:[United Energy]],MATCH("TOU",OP_RatesTU_RES_1[[Rate name]:[Rate name]],0),MATCH(OP_CMAB!E$13,OP_RatesTU_RES_1[[#Headers],[Ausnet]:[United Energy]],0))*$H$10),0)+
(INDEX(OP_TotalRates_RES_1[[Ausnet]:[United Energy]],MATCH("Peak",OP_TotalRates_RES_1[[Rate name]:[Rate name]],0),MATCH(OP_CMAB!E$13,OP_TotalRates_RES_1[[#Headers],[Ausnet]:[United Energy]],0))*
INDEX(Input_Usage[[F-CurrentVDO_Input]:[F-NextVDO_Input]],MATCH($D14&amp;" - Peak",Input_Usage[[Ref]:[Ref]],0),MATCH($D$7,Inputs!$I$131:$M$131,0)))+
IFERROR((INDEX(OP_TotalRates_RES_1[[Ausnet]:[United Energy]],MATCH("TOU - Shoulder",OP_TotalRates_RES_1[[Rate name]:[Rate name]],0),MATCH(OP_CMAB!E$13,OP_TotalRates_RES_1[[#Headers],[Ausnet]:[United Energy]],0))*
INDEX(Input_Usage[[F-CurrentVDO_Input]:[F-NextVDO_Input]],MATCH($D14&amp;" - Shoulder",Input_Usage[[Ref]:[Ref]],0),MATCH($D$7,Inputs!$I$131:$M$131,0))),0)+
(INDEX(OP_TotalRates_RES_1[[Ausnet]:[United Energy]],MATCH("Off peak",OP_TotalRates_RES_1[[Rate name]:[Rate name]],0),MATCH(OP_CMAB!E$13,OP_TotalRates_RES_1[[#Headers],[Ausnet]:[United Energy]],0))*
INDEX(Input_Usage[[F-CurrentVDO_Input]:[F-NextVDO_Input]],MATCH($D14&amp;" - Off peak",Input_Usage[[Ref]:[Ref]],0),MATCH($D$7,Inputs!$I$131:$M$131,0))),0)),"-")</f>
        <v>959</v>
      </c>
      <c r="F14" s="97">
        <f>IFERROR(
IF($D$7="VDO 2021 - Final",
ROUNDUP(
(INDEX(OP_Rates_RES_1[[Ausnet]:[United Energy]],MATCH("Anytime - supply",OP_Rates_RES_1[[Rate name]:[Rate name]],0),MATCH(OP_CMAB!F$13,OP_Rates_RES_1[[#Headers],[Ausnet]:[United Energy]],0))*DiY)+
IFERROR((INDEX(OP_RatesTU_RES_1[[Ausnet]:[United Energy]],MATCH("Anytime",OP_RatesTU_RES_1[[Rate name]:[Rate name]],0),MATCH(OP_CMAB!F$13,OP_RatesTU_RES_1[[#Headers],[Ausnet]:[United Energy]],0))*$H$10),0)+
(IFERROR((INDEX(OP_TotalRates_RES_1[[Ausnet]:[United Energy]],MATCH("Block 1",OP_TotalRates_RES_1[[Rate name]:[Rate name]],0),MATCH(OP_CMAB!F$13,OP_TotalRates_RES_1[[#Headers],[Ausnet]:[United Energy]],0))*
INDEX(Input_Usage[[F-CurrentVDO_Input]:[F-NextVDO_Input]],MATCH(OP_CMAB!$D14&amp;" - Block 1",Input_Usage[[Ref]:[Ref]],0),MATCH(OP_CMAB!$D$7,Inputs!$I$131:$M$131,0))),0)+
IFERROR((INDEX(OP_TotalRates_RES_1[[Ausnet]:[United Energy]],MATCH("Balance",OP_TotalRates_RES_1[[Rate name]:[Rate name]],0),MATCH(OP_CMAB!F$13,OP_TotalRates_RES_1[[#Headers],[Ausnet]:[United Energy]],0))*
INDEX(Input_Usage[[F-CurrentVDO_Input]:[F-NextVDO_Input]],MATCH(OP_CMAB!$D14&amp;" - Balance",Input_Usage[[Ref]:[Ref]],0),MATCH(OP_CMAB!$D$7,Inputs!$I$131:$M$131,0))),0)+
IFERROR((INDEX(OP_TotalRates_RES_1[[Ausnet]:[United Energy]],MATCH("Single rate",OP_TotalRates_RES_1[[Rate name]:[Rate name]],0),MATCH(OP_CMAB!F$13,OP_TotalRates_RES_1[[#Headers],[Ausnet]:[United Energy]],0))*
INDEX(Input_Usage[[F-CurrentVDO_Input]:[F-NextVDO_Input]],MATCH(OP_CMAB!$D14&amp;" - Annual",Input_Usage[[Ref]:[Ref]],0),MATCH(OP_CMAB!$D$7,Inputs!$I$131:$M$131,0))),0)),0),
ROUNDUP(
(INDEX(OP_Rates_RES_1[[Ausnet]:[United Energy]],MATCH("TOU - supply",OP_Rates_RES_1[[Rate name]:[Rate name]],0),MATCH(OP_CMAB!F$13,OP_Rates_RES_1[[#Headers],[Ausnet]:[United Energy]],0))*DiY)+
IFERROR((INDEX(OP_RatesTU_RES_1[[Ausnet]:[United Energy]],MATCH("TOU",OP_RatesTU_RES_1[[Rate name]:[Rate name]],0),MATCH(OP_CMAB!F$13,OP_RatesTU_RES_1[[#Headers],[Ausnet]:[United Energy]],0))*$H$10),0)+
(INDEX(OP_TotalRates_RES_1[[Ausnet]:[United Energy]],MATCH("Peak",OP_TotalRates_RES_1[[Rate name]:[Rate name]],0),MATCH(OP_CMAB!F$13,OP_TotalRates_RES_1[[#Headers],[Ausnet]:[United Energy]],0))*
INDEX(Input_Usage[[F-CurrentVDO_Input]:[F-NextVDO_Input]],MATCH($D14&amp;" - Peak",Input_Usage[[Ref]:[Ref]],0),MATCH($D$7,Inputs!$I$131:$M$131,0)))+
IFERROR((INDEX(OP_TotalRates_RES_1[[Ausnet]:[United Energy]],MATCH("TOU - Shoulder",OP_TotalRates_RES_1[[Rate name]:[Rate name]],0),MATCH(OP_CMAB!F$13,OP_TotalRates_RES_1[[#Headers],[Ausnet]:[United Energy]],0))*
INDEX(Input_Usage[[F-CurrentVDO_Input]:[F-NextVDO_Input]],MATCH($D14&amp;" - Shoulder",Input_Usage[[Ref]:[Ref]],0),MATCH($D$7,Inputs!$I$131:$M$131,0))),0)+
(INDEX(OP_TotalRates_RES_1[[Ausnet]:[United Energy]],MATCH("Off peak",OP_TotalRates_RES_1[[Rate name]:[Rate name]],0),MATCH(OP_CMAB!F$13,OP_TotalRates_RES_1[[#Headers],[Ausnet]:[United Energy]],0))*
INDEX(Input_Usage[[F-CurrentVDO_Input]:[F-NextVDO_Input]],MATCH($D14&amp;" - Off peak",Input_Usage[[Ref]:[Ref]],0),MATCH($D$7,Inputs!$I$131:$M$131,0))),0)),"-")</f>
        <v>868</v>
      </c>
      <c r="G14" s="97">
        <f>IFERROR(
IF($D$7="VDO 2021 - Final",
ROUNDUP(
(INDEX(OP_Rates_RES_1[[Ausnet]:[United Energy]],MATCH("Anytime - supply",OP_Rates_RES_1[[Rate name]:[Rate name]],0),MATCH(OP_CMAB!G$13,OP_Rates_RES_1[[#Headers],[Ausnet]:[United Energy]],0))*DiY)+
IFERROR((INDEX(OP_RatesTU_RES_1[[Ausnet]:[United Energy]],MATCH("Anytime",OP_RatesTU_RES_1[[Rate name]:[Rate name]],0),MATCH(OP_CMAB!G$13,OP_RatesTU_RES_1[[#Headers],[Ausnet]:[United Energy]],0))*$H$10),0)+
(IFERROR((INDEX(OP_TotalRates_RES_1[[Ausnet]:[United Energy]],MATCH("Block 1",OP_TotalRates_RES_1[[Rate name]:[Rate name]],0),MATCH(OP_CMAB!G$13,OP_TotalRates_RES_1[[#Headers],[Ausnet]:[United Energy]],0))*
INDEX(Input_Usage[[F-CurrentVDO_Input]:[F-NextVDO_Input]],MATCH(OP_CMAB!$D14&amp;" - Block 1",Input_Usage[[Ref]:[Ref]],0),MATCH(OP_CMAB!$D$7,Inputs!$I$131:$M$131,0))),0)+
IFERROR((INDEX(OP_TotalRates_RES_1[[Ausnet]:[United Energy]],MATCH("Balance",OP_TotalRates_RES_1[[Rate name]:[Rate name]],0),MATCH(OP_CMAB!G$13,OP_TotalRates_RES_1[[#Headers],[Ausnet]:[United Energy]],0))*
INDEX(Input_Usage[[F-CurrentVDO_Input]:[F-NextVDO_Input]],MATCH(OP_CMAB!$D14&amp;" - Balance",Input_Usage[[Ref]:[Ref]],0),MATCH(OP_CMAB!$D$7,Inputs!$I$131:$M$131,0))),0)+
IFERROR((INDEX(OP_TotalRates_RES_1[[Ausnet]:[United Energy]],MATCH("Single rate",OP_TotalRates_RES_1[[Rate name]:[Rate name]],0),MATCH(OP_CMAB!G$13,OP_TotalRates_RES_1[[#Headers],[Ausnet]:[United Energy]],0))*
INDEX(Input_Usage[[F-CurrentVDO_Input]:[F-NextVDO_Input]],MATCH(OP_CMAB!$D14&amp;" - Annual",Input_Usage[[Ref]:[Ref]],0),MATCH(OP_CMAB!$D$7,Inputs!$I$131:$M$131,0))),0)),0),
ROUNDUP(
(INDEX(OP_Rates_RES_1[[Ausnet]:[United Energy]],MATCH("TOU - supply",OP_Rates_RES_1[[Rate name]:[Rate name]],0),MATCH(OP_CMAB!G$13,OP_Rates_RES_1[[#Headers],[Ausnet]:[United Energy]],0))*DiY)+
IFERROR((INDEX(OP_RatesTU_RES_1[[Ausnet]:[United Energy]],MATCH("TOU",OP_RatesTU_RES_1[[Rate name]:[Rate name]],0),MATCH(OP_CMAB!G$13,OP_RatesTU_RES_1[[#Headers],[Ausnet]:[United Energy]],0))*$H$10),0)+
(INDEX(OP_TotalRates_RES_1[[Ausnet]:[United Energy]],MATCH("Peak",OP_TotalRates_RES_1[[Rate name]:[Rate name]],0),MATCH(OP_CMAB!G$13,OP_TotalRates_RES_1[[#Headers],[Ausnet]:[United Energy]],0))*
INDEX(Input_Usage[[F-CurrentVDO_Input]:[F-NextVDO_Input]],MATCH($D14&amp;" - Peak",Input_Usage[[Ref]:[Ref]],0),MATCH($D$7,Inputs!$I$131:$M$131,0)))+
IFERROR((INDEX(OP_TotalRates_RES_1[[Ausnet]:[United Energy]],MATCH("TOU - Shoulder",OP_TotalRates_RES_1[[Rate name]:[Rate name]],0),MATCH(OP_CMAB!G$13,OP_TotalRates_RES_1[[#Headers],[Ausnet]:[United Energy]],0))*
INDEX(Input_Usage[[F-CurrentVDO_Input]:[F-NextVDO_Input]],MATCH($D14&amp;" - Shoulder",Input_Usage[[Ref]:[Ref]],0),MATCH($D$7,Inputs!$I$131:$M$131,0))),0)+
(INDEX(OP_TotalRates_RES_1[[Ausnet]:[United Energy]],MATCH("Off peak",OP_TotalRates_RES_1[[Rate name]:[Rate name]],0),MATCH(OP_CMAB!G$13,OP_TotalRates_RES_1[[#Headers],[Ausnet]:[United Energy]],0))*
INDEX(Input_Usage[[F-CurrentVDO_Input]:[F-NextVDO_Input]],MATCH($D14&amp;" - Off peak",Input_Usage[[Ref]:[Ref]],0),MATCH($D$7,Inputs!$I$131:$M$131,0))),0)),"-")</f>
        <v>852</v>
      </c>
      <c r="H14" s="97">
        <f>IFERROR(
IF($D$7="VDO 2021 - Final",
ROUNDUP(
(INDEX(OP_Rates_RES_1[[Ausnet]:[United Energy]],MATCH("Anytime - supply",OP_Rates_RES_1[[Rate name]:[Rate name]],0),MATCH(OP_CMAB!H$13,OP_Rates_RES_1[[#Headers],[Ausnet]:[United Energy]],0))*DiY)+
IFERROR((INDEX(OP_RatesTU_RES_1[[Ausnet]:[United Energy]],MATCH("Anytime",OP_RatesTU_RES_1[[Rate name]:[Rate name]],0),MATCH(OP_CMAB!H$13,OP_RatesTU_RES_1[[#Headers],[Ausnet]:[United Energy]],0))*$H$10),0)+
(IFERROR((INDEX(OP_TotalRates_RES_1[[Ausnet]:[United Energy]],MATCH("Block 1",OP_TotalRates_RES_1[[Rate name]:[Rate name]],0),MATCH(OP_CMAB!H$13,OP_TotalRates_RES_1[[#Headers],[Ausnet]:[United Energy]],0))*
INDEX(Input_Usage[[F-CurrentVDO_Input]:[F-NextVDO_Input]],MATCH(OP_CMAB!$D14&amp;" - Block 1",Input_Usage[[Ref]:[Ref]],0),MATCH(OP_CMAB!$D$7,Inputs!$I$131:$M$131,0))),0)+
IFERROR((INDEX(OP_TotalRates_RES_1[[Ausnet]:[United Energy]],MATCH("Balance",OP_TotalRates_RES_1[[Rate name]:[Rate name]],0),MATCH(OP_CMAB!H$13,OP_TotalRates_RES_1[[#Headers],[Ausnet]:[United Energy]],0))*
INDEX(Input_Usage[[F-CurrentVDO_Input]:[F-NextVDO_Input]],MATCH(OP_CMAB!$D14&amp;" - Balance",Input_Usage[[Ref]:[Ref]],0),MATCH(OP_CMAB!$D$7,Inputs!$I$131:$M$131,0))),0)+
IFERROR((INDEX(OP_TotalRates_RES_1[[Ausnet]:[United Energy]],MATCH("Single rate",OP_TotalRates_RES_1[[Rate name]:[Rate name]],0),MATCH(OP_CMAB!H$13,OP_TotalRates_RES_1[[#Headers],[Ausnet]:[United Energy]],0))*
INDEX(Input_Usage[[F-CurrentVDO_Input]:[F-NextVDO_Input]],MATCH(OP_CMAB!$D14&amp;" - Annual",Input_Usage[[Ref]:[Ref]],0),MATCH(OP_CMAB!$D$7,Inputs!$I$131:$M$131,0))),0)),0),
ROUNDUP(
(INDEX(OP_Rates_RES_1[[Ausnet]:[United Energy]],MATCH("TOU - supply",OP_Rates_RES_1[[Rate name]:[Rate name]],0),MATCH(OP_CMAB!H$13,OP_Rates_RES_1[[#Headers],[Ausnet]:[United Energy]],0))*DiY)+
IFERROR((INDEX(OP_RatesTU_RES_1[[Ausnet]:[United Energy]],MATCH("TOU",OP_RatesTU_RES_1[[Rate name]:[Rate name]],0),MATCH(OP_CMAB!H$13,OP_RatesTU_RES_1[[#Headers],[Ausnet]:[United Energy]],0))*$H$10),0)+
(INDEX(OP_TotalRates_RES_1[[Ausnet]:[United Energy]],MATCH("Peak",OP_TotalRates_RES_1[[Rate name]:[Rate name]],0),MATCH(OP_CMAB!H$13,OP_TotalRates_RES_1[[#Headers],[Ausnet]:[United Energy]],0))*
INDEX(Input_Usage[[F-CurrentVDO_Input]:[F-NextVDO_Input]],MATCH($D14&amp;" - Peak",Input_Usage[[Ref]:[Ref]],0),MATCH($D$7,Inputs!$I$131:$M$131,0)))+
IFERROR((INDEX(OP_TotalRates_RES_1[[Ausnet]:[United Energy]],MATCH("TOU - Shoulder",OP_TotalRates_RES_1[[Rate name]:[Rate name]],0),MATCH(OP_CMAB!H$13,OP_TotalRates_RES_1[[#Headers],[Ausnet]:[United Energy]],0))*
INDEX(Input_Usage[[F-CurrentVDO_Input]:[F-NextVDO_Input]],MATCH($D14&amp;" - Shoulder",Input_Usage[[Ref]:[Ref]],0),MATCH($D$7,Inputs!$I$131:$M$131,0))),0)+
(INDEX(OP_TotalRates_RES_1[[Ausnet]:[United Energy]],MATCH("Off peak",OP_TotalRates_RES_1[[Rate name]:[Rate name]],0),MATCH(OP_CMAB!H$13,OP_TotalRates_RES_1[[#Headers],[Ausnet]:[United Energy]],0))*
INDEX(Input_Usage[[F-CurrentVDO_Input]:[F-NextVDO_Input]],MATCH($D14&amp;" - Off peak",Input_Usage[[Ref]:[Ref]],0),MATCH($D$7,Inputs!$I$131:$M$131,0))),0)),"-")</f>
        <v>938</v>
      </c>
      <c r="I14" s="97">
        <f>IFERROR(
IF($D$7="VDO 2021 - Final",
ROUNDUP(
(INDEX(OP_Rates_RES_1[[Ausnet]:[United Energy]],MATCH("Anytime - supply",OP_Rates_RES_1[[Rate name]:[Rate name]],0),MATCH(OP_CMAB!I$13,OP_Rates_RES_1[[#Headers],[Ausnet]:[United Energy]],0))*DiY)+
IFERROR((INDEX(OP_RatesTU_RES_1[[Ausnet]:[United Energy]],MATCH("Anytime",OP_RatesTU_RES_1[[Rate name]:[Rate name]],0),MATCH(OP_CMAB!I$13,OP_RatesTU_RES_1[[#Headers],[Ausnet]:[United Energy]],0))*$H$10),0)+
(IFERROR((INDEX(OP_TotalRates_RES_1[[Ausnet]:[United Energy]],MATCH("Block 1",OP_TotalRates_RES_1[[Rate name]:[Rate name]],0),MATCH(OP_CMAB!I$13,OP_TotalRates_RES_1[[#Headers],[Ausnet]:[United Energy]],0))*
INDEX(Input_Usage[[F-CurrentVDO_Input]:[F-NextVDO_Input]],MATCH(OP_CMAB!$D14&amp;" - Block 1",Input_Usage[[Ref]:[Ref]],0),MATCH(OP_CMAB!$D$7,Inputs!$I$131:$M$131,0))),0)+
IFERROR((INDEX(OP_TotalRates_RES_1[[Ausnet]:[United Energy]],MATCH("Balance",OP_TotalRates_RES_1[[Rate name]:[Rate name]],0),MATCH(OP_CMAB!I$13,OP_TotalRates_RES_1[[#Headers],[Ausnet]:[United Energy]],0))*
INDEX(Input_Usage[[F-CurrentVDO_Input]:[F-NextVDO_Input]],MATCH(OP_CMAB!$D14&amp;" - Balance",Input_Usage[[Ref]:[Ref]],0),MATCH(OP_CMAB!$D$7,Inputs!$I$131:$M$131,0))),0)+
IFERROR((INDEX(OP_TotalRates_RES_1[[Ausnet]:[United Energy]],MATCH("Single rate",OP_TotalRates_RES_1[[Rate name]:[Rate name]],0),MATCH(OP_CMAB!I$13,OP_TotalRates_RES_1[[#Headers],[Ausnet]:[United Energy]],0))*
INDEX(Input_Usage[[F-CurrentVDO_Input]:[F-NextVDO_Input]],MATCH(OP_CMAB!$D14&amp;" - Annual",Input_Usage[[Ref]:[Ref]],0),MATCH(OP_CMAB!$D$7,Inputs!$I$131:$M$131,0))),0)),0),
ROUNDUP(
(INDEX(OP_Rates_RES_1[[Ausnet]:[United Energy]],MATCH("TOU - supply",OP_Rates_RES_1[[Rate name]:[Rate name]],0),MATCH(OP_CMAB!I$13,OP_Rates_RES_1[[#Headers],[Ausnet]:[United Energy]],0))*DiY)+
IFERROR((INDEX(OP_RatesTU_RES_1[[Ausnet]:[United Energy]],MATCH("TOU",OP_RatesTU_RES_1[[Rate name]:[Rate name]],0),MATCH(OP_CMAB!I$13,OP_RatesTU_RES_1[[#Headers],[Ausnet]:[United Energy]],0))*$H$10),0)+
(INDEX(OP_TotalRates_RES_1[[Ausnet]:[United Energy]],MATCH("Peak",OP_TotalRates_RES_1[[Rate name]:[Rate name]],0),MATCH(OP_CMAB!I$13,OP_TotalRates_RES_1[[#Headers],[Ausnet]:[United Energy]],0))*
INDEX(Input_Usage[[F-CurrentVDO_Input]:[F-NextVDO_Input]],MATCH($D14&amp;" - Peak",Input_Usage[[Ref]:[Ref]],0),MATCH($D$7,Inputs!$I$131:$M$131,0)))+
IFERROR((INDEX(OP_TotalRates_RES_1[[Ausnet]:[United Energy]],MATCH("TOU - Shoulder",OP_TotalRates_RES_1[[Rate name]:[Rate name]],0),MATCH(OP_CMAB!I$13,OP_TotalRates_RES_1[[#Headers],[Ausnet]:[United Energy]],0))*
INDEX(Input_Usage[[F-CurrentVDO_Input]:[F-NextVDO_Input]],MATCH($D14&amp;" - Shoulder",Input_Usage[[Ref]:[Ref]],0),MATCH($D$7,Inputs!$I$131:$M$131,0))),0)+
(INDEX(OP_TotalRates_RES_1[[Ausnet]:[United Energy]],MATCH("Off peak",OP_TotalRates_RES_1[[Rate name]:[Rate name]],0),MATCH(OP_CMAB!I$13,OP_TotalRates_RES_1[[#Headers],[Ausnet]:[United Energy]],0))*
INDEX(Input_Usage[[F-CurrentVDO_Input]:[F-NextVDO_Input]],MATCH($D14&amp;" - Off peak",Input_Usage[[Ref]:[Ref]],0),MATCH($D$7,Inputs!$I$131:$M$131,0))),0)),"-")</f>
        <v>860</v>
      </c>
      <c r="K14" s="18" t="s">
        <v>32</v>
      </c>
      <c r="L14" s="18" t="s">
        <v>161</v>
      </c>
      <c r="M14" s="97">
        <f>IFERROR(
IF($D$7="VDO 2021 - Final",
ROUNDUP(
(INDEX(OP_Rates_SME_1[[Ausnet]:[United Energy]],MATCH("Anytime - supply",OP_Rates_SME_1[[Rate name]:[Rate name]],0),MATCH(OP_CMAB!M$13,OP_Rates_SME_1[[#Headers],[Ausnet]:[United Energy]],0))*DiY)+
IFERROR((INDEX(OP_RatesTU_SME_1[[Ausnet]:[United Energy]],MATCH("Anytime",OP_RatesTU_SME_1[[Rate name]:[Rate name]],0),MATCH(OP_CMAB!M$13,OP_RatesTU_SME_1[[#Headers],[Ausnet]:[United Energy]],0))*$H$10),0)+
(IFERROR((INDEX(OP_TotalRates_SME_1[[Ausnet]:[United Energy]],MATCH("Block 1",OP_TotalRates_SME_1[[Rate name]:[Rate name]],0),MATCH(OP_CMAB!M$13,OP_TotalRates_SME_1[[#Headers],[Ausnet]:[United Energy]],0))*
INDEX(Input_Usage[[F-CurrentVDO_Input]:[F-NextVDO_Input]],MATCH(OP_CMAB!$L14&amp;" - Block 1",Input_Usage[[Ref]:[Ref]],0),MATCH(OP_CMAB!$D$7,Inputs!$I$131:$M$131,0))),0)+
IFERROR((INDEX(OP_TotalRates_SME_1[[Ausnet]:[United Energy]],MATCH("Balance",OP_TotalRates_SME_1[[Rate name]:[Rate name]],0),MATCH(OP_CMAB!M$13,OP_TotalRates_SME_1[[#Headers],[Ausnet]:[United Energy]],0))*
INDEX(Input_Usage[[F-CurrentVDO_Input]:[F-NextVDO_Input]],MATCH(OP_CMAB!$L14&amp;" - Balance",Input_Usage[[Ref]:[Ref]],0),MATCH(OP_CMAB!$D$7,Inputs!$I$131:$M$131,0))),0)+
IFERROR((INDEX(OP_TotalRates_SME_1[[Ausnet]:[United Energy]],MATCH("Single rate",OP_TotalRates_SME_1[[Rate name]:[Rate name]],0),MATCH(OP_CMAB!M$13,OP_TotalRates_SME_1[[#Headers],[Ausnet]:[United Energy]],0))*
INDEX(Input_Usage[[F-CurrentVDO_Input]:[F-NextVDO_Input]],MATCH(OP_CMAB!$L14&amp;" - Annual",Input_Usage[[Ref]:[Ref]],0),MATCH(OP_CMAB!$D$7,Inputs!$I$131:$M$131,0))),0)),0),
ROUNDUP(
(INDEX(OP_Rates_SME_1[[Ausnet]:[United Energy]],MATCH("TOU - supply",OP_Rates_SME_1[[Rate name]:[Rate name]],0),MATCH(OP_CMAB!M$13,OP_Rates_SME_1[[#Headers],[Ausnet]:[United Energy]],0))*DiY)+
IFERROR((INDEX(OP_RatesTU_SME_1[[Ausnet]:[United Energy]],MATCH("TOU",OP_RatesTU_SME_1[[Rate name]:[Rate name]],0),MATCH(OP_CMAB!M$13,OP_RatesTU_SME_1[[#Headers],[Ausnet]:[United Energy]],0))*$H$10),0)+
(INDEX(OP_TotalRates_SME_1[[Ausnet]:[United Energy]],MATCH("Peak",OP_TotalRates_SME_1[[Rate name]:[Rate name]],0),MATCH(OP_CMAB!M$13,OP_TotalRates_SME_1[[#Headers],[Ausnet]:[United Energy]],0))*
INDEX(Input_Usage[[F-CurrentVDO_Input]:[F-NextVDO_Input]],MATCH($L14&amp;" - Peak",Input_Usage[[Ref]:[Ref]],0),MATCH($D$7,Inputs!$I$131:$M$131,0)))+
IFERROR((INDEX(OP_TotalRates_SME_1[[Ausnet]:[United Energy]],MATCH("TOU - Shoulder",OP_TotalRates_SME_1[[Rate name]:[Rate name]],0),MATCH(OP_CMAB!M$13,OP_TotalRates_SME_1[[#Headers],[Ausnet]:[United Energy]],0))*
INDEX(Input_Usage[[F-CurrentVDO_Input]:[F-NextVDO_Input]],MATCH($L14&amp;" - Shoulder",Input_Usage[[Ref]:[Ref]],0),MATCH($D$7,Inputs!$I$131:$M$131,0))),0)+
(INDEX(OP_TotalRates_SME_1[[Ausnet]:[United Energy]],MATCH("Off peak",OP_TotalRates_SME_1[[Rate name]:[Rate name]],0),MATCH(OP_CMAB!M$13,OP_TotalRates_SME_1[[#Headers],[Ausnet]:[United Energy]],0))*
INDEX(Input_Usage[[F-CurrentVDO_Input]:[F-NextVDO_Input]],MATCH($L14&amp;" - Off peak",Input_Usage[[Ref]:[Ref]],0),MATCH($D$7,Inputs!$I$131:$M$131,0))),0)),"-")</f>
        <v>3533</v>
      </c>
      <c r="N14" s="97">
        <f>IFERROR(
IF($D$7="VDO 2021 - Final",
ROUNDUP(
(INDEX(OP_Rates_SME_1[[Ausnet]:[United Energy]],MATCH("Anytime - supply",OP_Rates_SME_1[[Rate name]:[Rate name]],0),MATCH(OP_CMAB!N$13,OP_Rates_SME_1[[#Headers],[Ausnet]:[United Energy]],0))*DiY)+
IFERROR((INDEX(OP_RatesTU_SME_1[[Ausnet]:[United Energy]],MATCH("Anytime",OP_RatesTU_SME_1[[Rate name]:[Rate name]],0),MATCH(OP_CMAB!N$13,OP_RatesTU_SME_1[[#Headers],[Ausnet]:[United Energy]],0))*$H$10),0)+
(IFERROR((INDEX(OP_TotalRates_SME_1[[Ausnet]:[United Energy]],MATCH("Block 1",OP_TotalRates_SME_1[[Rate name]:[Rate name]],0),MATCH(OP_CMAB!N$13,OP_TotalRates_SME_1[[#Headers],[Ausnet]:[United Energy]],0))*
INDEX(Input_Usage[[F-CurrentVDO_Input]:[F-NextVDO_Input]],MATCH(OP_CMAB!$L14&amp;" - Block 1",Input_Usage[[Ref]:[Ref]],0),MATCH(OP_CMAB!$D$7,Inputs!$I$131:$M$131,0))),0)+
IFERROR((INDEX(OP_TotalRates_SME_1[[Ausnet]:[United Energy]],MATCH("Balance",OP_TotalRates_SME_1[[Rate name]:[Rate name]],0),MATCH(OP_CMAB!N$13,OP_TotalRates_SME_1[[#Headers],[Ausnet]:[United Energy]],0))*
INDEX(Input_Usage[[F-CurrentVDO_Input]:[F-NextVDO_Input]],MATCH(OP_CMAB!$L14&amp;" - Balance",Input_Usage[[Ref]:[Ref]],0),MATCH(OP_CMAB!$D$7,Inputs!$I$131:$M$131,0))),0)+
IFERROR((INDEX(OP_TotalRates_SME_1[[Ausnet]:[United Energy]],MATCH("Single rate",OP_TotalRates_SME_1[[Rate name]:[Rate name]],0),MATCH(OP_CMAB!N$13,OP_TotalRates_SME_1[[#Headers],[Ausnet]:[United Energy]],0))*
INDEX(Input_Usage[[F-CurrentVDO_Input]:[F-NextVDO_Input]],MATCH(OP_CMAB!$L14&amp;" - Annual",Input_Usage[[Ref]:[Ref]],0),MATCH(OP_CMAB!$D$7,Inputs!$I$131:$M$131,0))),0)),0),
ROUNDUP(
(INDEX(OP_Rates_SME_1[[Ausnet]:[United Energy]],MATCH("TOU - supply",OP_Rates_SME_1[[Rate name]:[Rate name]],0),MATCH(OP_CMAB!N$13,OP_Rates_SME_1[[#Headers],[Ausnet]:[United Energy]],0))*DiY)+
IFERROR((INDEX(OP_RatesTU_SME_1[[Ausnet]:[United Energy]],MATCH("TOU",OP_RatesTU_SME_1[[Rate name]:[Rate name]],0),MATCH(OP_CMAB!N$13,OP_RatesTU_SME_1[[#Headers],[Ausnet]:[United Energy]],0))*$H$10),0)+
(INDEX(OP_TotalRates_SME_1[[Ausnet]:[United Energy]],MATCH("Peak",OP_TotalRates_SME_1[[Rate name]:[Rate name]],0),MATCH(OP_CMAB!N$13,OP_TotalRates_SME_1[[#Headers],[Ausnet]:[United Energy]],0))*
INDEX(Input_Usage[[F-CurrentVDO_Input]:[F-NextVDO_Input]],MATCH($L14&amp;" - Peak",Input_Usage[[Ref]:[Ref]],0),MATCH($D$7,Inputs!$I$131:$M$131,0)))+
IFERROR((INDEX(OP_TotalRates_SME_1[[Ausnet]:[United Energy]],MATCH("TOU - Shoulder",OP_TotalRates_SME_1[[Rate name]:[Rate name]],0),MATCH(OP_CMAB!N$13,OP_TotalRates_SME_1[[#Headers],[Ausnet]:[United Energy]],0))*
INDEX(Input_Usage[[F-CurrentVDO_Input]:[F-NextVDO_Input]],MATCH($L14&amp;" - Shoulder",Input_Usage[[Ref]:[Ref]],0),MATCH($D$7,Inputs!$I$131:$M$131,0))),0)+
(INDEX(OP_TotalRates_SME_1[[Ausnet]:[United Energy]],MATCH("Off peak",OP_TotalRates_SME_1[[Rate name]:[Rate name]],0),MATCH(OP_CMAB!N$13,OP_TotalRates_SME_1[[#Headers],[Ausnet]:[United Energy]],0))*
INDEX(Input_Usage[[F-CurrentVDO_Input]:[F-NextVDO_Input]],MATCH($L14&amp;" - Off peak",Input_Usage[[Ref]:[Ref]],0),MATCH($D$7,Inputs!$I$131:$M$131,0))),0)),"-")</f>
        <v>3193</v>
      </c>
      <c r="O14" s="97">
        <f>IFERROR(
IF($D$7="VDO 2021 - Final",
ROUNDUP(
(INDEX(OP_Rates_SME_1[[Ausnet]:[United Energy]],MATCH("Anytime - supply",OP_Rates_SME_1[[Rate name]:[Rate name]],0),MATCH(OP_CMAB!O$13,OP_Rates_SME_1[[#Headers],[Ausnet]:[United Energy]],0))*DiY)+
IFERROR((INDEX(OP_RatesTU_SME_1[[Ausnet]:[United Energy]],MATCH("Anytime",OP_RatesTU_SME_1[[Rate name]:[Rate name]],0),MATCH(OP_CMAB!O$13,OP_RatesTU_SME_1[[#Headers],[Ausnet]:[United Energy]],0))*$H$10),0)+
(IFERROR((INDEX(OP_TotalRates_SME_1[[Ausnet]:[United Energy]],MATCH("Block 1",OP_TotalRates_SME_1[[Rate name]:[Rate name]],0),MATCH(OP_CMAB!O$13,OP_TotalRates_SME_1[[#Headers],[Ausnet]:[United Energy]],0))*
INDEX(Input_Usage[[F-CurrentVDO_Input]:[F-NextVDO_Input]],MATCH(OP_CMAB!$L14&amp;" - Block 1",Input_Usage[[Ref]:[Ref]],0),MATCH(OP_CMAB!$D$7,Inputs!$I$131:$M$131,0))),0)+
IFERROR((INDEX(OP_TotalRates_SME_1[[Ausnet]:[United Energy]],MATCH("Balance",OP_TotalRates_SME_1[[Rate name]:[Rate name]],0),MATCH(OP_CMAB!O$13,OP_TotalRates_SME_1[[#Headers],[Ausnet]:[United Energy]],0))*
INDEX(Input_Usage[[F-CurrentVDO_Input]:[F-NextVDO_Input]],MATCH(OP_CMAB!$L14&amp;" - Balance",Input_Usage[[Ref]:[Ref]],0),MATCH(OP_CMAB!$D$7,Inputs!$I$131:$M$131,0))),0)+
IFERROR((INDEX(OP_TotalRates_SME_1[[Ausnet]:[United Energy]],MATCH("Single rate",OP_TotalRates_SME_1[[Rate name]:[Rate name]],0),MATCH(OP_CMAB!O$13,OP_TotalRates_SME_1[[#Headers],[Ausnet]:[United Energy]],0))*
INDEX(Input_Usage[[F-CurrentVDO_Input]:[F-NextVDO_Input]],MATCH(OP_CMAB!$L14&amp;" - Annual",Input_Usage[[Ref]:[Ref]],0),MATCH(OP_CMAB!$D$7,Inputs!$I$131:$M$131,0))),0)),0),
ROUNDUP(
(INDEX(OP_Rates_SME_1[[Ausnet]:[United Energy]],MATCH("TOU - supply",OP_Rates_SME_1[[Rate name]:[Rate name]],0),MATCH(OP_CMAB!O$13,OP_Rates_SME_1[[#Headers],[Ausnet]:[United Energy]],0))*DiY)+
IFERROR((INDEX(OP_RatesTU_SME_1[[Ausnet]:[United Energy]],MATCH("TOU",OP_RatesTU_SME_1[[Rate name]:[Rate name]],0),MATCH(OP_CMAB!O$13,OP_RatesTU_SME_1[[#Headers],[Ausnet]:[United Energy]],0))*$H$10),0)+
(INDEX(OP_TotalRates_SME_1[[Ausnet]:[United Energy]],MATCH("Peak",OP_TotalRates_SME_1[[Rate name]:[Rate name]],0),MATCH(OP_CMAB!O$13,OP_TotalRates_SME_1[[#Headers],[Ausnet]:[United Energy]],0))*
INDEX(Input_Usage[[F-CurrentVDO_Input]:[F-NextVDO_Input]],MATCH($L14&amp;" - Peak",Input_Usage[[Ref]:[Ref]],0),MATCH($D$7,Inputs!$I$131:$M$131,0)))+
IFERROR((INDEX(OP_TotalRates_SME_1[[Ausnet]:[United Energy]],MATCH("TOU - Shoulder",OP_TotalRates_SME_1[[Rate name]:[Rate name]],0),MATCH(OP_CMAB!O$13,OP_TotalRates_SME_1[[#Headers],[Ausnet]:[United Energy]],0))*
INDEX(Input_Usage[[F-CurrentVDO_Input]:[F-NextVDO_Input]],MATCH($L14&amp;" - Shoulder",Input_Usage[[Ref]:[Ref]],0),MATCH($D$7,Inputs!$I$131:$M$131,0))),0)+
(INDEX(OP_TotalRates_SME_1[[Ausnet]:[United Energy]],MATCH("Off peak",OP_TotalRates_SME_1[[Rate name]:[Rate name]],0),MATCH(OP_CMAB!O$13,OP_TotalRates_SME_1[[#Headers],[Ausnet]:[United Energy]],0))*
INDEX(Input_Usage[[F-CurrentVDO_Input]:[F-NextVDO_Input]],MATCH($L14&amp;" - Off peak",Input_Usage[[Ref]:[Ref]],0),MATCH($D$7,Inputs!$I$131:$M$131,0))),0)),"-")</f>
        <v>3359</v>
      </c>
      <c r="P14" s="97">
        <f>IFERROR(
IF($D$7="VDO 2021 - Final",
ROUNDUP(
(INDEX(OP_Rates_SME_1[[Ausnet]:[United Energy]],MATCH("Anytime - supply",OP_Rates_SME_1[[Rate name]:[Rate name]],0),MATCH(OP_CMAB!P$13,OP_Rates_SME_1[[#Headers],[Ausnet]:[United Energy]],0))*DiY)+
IFERROR((INDEX(OP_RatesTU_SME_1[[Ausnet]:[United Energy]],MATCH("Anytime",OP_RatesTU_SME_1[[Rate name]:[Rate name]],0),MATCH(OP_CMAB!P$13,OP_RatesTU_SME_1[[#Headers],[Ausnet]:[United Energy]],0))*$H$10),0)+
(IFERROR((INDEX(OP_TotalRates_SME_1[[Ausnet]:[United Energy]],MATCH("Block 1",OP_TotalRates_SME_1[[Rate name]:[Rate name]],0),MATCH(OP_CMAB!P$13,OP_TotalRates_SME_1[[#Headers],[Ausnet]:[United Energy]],0))*
INDEX(Input_Usage[[F-CurrentVDO_Input]:[F-NextVDO_Input]],MATCH(OP_CMAB!$L14&amp;" - Block 1",Input_Usage[[Ref]:[Ref]],0),MATCH(OP_CMAB!$D$7,Inputs!$I$131:$M$131,0))),0)+
IFERROR((INDEX(OP_TotalRates_SME_1[[Ausnet]:[United Energy]],MATCH("Balance",OP_TotalRates_SME_1[[Rate name]:[Rate name]],0),MATCH(OP_CMAB!P$13,OP_TotalRates_SME_1[[#Headers],[Ausnet]:[United Energy]],0))*
INDEX(Input_Usage[[F-CurrentVDO_Input]:[F-NextVDO_Input]],MATCH(OP_CMAB!$L14&amp;" - Balance",Input_Usage[[Ref]:[Ref]],0),MATCH(OP_CMAB!$D$7,Inputs!$I$131:$M$131,0))),0)+
IFERROR((INDEX(OP_TotalRates_SME_1[[Ausnet]:[United Energy]],MATCH("Single rate",OP_TotalRates_SME_1[[Rate name]:[Rate name]],0),MATCH(OP_CMAB!P$13,OP_TotalRates_SME_1[[#Headers],[Ausnet]:[United Energy]],0))*
INDEX(Input_Usage[[F-CurrentVDO_Input]:[F-NextVDO_Input]],MATCH(OP_CMAB!$L14&amp;" - Annual",Input_Usage[[Ref]:[Ref]],0),MATCH(OP_CMAB!$D$7,Inputs!$I$131:$M$131,0))),0)),0),
ROUNDUP(
(INDEX(OP_Rates_SME_1[[Ausnet]:[United Energy]],MATCH("TOU - supply",OP_Rates_SME_1[[Rate name]:[Rate name]],0),MATCH(OP_CMAB!P$13,OP_Rates_SME_1[[#Headers],[Ausnet]:[United Energy]],0))*DiY)+
IFERROR((INDEX(OP_RatesTU_SME_1[[Ausnet]:[United Energy]],MATCH("TOU",OP_RatesTU_SME_1[[Rate name]:[Rate name]],0),MATCH(OP_CMAB!P$13,OP_RatesTU_SME_1[[#Headers],[Ausnet]:[United Energy]],0))*$H$10),0)+
(INDEX(OP_TotalRates_SME_1[[Ausnet]:[United Energy]],MATCH("Peak",OP_TotalRates_SME_1[[Rate name]:[Rate name]],0),MATCH(OP_CMAB!P$13,OP_TotalRates_SME_1[[#Headers],[Ausnet]:[United Energy]],0))*
INDEX(Input_Usage[[F-CurrentVDO_Input]:[F-NextVDO_Input]],MATCH($L14&amp;" - Peak",Input_Usage[[Ref]:[Ref]],0),MATCH($D$7,Inputs!$I$131:$M$131,0)))+
IFERROR((INDEX(OP_TotalRates_SME_1[[Ausnet]:[United Energy]],MATCH("TOU - Shoulder",OP_TotalRates_SME_1[[Rate name]:[Rate name]],0),MATCH(OP_CMAB!P$13,OP_TotalRates_SME_1[[#Headers],[Ausnet]:[United Energy]],0))*
INDEX(Input_Usage[[F-CurrentVDO_Input]:[F-NextVDO_Input]],MATCH($L14&amp;" - Shoulder",Input_Usage[[Ref]:[Ref]],0),MATCH($D$7,Inputs!$I$131:$M$131,0))),0)+
(INDEX(OP_TotalRates_SME_1[[Ausnet]:[United Energy]],MATCH("Off peak",OP_TotalRates_SME_1[[Rate name]:[Rate name]],0),MATCH(OP_CMAB!P$13,OP_TotalRates_SME_1[[#Headers],[Ausnet]:[United Energy]],0))*
INDEX(Input_Usage[[F-CurrentVDO_Input]:[F-NextVDO_Input]],MATCH($L14&amp;" - Off peak",Input_Usage[[Ref]:[Ref]],0),MATCH($D$7,Inputs!$I$131:$M$131,0))),0)),"-")</f>
        <v>3320</v>
      </c>
      <c r="Q14" s="97">
        <f>IFERROR(
IF($D$7="VDO 2021 - Final",
ROUNDUP(
(INDEX(OP_Rates_SME_1[[Ausnet]:[United Energy]],MATCH("Anytime - supply",OP_Rates_SME_1[[Rate name]:[Rate name]],0),MATCH(OP_CMAB!Q$13,OP_Rates_SME_1[[#Headers],[Ausnet]:[United Energy]],0))*DiY)+
IFERROR((INDEX(OP_RatesTU_SME_1[[Ausnet]:[United Energy]],MATCH("Anytime",OP_RatesTU_SME_1[[Rate name]:[Rate name]],0),MATCH(OP_CMAB!Q$13,OP_RatesTU_SME_1[[#Headers],[Ausnet]:[United Energy]],0))*$H$10),0)+
(IFERROR((INDEX(OP_TotalRates_SME_1[[Ausnet]:[United Energy]],MATCH("Block 1",OP_TotalRates_SME_1[[Rate name]:[Rate name]],0),MATCH(OP_CMAB!Q$13,OP_TotalRates_SME_1[[#Headers],[Ausnet]:[United Energy]],0))*
INDEX(Input_Usage[[F-CurrentVDO_Input]:[F-NextVDO_Input]],MATCH(OP_CMAB!$L14&amp;" - Block 1",Input_Usage[[Ref]:[Ref]],0),MATCH(OP_CMAB!$D$7,Inputs!$I$131:$M$131,0))),0)+
IFERROR((INDEX(OP_TotalRates_SME_1[[Ausnet]:[United Energy]],MATCH("Balance",OP_TotalRates_SME_1[[Rate name]:[Rate name]],0),MATCH(OP_CMAB!Q$13,OP_TotalRates_SME_1[[#Headers],[Ausnet]:[United Energy]],0))*
INDEX(Input_Usage[[F-CurrentVDO_Input]:[F-NextVDO_Input]],MATCH(OP_CMAB!$L14&amp;" - Balance",Input_Usage[[Ref]:[Ref]],0),MATCH(OP_CMAB!$D$7,Inputs!$I$131:$M$131,0))),0)+
IFERROR((INDEX(OP_TotalRates_SME_1[[Ausnet]:[United Energy]],MATCH("Single rate",OP_TotalRates_SME_1[[Rate name]:[Rate name]],0),MATCH(OP_CMAB!Q$13,OP_TotalRates_SME_1[[#Headers],[Ausnet]:[United Energy]],0))*
INDEX(Input_Usage[[F-CurrentVDO_Input]:[F-NextVDO_Input]],MATCH(OP_CMAB!$L14&amp;" - Annual",Input_Usage[[Ref]:[Ref]],0),MATCH(OP_CMAB!$D$7,Inputs!$I$131:$M$131,0))),0)),0),
ROUNDUP(
(INDEX(OP_Rates_SME_1[[Ausnet]:[United Energy]],MATCH("TOU - supply",OP_Rates_SME_1[[Rate name]:[Rate name]],0),MATCH(OP_CMAB!Q$13,OP_Rates_SME_1[[#Headers],[Ausnet]:[United Energy]],0))*DiY)+
IFERROR((INDEX(OP_RatesTU_SME_1[[Ausnet]:[United Energy]],MATCH("TOU",OP_RatesTU_SME_1[[Rate name]:[Rate name]],0),MATCH(OP_CMAB!Q$13,OP_RatesTU_SME_1[[#Headers],[Ausnet]:[United Energy]],0))*$H$10),0)+
(INDEX(OP_TotalRates_SME_1[[Ausnet]:[United Energy]],MATCH("Peak",OP_TotalRates_SME_1[[Rate name]:[Rate name]],0),MATCH(OP_CMAB!Q$13,OP_TotalRates_SME_1[[#Headers],[Ausnet]:[United Energy]],0))*
INDEX(Input_Usage[[F-CurrentVDO_Input]:[F-NextVDO_Input]],MATCH($L14&amp;" - Peak",Input_Usage[[Ref]:[Ref]],0),MATCH($D$7,Inputs!$I$131:$M$131,0)))+
IFERROR((INDEX(OP_TotalRates_SME_1[[Ausnet]:[United Energy]],MATCH("TOU - Shoulder",OP_TotalRates_SME_1[[Rate name]:[Rate name]],0),MATCH(OP_CMAB!Q$13,OP_TotalRates_SME_1[[#Headers],[Ausnet]:[United Energy]],0))*
INDEX(Input_Usage[[F-CurrentVDO_Input]:[F-NextVDO_Input]],MATCH($L14&amp;" - Shoulder",Input_Usage[[Ref]:[Ref]],0),MATCH($D$7,Inputs!$I$131:$M$131,0))),0)+
(INDEX(OP_TotalRates_SME_1[[Ausnet]:[United Energy]],MATCH("Off peak",OP_TotalRates_SME_1[[Rate name]:[Rate name]],0),MATCH(OP_CMAB!Q$13,OP_TotalRates_SME_1[[#Headers],[Ausnet]:[United Energy]],0))*
INDEX(Input_Usage[[F-CurrentVDO_Input]:[F-NextVDO_Input]],MATCH($L14&amp;" - Off peak",Input_Usage[[Ref]:[Ref]],0),MATCH($D$7,Inputs!$I$131:$M$131,0))),0)),"-")</f>
        <v>3239</v>
      </c>
    </row>
    <row r="15" spans="1:18" x14ac:dyDescent="0.25">
      <c r="C15" s="18" t="s">
        <v>31</v>
      </c>
      <c r="D15" s="18" t="s">
        <v>159</v>
      </c>
      <c r="E15" s="97">
        <f>IFERROR(
IF($D$7="VDO 2021 - Final",
ROUNDUP(
(INDEX(OP_Rates_RES_1[[Ausnet]:[United Energy]],MATCH("Anytime - supply",OP_Rates_RES_1[[Rate name]:[Rate name]],0),MATCH(OP_CMAB!E$13,OP_Rates_RES_1[[#Headers],[Ausnet]:[United Energy]],0))*DiY)+
IFERROR((INDEX(OP_RatesTU_RES_1[[Ausnet]:[United Energy]],MATCH("Anytime",OP_RatesTU_RES_1[[Rate name]:[Rate name]],0),MATCH(OP_CMAB!E$13,OP_RatesTU_RES_1[[#Headers],[Ausnet]:[United Energy]],0))*$H$10),0)+
(IFERROR((INDEX(OP_TotalRates_RES_1[[Ausnet]:[United Energy]],MATCH("Block 1",OP_TotalRates_RES_1[[Rate name]:[Rate name]],0),MATCH(OP_CMAB!E$13,OP_TotalRates_RES_1[[#Headers],[Ausnet]:[United Energy]],0))*
INDEX(Input_Usage[[F-CurrentVDO_Input]:[F-NextVDO_Input]],MATCH(OP_CMAB!$D15&amp;" - Block 1",Input_Usage[[Ref]:[Ref]],0),MATCH(OP_CMAB!$D$7,Inputs!$I$131:$M$131,0))),0)+
IFERROR((INDEX(OP_TotalRates_RES_1[[Ausnet]:[United Energy]],MATCH("Balance",OP_TotalRates_RES_1[[Rate name]:[Rate name]],0),MATCH(OP_CMAB!E$13,OP_TotalRates_RES_1[[#Headers],[Ausnet]:[United Energy]],0))*
INDEX(Input_Usage[[F-CurrentVDO_Input]:[F-NextVDO_Input]],MATCH(OP_CMAB!$D15&amp;" - Balance",Input_Usage[[Ref]:[Ref]],0),MATCH(OP_CMAB!$D$7,Inputs!$I$131:$M$131,0))),0)+
IFERROR((INDEX(OP_TotalRates_RES_1[[Ausnet]:[United Energy]],MATCH("Single rate",OP_TotalRates_RES_1[[Rate name]:[Rate name]],0),MATCH(OP_CMAB!E$13,OP_TotalRates_RES_1[[#Headers],[Ausnet]:[United Energy]],0))*
INDEX(Input_Usage[[F-CurrentVDO_Input]:[F-NextVDO_Input]],MATCH(OP_CMAB!$D15&amp;" - Annual",Input_Usage[[Ref]:[Ref]],0),MATCH(OP_CMAB!$D$7,Inputs!$I$131:$M$131,0))),0)),0),
ROUNDUP(
(INDEX(OP_Rates_RES_1[[Ausnet]:[United Energy]],MATCH("TOU - supply",OP_Rates_RES_1[[Rate name]:[Rate name]],0),MATCH(OP_CMAB!E$13,OP_Rates_RES_1[[#Headers],[Ausnet]:[United Energy]],0))*DiY)+
IFERROR((INDEX(OP_RatesTU_RES_1[[Ausnet]:[United Energy]],MATCH("TOU",OP_RatesTU_RES_1[[Rate name]:[Rate name]],0),MATCH(OP_CMAB!E$13,OP_RatesTU_RES_1[[#Headers],[Ausnet]:[United Energy]],0))*$H$10),0)+
(INDEX(OP_TotalRates_RES_1[[Ausnet]:[United Energy]],MATCH("Peak",OP_TotalRates_RES_1[[Rate name]:[Rate name]],0),MATCH(OP_CMAB!E$13,OP_TotalRates_RES_1[[#Headers],[Ausnet]:[United Energy]],0))*
INDEX(Input_Usage[[F-CurrentVDO_Input]:[F-NextVDO_Input]],MATCH($D15&amp;" - Peak",Input_Usage[[Ref]:[Ref]],0),MATCH($D$7,Inputs!$I$131:$M$131,0)))+
IFERROR((INDEX(OP_TotalRates_RES_1[[Ausnet]:[United Energy]],MATCH("TOU - Shoulder",OP_TotalRates_RES_1[[Rate name]:[Rate name]],0),MATCH(OP_CMAB!E$13,OP_TotalRates_RES_1[[#Headers],[Ausnet]:[United Energy]],0))*
INDEX(Input_Usage[[F-CurrentVDO_Input]:[F-NextVDO_Input]],MATCH($D15&amp;" - Shoulder",Input_Usage[[Ref]:[Ref]],0),MATCH($D$7,Inputs!$I$131:$M$131,0))),0)+
(INDEX(OP_TotalRates_RES_1[[Ausnet]:[United Energy]],MATCH("Off peak",OP_TotalRates_RES_1[[Rate name]:[Rate name]],0),MATCH(OP_CMAB!E$13,OP_TotalRates_RES_1[[#Headers],[Ausnet]:[United Energy]],0))*
INDEX(Input_Usage[[F-CurrentVDO_Input]:[F-NextVDO_Input]],MATCH($D15&amp;" - Off peak",Input_Usage[[Ref]:[Ref]],0),MATCH($D$7,Inputs!$I$131:$M$131,0))),0)),"-")</f>
        <v>1483</v>
      </c>
      <c r="F15" s="97">
        <f>IFERROR(
IF($D$7="VDO 2021 - Final",
ROUNDUP(
(INDEX(OP_Rates_RES_1[[Ausnet]:[United Energy]],MATCH("Anytime - supply",OP_Rates_RES_1[[Rate name]:[Rate name]],0),MATCH(OP_CMAB!F$13,OP_Rates_RES_1[[#Headers],[Ausnet]:[United Energy]],0))*DiY)+
IFERROR((INDEX(OP_RatesTU_RES_1[[Ausnet]:[United Energy]],MATCH("Anytime",OP_RatesTU_RES_1[[Rate name]:[Rate name]],0),MATCH(OP_CMAB!F$13,OP_RatesTU_RES_1[[#Headers],[Ausnet]:[United Energy]],0))*$H$10),0)+
(IFERROR((INDEX(OP_TotalRates_RES_1[[Ausnet]:[United Energy]],MATCH("Block 1",OP_TotalRates_RES_1[[Rate name]:[Rate name]],0),MATCH(OP_CMAB!F$13,OP_TotalRates_RES_1[[#Headers],[Ausnet]:[United Energy]],0))*
INDEX(Input_Usage[[F-CurrentVDO_Input]:[F-NextVDO_Input]],MATCH(OP_CMAB!$D15&amp;" - Block 1",Input_Usage[[Ref]:[Ref]],0),MATCH(OP_CMAB!$D$7,Inputs!$I$131:$M$131,0))),0)+
IFERROR((INDEX(OP_TotalRates_RES_1[[Ausnet]:[United Energy]],MATCH("Balance",OP_TotalRates_RES_1[[Rate name]:[Rate name]],0),MATCH(OP_CMAB!F$13,OP_TotalRates_RES_1[[#Headers],[Ausnet]:[United Energy]],0))*
INDEX(Input_Usage[[F-CurrentVDO_Input]:[F-NextVDO_Input]],MATCH(OP_CMAB!$D15&amp;" - Balance",Input_Usage[[Ref]:[Ref]],0),MATCH(OP_CMAB!$D$7,Inputs!$I$131:$M$131,0))),0)+
IFERROR((INDEX(OP_TotalRates_RES_1[[Ausnet]:[United Energy]],MATCH("Single rate",OP_TotalRates_RES_1[[Rate name]:[Rate name]],0),MATCH(OP_CMAB!F$13,OP_TotalRates_RES_1[[#Headers],[Ausnet]:[United Energy]],0))*
INDEX(Input_Usage[[F-CurrentVDO_Input]:[F-NextVDO_Input]],MATCH(OP_CMAB!$D15&amp;" - Annual",Input_Usage[[Ref]:[Ref]],0),MATCH(OP_CMAB!$D$7,Inputs!$I$131:$M$131,0))),0)),0),
ROUNDUP(
(INDEX(OP_Rates_RES_1[[Ausnet]:[United Energy]],MATCH("TOU - supply",OP_Rates_RES_1[[Rate name]:[Rate name]],0),MATCH(OP_CMAB!F$13,OP_Rates_RES_1[[#Headers],[Ausnet]:[United Energy]],0))*DiY)+
IFERROR((INDEX(OP_RatesTU_RES_1[[Ausnet]:[United Energy]],MATCH("TOU",OP_RatesTU_RES_1[[Rate name]:[Rate name]],0),MATCH(OP_CMAB!F$13,OP_RatesTU_RES_1[[#Headers],[Ausnet]:[United Energy]],0))*$H$10),0)+
(INDEX(OP_TotalRates_RES_1[[Ausnet]:[United Energy]],MATCH("Peak",OP_TotalRates_RES_1[[Rate name]:[Rate name]],0),MATCH(OP_CMAB!F$13,OP_TotalRates_RES_1[[#Headers],[Ausnet]:[United Energy]],0))*
INDEX(Input_Usage[[F-CurrentVDO_Input]:[F-NextVDO_Input]],MATCH($D15&amp;" - Peak",Input_Usage[[Ref]:[Ref]],0),MATCH($D$7,Inputs!$I$131:$M$131,0)))+
IFERROR((INDEX(OP_TotalRates_RES_1[[Ausnet]:[United Energy]],MATCH("TOU - Shoulder",OP_TotalRates_RES_1[[Rate name]:[Rate name]],0),MATCH(OP_CMAB!F$13,OP_TotalRates_RES_1[[#Headers],[Ausnet]:[United Energy]],0))*
INDEX(Input_Usage[[F-CurrentVDO_Input]:[F-NextVDO_Input]],MATCH($D15&amp;" - Shoulder",Input_Usage[[Ref]:[Ref]],0),MATCH($D$7,Inputs!$I$131:$M$131,0))),0)+
(INDEX(OP_TotalRates_RES_1[[Ausnet]:[United Energy]],MATCH("Off peak",OP_TotalRates_RES_1[[Rate name]:[Rate name]],0),MATCH(OP_CMAB!F$13,OP_TotalRates_RES_1[[#Headers],[Ausnet]:[United Energy]],0))*
INDEX(Input_Usage[[F-CurrentVDO_Input]:[F-NextVDO_Input]],MATCH($D15&amp;" - Off peak",Input_Usage[[Ref]:[Ref]],0),MATCH($D$7,Inputs!$I$131:$M$131,0))),0)),"-")</f>
        <v>1330</v>
      </c>
      <c r="G15" s="97">
        <f>IFERROR(
IF($D$7="VDO 2021 - Final",
ROUNDUP(
(INDEX(OP_Rates_RES_1[[Ausnet]:[United Energy]],MATCH("Anytime - supply",OP_Rates_RES_1[[Rate name]:[Rate name]],0),MATCH(OP_CMAB!G$13,OP_Rates_RES_1[[#Headers],[Ausnet]:[United Energy]],0))*DiY)+
IFERROR((INDEX(OP_RatesTU_RES_1[[Ausnet]:[United Energy]],MATCH("Anytime",OP_RatesTU_RES_1[[Rate name]:[Rate name]],0),MATCH(OP_CMAB!G$13,OP_RatesTU_RES_1[[#Headers],[Ausnet]:[United Energy]],0))*$H$10),0)+
(IFERROR((INDEX(OP_TotalRates_RES_1[[Ausnet]:[United Energy]],MATCH("Block 1",OP_TotalRates_RES_1[[Rate name]:[Rate name]],0),MATCH(OP_CMAB!G$13,OP_TotalRates_RES_1[[#Headers],[Ausnet]:[United Energy]],0))*
INDEX(Input_Usage[[F-CurrentVDO_Input]:[F-NextVDO_Input]],MATCH(OP_CMAB!$D15&amp;" - Block 1",Input_Usage[[Ref]:[Ref]],0),MATCH(OP_CMAB!$D$7,Inputs!$I$131:$M$131,0))),0)+
IFERROR((INDEX(OP_TotalRates_RES_1[[Ausnet]:[United Energy]],MATCH("Balance",OP_TotalRates_RES_1[[Rate name]:[Rate name]],0),MATCH(OP_CMAB!G$13,OP_TotalRates_RES_1[[#Headers],[Ausnet]:[United Energy]],0))*
INDEX(Input_Usage[[F-CurrentVDO_Input]:[F-NextVDO_Input]],MATCH(OP_CMAB!$D15&amp;" - Balance",Input_Usage[[Ref]:[Ref]],0),MATCH(OP_CMAB!$D$7,Inputs!$I$131:$M$131,0))),0)+
IFERROR((INDEX(OP_TotalRates_RES_1[[Ausnet]:[United Energy]],MATCH("Single rate",OP_TotalRates_RES_1[[Rate name]:[Rate name]],0),MATCH(OP_CMAB!G$13,OP_TotalRates_RES_1[[#Headers],[Ausnet]:[United Energy]],0))*
INDEX(Input_Usage[[F-CurrentVDO_Input]:[F-NextVDO_Input]],MATCH(OP_CMAB!$D15&amp;" - Annual",Input_Usage[[Ref]:[Ref]],0),MATCH(OP_CMAB!$D$7,Inputs!$I$131:$M$131,0))),0)),0),
ROUNDUP(
(INDEX(OP_Rates_RES_1[[Ausnet]:[United Energy]],MATCH("TOU - supply",OP_Rates_RES_1[[Rate name]:[Rate name]],0),MATCH(OP_CMAB!G$13,OP_Rates_RES_1[[#Headers],[Ausnet]:[United Energy]],0))*DiY)+
IFERROR((INDEX(OP_RatesTU_RES_1[[Ausnet]:[United Energy]],MATCH("TOU",OP_RatesTU_RES_1[[Rate name]:[Rate name]],0),MATCH(OP_CMAB!G$13,OP_RatesTU_RES_1[[#Headers],[Ausnet]:[United Energy]],0))*$H$10),0)+
(INDEX(OP_TotalRates_RES_1[[Ausnet]:[United Energy]],MATCH("Peak",OP_TotalRates_RES_1[[Rate name]:[Rate name]],0),MATCH(OP_CMAB!G$13,OP_TotalRates_RES_1[[#Headers],[Ausnet]:[United Energy]],0))*
INDEX(Input_Usage[[F-CurrentVDO_Input]:[F-NextVDO_Input]],MATCH($D15&amp;" - Peak",Input_Usage[[Ref]:[Ref]],0),MATCH($D$7,Inputs!$I$131:$M$131,0)))+
IFERROR((INDEX(OP_TotalRates_RES_1[[Ausnet]:[United Energy]],MATCH("TOU - Shoulder",OP_TotalRates_RES_1[[Rate name]:[Rate name]],0),MATCH(OP_CMAB!G$13,OP_TotalRates_RES_1[[#Headers],[Ausnet]:[United Energy]],0))*
INDEX(Input_Usage[[F-CurrentVDO_Input]:[F-NextVDO_Input]],MATCH($D15&amp;" - Shoulder",Input_Usage[[Ref]:[Ref]],0),MATCH($D$7,Inputs!$I$131:$M$131,0))),0)+
(INDEX(OP_TotalRates_RES_1[[Ausnet]:[United Energy]],MATCH("Off peak",OP_TotalRates_RES_1[[Rate name]:[Rate name]],0),MATCH(OP_CMAB!G$13,OP_TotalRates_RES_1[[#Headers],[Ausnet]:[United Energy]],0))*
INDEX(Input_Usage[[F-CurrentVDO_Input]:[F-NextVDO_Input]],MATCH($D15&amp;" - Off peak",Input_Usage[[Ref]:[Ref]],0),MATCH($D$7,Inputs!$I$131:$M$131,0))),0)),"-")</f>
        <v>1312</v>
      </c>
      <c r="H15" s="97">
        <f>IFERROR(
IF($D$7="VDO 2021 - Final",
ROUNDUP(
(INDEX(OP_Rates_RES_1[[Ausnet]:[United Energy]],MATCH("Anytime - supply",OP_Rates_RES_1[[Rate name]:[Rate name]],0),MATCH(OP_CMAB!H$13,OP_Rates_RES_1[[#Headers],[Ausnet]:[United Energy]],0))*DiY)+
IFERROR((INDEX(OP_RatesTU_RES_1[[Ausnet]:[United Energy]],MATCH("Anytime",OP_RatesTU_RES_1[[Rate name]:[Rate name]],0),MATCH(OP_CMAB!H$13,OP_RatesTU_RES_1[[#Headers],[Ausnet]:[United Energy]],0))*$H$10),0)+
(IFERROR((INDEX(OP_TotalRates_RES_1[[Ausnet]:[United Energy]],MATCH("Block 1",OP_TotalRates_RES_1[[Rate name]:[Rate name]],0),MATCH(OP_CMAB!H$13,OP_TotalRates_RES_1[[#Headers],[Ausnet]:[United Energy]],0))*
INDEX(Input_Usage[[F-CurrentVDO_Input]:[F-NextVDO_Input]],MATCH(OP_CMAB!$D15&amp;" - Block 1",Input_Usage[[Ref]:[Ref]],0),MATCH(OP_CMAB!$D$7,Inputs!$I$131:$M$131,0))),0)+
IFERROR((INDEX(OP_TotalRates_RES_1[[Ausnet]:[United Energy]],MATCH("Balance",OP_TotalRates_RES_1[[Rate name]:[Rate name]],0),MATCH(OP_CMAB!H$13,OP_TotalRates_RES_1[[#Headers],[Ausnet]:[United Energy]],0))*
INDEX(Input_Usage[[F-CurrentVDO_Input]:[F-NextVDO_Input]],MATCH(OP_CMAB!$D15&amp;" - Balance",Input_Usage[[Ref]:[Ref]],0),MATCH(OP_CMAB!$D$7,Inputs!$I$131:$M$131,0))),0)+
IFERROR((INDEX(OP_TotalRates_RES_1[[Ausnet]:[United Energy]],MATCH("Single rate",OP_TotalRates_RES_1[[Rate name]:[Rate name]],0),MATCH(OP_CMAB!H$13,OP_TotalRates_RES_1[[#Headers],[Ausnet]:[United Energy]],0))*
INDEX(Input_Usage[[F-CurrentVDO_Input]:[F-NextVDO_Input]],MATCH(OP_CMAB!$D15&amp;" - Annual",Input_Usage[[Ref]:[Ref]],0),MATCH(OP_CMAB!$D$7,Inputs!$I$131:$M$131,0))),0)),0),
ROUNDUP(
(INDEX(OP_Rates_RES_1[[Ausnet]:[United Energy]],MATCH("TOU - supply",OP_Rates_RES_1[[Rate name]:[Rate name]],0),MATCH(OP_CMAB!H$13,OP_Rates_RES_1[[#Headers],[Ausnet]:[United Energy]],0))*DiY)+
IFERROR((INDEX(OP_RatesTU_RES_1[[Ausnet]:[United Energy]],MATCH("TOU",OP_RatesTU_RES_1[[Rate name]:[Rate name]],0),MATCH(OP_CMAB!H$13,OP_RatesTU_RES_1[[#Headers],[Ausnet]:[United Energy]],0))*$H$10),0)+
(INDEX(OP_TotalRates_RES_1[[Ausnet]:[United Energy]],MATCH("Peak",OP_TotalRates_RES_1[[Rate name]:[Rate name]],0),MATCH(OP_CMAB!H$13,OP_TotalRates_RES_1[[#Headers],[Ausnet]:[United Energy]],0))*
INDEX(Input_Usage[[F-CurrentVDO_Input]:[F-NextVDO_Input]],MATCH($D15&amp;" - Peak",Input_Usage[[Ref]:[Ref]],0),MATCH($D$7,Inputs!$I$131:$M$131,0)))+
IFERROR((INDEX(OP_TotalRates_RES_1[[Ausnet]:[United Energy]],MATCH("TOU - Shoulder",OP_TotalRates_RES_1[[Rate name]:[Rate name]],0),MATCH(OP_CMAB!H$13,OP_TotalRates_RES_1[[#Headers],[Ausnet]:[United Energy]],0))*
INDEX(Input_Usage[[F-CurrentVDO_Input]:[F-NextVDO_Input]],MATCH($D15&amp;" - Shoulder",Input_Usage[[Ref]:[Ref]],0),MATCH($D$7,Inputs!$I$131:$M$131,0))),0)+
(INDEX(OP_TotalRates_RES_1[[Ausnet]:[United Energy]],MATCH("Off peak",OP_TotalRates_RES_1[[Rate name]:[Rate name]],0),MATCH(OP_CMAB!H$13,OP_TotalRates_RES_1[[#Headers],[Ausnet]:[United Energy]],0))*
INDEX(Input_Usage[[F-CurrentVDO_Input]:[F-NextVDO_Input]],MATCH($D15&amp;" - Off peak",Input_Usage[[Ref]:[Ref]],0),MATCH($D$7,Inputs!$I$131:$M$131,0))),0)),"-")</f>
        <v>1413</v>
      </c>
      <c r="I15" s="97">
        <f>IFERROR(
IF($D$7="VDO 2021 - Final",
ROUNDUP(
(INDEX(OP_Rates_RES_1[[Ausnet]:[United Energy]],MATCH("Anytime - supply",OP_Rates_RES_1[[Rate name]:[Rate name]],0),MATCH(OP_CMAB!I$13,OP_Rates_RES_1[[#Headers],[Ausnet]:[United Energy]],0))*DiY)+
IFERROR((INDEX(OP_RatesTU_RES_1[[Ausnet]:[United Energy]],MATCH("Anytime",OP_RatesTU_RES_1[[Rate name]:[Rate name]],0),MATCH(OP_CMAB!I$13,OP_RatesTU_RES_1[[#Headers],[Ausnet]:[United Energy]],0))*$H$10),0)+
(IFERROR((INDEX(OP_TotalRates_RES_1[[Ausnet]:[United Energy]],MATCH("Block 1",OP_TotalRates_RES_1[[Rate name]:[Rate name]],0),MATCH(OP_CMAB!I$13,OP_TotalRates_RES_1[[#Headers],[Ausnet]:[United Energy]],0))*
INDEX(Input_Usage[[F-CurrentVDO_Input]:[F-NextVDO_Input]],MATCH(OP_CMAB!$D15&amp;" - Block 1",Input_Usage[[Ref]:[Ref]],0),MATCH(OP_CMAB!$D$7,Inputs!$I$131:$M$131,0))),0)+
IFERROR((INDEX(OP_TotalRates_RES_1[[Ausnet]:[United Energy]],MATCH("Balance",OP_TotalRates_RES_1[[Rate name]:[Rate name]],0),MATCH(OP_CMAB!I$13,OP_TotalRates_RES_1[[#Headers],[Ausnet]:[United Energy]],0))*
INDEX(Input_Usage[[F-CurrentVDO_Input]:[F-NextVDO_Input]],MATCH(OP_CMAB!$D15&amp;" - Balance",Input_Usage[[Ref]:[Ref]],0),MATCH(OP_CMAB!$D$7,Inputs!$I$131:$M$131,0))),0)+
IFERROR((INDEX(OP_TotalRates_RES_1[[Ausnet]:[United Energy]],MATCH("Single rate",OP_TotalRates_RES_1[[Rate name]:[Rate name]],0),MATCH(OP_CMAB!I$13,OP_TotalRates_RES_1[[#Headers],[Ausnet]:[United Energy]],0))*
INDEX(Input_Usage[[F-CurrentVDO_Input]:[F-NextVDO_Input]],MATCH(OP_CMAB!$D15&amp;" - Annual",Input_Usage[[Ref]:[Ref]],0),MATCH(OP_CMAB!$D$7,Inputs!$I$131:$M$131,0))),0)),0),
ROUNDUP(
(INDEX(OP_Rates_RES_1[[Ausnet]:[United Energy]],MATCH("TOU - supply",OP_Rates_RES_1[[Rate name]:[Rate name]],0),MATCH(OP_CMAB!I$13,OP_Rates_RES_1[[#Headers],[Ausnet]:[United Energy]],0))*DiY)+
IFERROR((INDEX(OP_RatesTU_RES_1[[Ausnet]:[United Energy]],MATCH("TOU",OP_RatesTU_RES_1[[Rate name]:[Rate name]],0),MATCH(OP_CMAB!I$13,OP_RatesTU_RES_1[[#Headers],[Ausnet]:[United Energy]],0))*$H$10),0)+
(INDEX(OP_TotalRates_RES_1[[Ausnet]:[United Energy]],MATCH("Peak",OP_TotalRates_RES_1[[Rate name]:[Rate name]],0),MATCH(OP_CMAB!I$13,OP_TotalRates_RES_1[[#Headers],[Ausnet]:[United Energy]],0))*
INDEX(Input_Usage[[F-CurrentVDO_Input]:[F-NextVDO_Input]],MATCH($D15&amp;" - Peak",Input_Usage[[Ref]:[Ref]],0),MATCH($D$7,Inputs!$I$131:$M$131,0)))+
IFERROR((INDEX(OP_TotalRates_RES_1[[Ausnet]:[United Energy]],MATCH("TOU - Shoulder",OP_TotalRates_RES_1[[Rate name]:[Rate name]],0),MATCH(OP_CMAB!I$13,OP_TotalRates_RES_1[[#Headers],[Ausnet]:[United Energy]],0))*
INDEX(Input_Usage[[F-CurrentVDO_Input]:[F-NextVDO_Input]],MATCH($D15&amp;" - Shoulder",Input_Usage[[Ref]:[Ref]],0),MATCH($D$7,Inputs!$I$131:$M$131,0))),0)+
(INDEX(OP_TotalRates_RES_1[[Ausnet]:[United Energy]],MATCH("Off peak",OP_TotalRates_RES_1[[Rate name]:[Rate name]],0),MATCH(OP_CMAB!I$13,OP_TotalRates_RES_1[[#Headers],[Ausnet]:[United Energy]],0))*
INDEX(Input_Usage[[F-CurrentVDO_Input]:[F-NextVDO_Input]],MATCH($D15&amp;" - Off peak",Input_Usage[[Ref]:[Ref]],0),MATCH($D$7,Inputs!$I$131:$M$131,0))),0)),"-")</f>
        <v>1344</v>
      </c>
      <c r="K15" s="18" t="s">
        <v>32</v>
      </c>
      <c r="L15" s="18" t="s">
        <v>162</v>
      </c>
      <c r="M15" s="97">
        <f>IFERROR(
IF($D$7="VDO 2021 - Final",
ROUNDUP(
(INDEX(OP_Rates_SME_1[[Ausnet]:[United Energy]],MATCH("Anytime - supply",OP_Rates_SME_1[[Rate name]:[Rate name]],0),MATCH(OP_CMAB!M$13,OP_Rates_SME_1[[#Headers],[Ausnet]:[United Energy]],0))*DiY)+
IFERROR((INDEX(OP_RatesTU_SME_1[[Ausnet]:[United Energy]],MATCH("Anytime",OP_RatesTU_SME_1[[Rate name]:[Rate name]],0),MATCH(OP_CMAB!M$13,OP_RatesTU_SME_1[[#Headers],[Ausnet]:[United Energy]],0))*$H$10),0)+
(IFERROR((INDEX(OP_TotalRates_SME_1[[Ausnet]:[United Energy]],MATCH("Block 1",OP_TotalRates_SME_1[[Rate name]:[Rate name]],0),MATCH(OP_CMAB!M$13,OP_TotalRates_SME_1[[#Headers],[Ausnet]:[United Energy]],0))*
INDEX(Input_Usage[[F-CurrentVDO_Input]:[F-NextVDO_Input]],MATCH(OP_CMAB!$L15&amp;" - Block 1",Input_Usage[[Ref]:[Ref]],0),MATCH(OP_CMAB!$D$7,Inputs!$I$131:$M$131,0))),0)+
IFERROR((INDEX(OP_TotalRates_SME_1[[Ausnet]:[United Energy]],MATCH("Balance",OP_TotalRates_SME_1[[Rate name]:[Rate name]],0),MATCH(OP_CMAB!M$13,OP_TotalRates_SME_1[[#Headers],[Ausnet]:[United Energy]],0))*
INDEX(Input_Usage[[F-CurrentVDO_Input]:[F-NextVDO_Input]],MATCH(OP_CMAB!$L15&amp;" - Balance",Input_Usage[[Ref]:[Ref]],0),MATCH(OP_CMAB!$D$7,Inputs!$I$131:$M$131,0))),0)+
IFERROR((INDEX(OP_TotalRates_SME_1[[Ausnet]:[United Energy]],MATCH("Single rate",OP_TotalRates_SME_1[[Rate name]:[Rate name]],0),MATCH(OP_CMAB!M$13,OP_TotalRates_SME_1[[#Headers],[Ausnet]:[United Energy]],0))*
INDEX(Input_Usage[[F-CurrentVDO_Input]:[F-NextVDO_Input]],MATCH(OP_CMAB!$L15&amp;" - Annual",Input_Usage[[Ref]:[Ref]],0),MATCH(OP_CMAB!$D$7,Inputs!$I$131:$M$131,0))),0)),0),
ROUNDUP(
(INDEX(OP_Rates_SME_1[[Ausnet]:[United Energy]],MATCH("TOU - supply",OP_Rates_SME_1[[Rate name]:[Rate name]],0),MATCH(OP_CMAB!M$13,OP_Rates_SME_1[[#Headers],[Ausnet]:[United Energy]],0))*DiY)+
IFERROR((INDEX(OP_RatesTU_SME_1[[Ausnet]:[United Energy]],MATCH("TOU",OP_RatesTU_SME_1[[Rate name]:[Rate name]],0),MATCH(OP_CMAB!M$13,OP_RatesTU_SME_1[[#Headers],[Ausnet]:[United Energy]],0))*$H$10),0)+
(INDEX(OP_TotalRates_SME_1[[Ausnet]:[United Energy]],MATCH("Peak",OP_TotalRates_SME_1[[Rate name]:[Rate name]],0),MATCH(OP_CMAB!M$13,OP_TotalRates_SME_1[[#Headers],[Ausnet]:[United Energy]],0))*
INDEX(Input_Usage[[F-CurrentVDO_Input]:[F-NextVDO_Input]],MATCH($L15&amp;" - Peak",Input_Usage[[Ref]:[Ref]],0),MATCH($D$7,Inputs!$I$131:$M$131,0)))+
IFERROR((INDEX(OP_TotalRates_SME_1[[Ausnet]:[United Energy]],MATCH("TOU - Shoulder",OP_TotalRates_SME_1[[Rate name]:[Rate name]],0),MATCH(OP_CMAB!M$13,OP_TotalRates_SME_1[[#Headers],[Ausnet]:[United Energy]],0))*
INDEX(Input_Usage[[F-CurrentVDO_Input]:[F-NextVDO_Input]],MATCH($L15&amp;" - Shoulder",Input_Usage[[Ref]:[Ref]],0),MATCH($D$7,Inputs!$I$131:$M$131,0))),0)+
(INDEX(OP_TotalRates_SME_1[[Ausnet]:[United Energy]],MATCH("Off peak",OP_TotalRates_SME_1[[Rate name]:[Rate name]],0),MATCH(OP_CMAB!M$13,OP_TotalRates_SME_1[[#Headers],[Ausnet]:[United Energy]],0))*
INDEX(Input_Usage[[F-CurrentVDO_Input]:[F-NextVDO_Input]],MATCH($L15&amp;" - Off peak",Input_Usage[[Ref]:[Ref]],0),MATCH($D$7,Inputs!$I$131:$M$131,0))),0)),"-")</f>
        <v>5597</v>
      </c>
      <c r="N15" s="97">
        <f>IFERROR(
IF($D$7="VDO 2021 - Final",
ROUNDUP(
(INDEX(OP_Rates_SME_1[[Ausnet]:[United Energy]],MATCH("Anytime - supply",OP_Rates_SME_1[[Rate name]:[Rate name]],0),MATCH(OP_CMAB!N$13,OP_Rates_SME_1[[#Headers],[Ausnet]:[United Energy]],0))*DiY)+
IFERROR((INDEX(OP_RatesTU_SME_1[[Ausnet]:[United Energy]],MATCH("Anytime",OP_RatesTU_SME_1[[Rate name]:[Rate name]],0),MATCH(OP_CMAB!N$13,OP_RatesTU_SME_1[[#Headers],[Ausnet]:[United Energy]],0))*$H$10),0)+
(IFERROR((INDEX(OP_TotalRates_SME_1[[Ausnet]:[United Energy]],MATCH("Block 1",OP_TotalRates_SME_1[[Rate name]:[Rate name]],0),MATCH(OP_CMAB!N$13,OP_TotalRates_SME_1[[#Headers],[Ausnet]:[United Energy]],0))*
INDEX(Input_Usage[[F-CurrentVDO_Input]:[F-NextVDO_Input]],MATCH(OP_CMAB!$L15&amp;" - Block 1",Input_Usage[[Ref]:[Ref]],0),MATCH(OP_CMAB!$D$7,Inputs!$I$131:$M$131,0))),0)+
IFERROR((INDEX(OP_TotalRates_SME_1[[Ausnet]:[United Energy]],MATCH("Balance",OP_TotalRates_SME_1[[Rate name]:[Rate name]],0),MATCH(OP_CMAB!N$13,OP_TotalRates_SME_1[[#Headers],[Ausnet]:[United Energy]],0))*
INDEX(Input_Usage[[F-CurrentVDO_Input]:[F-NextVDO_Input]],MATCH(OP_CMAB!$L15&amp;" - Balance",Input_Usage[[Ref]:[Ref]],0),MATCH(OP_CMAB!$D$7,Inputs!$I$131:$M$131,0))),0)+
IFERROR((INDEX(OP_TotalRates_SME_1[[Ausnet]:[United Energy]],MATCH("Single rate",OP_TotalRates_SME_1[[Rate name]:[Rate name]],0),MATCH(OP_CMAB!N$13,OP_TotalRates_SME_1[[#Headers],[Ausnet]:[United Energy]],0))*
INDEX(Input_Usage[[F-CurrentVDO_Input]:[F-NextVDO_Input]],MATCH(OP_CMAB!$L15&amp;" - Annual",Input_Usage[[Ref]:[Ref]],0),MATCH(OP_CMAB!$D$7,Inputs!$I$131:$M$131,0))),0)),0),
ROUNDUP(
(INDEX(OP_Rates_SME_1[[Ausnet]:[United Energy]],MATCH("TOU - supply",OP_Rates_SME_1[[Rate name]:[Rate name]],0),MATCH(OP_CMAB!N$13,OP_Rates_SME_1[[#Headers],[Ausnet]:[United Energy]],0))*DiY)+
IFERROR((INDEX(OP_RatesTU_SME_1[[Ausnet]:[United Energy]],MATCH("TOU",OP_RatesTU_SME_1[[Rate name]:[Rate name]],0),MATCH(OP_CMAB!N$13,OP_RatesTU_SME_1[[#Headers],[Ausnet]:[United Energy]],0))*$H$10),0)+
(INDEX(OP_TotalRates_SME_1[[Ausnet]:[United Energy]],MATCH("Peak",OP_TotalRates_SME_1[[Rate name]:[Rate name]],0),MATCH(OP_CMAB!N$13,OP_TotalRates_SME_1[[#Headers],[Ausnet]:[United Energy]],0))*
INDEX(Input_Usage[[F-CurrentVDO_Input]:[F-NextVDO_Input]],MATCH($L15&amp;" - Peak",Input_Usage[[Ref]:[Ref]],0),MATCH($D$7,Inputs!$I$131:$M$131,0)))+
IFERROR((INDEX(OP_TotalRates_SME_1[[Ausnet]:[United Energy]],MATCH("TOU - Shoulder",OP_TotalRates_SME_1[[Rate name]:[Rate name]],0),MATCH(OP_CMAB!N$13,OP_TotalRates_SME_1[[#Headers],[Ausnet]:[United Energy]],0))*
INDEX(Input_Usage[[F-CurrentVDO_Input]:[F-NextVDO_Input]],MATCH($L15&amp;" - Shoulder",Input_Usage[[Ref]:[Ref]],0),MATCH($D$7,Inputs!$I$131:$M$131,0))),0)+
(INDEX(OP_TotalRates_SME_1[[Ausnet]:[United Energy]],MATCH("Off peak",OP_TotalRates_SME_1[[Rate name]:[Rate name]],0),MATCH(OP_CMAB!N$13,OP_TotalRates_SME_1[[#Headers],[Ausnet]:[United Energy]],0))*
INDEX(Input_Usage[[F-CurrentVDO_Input]:[F-NextVDO_Input]],MATCH($L15&amp;" - Off peak",Input_Usage[[Ref]:[Ref]],0),MATCH($D$7,Inputs!$I$131:$M$131,0))),0)),"-")</f>
        <v>4997</v>
      </c>
      <c r="O15" s="97">
        <f>IFERROR(
IF($D$7="VDO 2021 - Final",
ROUNDUP(
(INDEX(OP_Rates_SME_1[[Ausnet]:[United Energy]],MATCH("Anytime - supply",OP_Rates_SME_1[[Rate name]:[Rate name]],0),MATCH(OP_CMAB!O$13,OP_Rates_SME_1[[#Headers],[Ausnet]:[United Energy]],0))*DiY)+
IFERROR((INDEX(OP_RatesTU_SME_1[[Ausnet]:[United Energy]],MATCH("Anytime",OP_RatesTU_SME_1[[Rate name]:[Rate name]],0),MATCH(OP_CMAB!O$13,OP_RatesTU_SME_1[[#Headers],[Ausnet]:[United Energy]],0))*$H$10),0)+
(IFERROR((INDEX(OP_TotalRates_SME_1[[Ausnet]:[United Energy]],MATCH("Block 1",OP_TotalRates_SME_1[[Rate name]:[Rate name]],0),MATCH(OP_CMAB!O$13,OP_TotalRates_SME_1[[#Headers],[Ausnet]:[United Energy]],0))*
INDEX(Input_Usage[[F-CurrentVDO_Input]:[F-NextVDO_Input]],MATCH(OP_CMAB!$L15&amp;" - Block 1",Input_Usage[[Ref]:[Ref]],0),MATCH(OP_CMAB!$D$7,Inputs!$I$131:$M$131,0))),0)+
IFERROR((INDEX(OP_TotalRates_SME_1[[Ausnet]:[United Energy]],MATCH("Balance",OP_TotalRates_SME_1[[Rate name]:[Rate name]],0),MATCH(OP_CMAB!O$13,OP_TotalRates_SME_1[[#Headers],[Ausnet]:[United Energy]],0))*
INDEX(Input_Usage[[F-CurrentVDO_Input]:[F-NextVDO_Input]],MATCH(OP_CMAB!$L15&amp;" - Balance",Input_Usage[[Ref]:[Ref]],0),MATCH(OP_CMAB!$D$7,Inputs!$I$131:$M$131,0))),0)+
IFERROR((INDEX(OP_TotalRates_SME_1[[Ausnet]:[United Energy]],MATCH("Single rate",OP_TotalRates_SME_1[[Rate name]:[Rate name]],0),MATCH(OP_CMAB!O$13,OP_TotalRates_SME_1[[#Headers],[Ausnet]:[United Energy]],0))*
INDEX(Input_Usage[[F-CurrentVDO_Input]:[F-NextVDO_Input]],MATCH(OP_CMAB!$L15&amp;" - Annual",Input_Usage[[Ref]:[Ref]],0),MATCH(OP_CMAB!$D$7,Inputs!$I$131:$M$131,0))),0)),0),
ROUNDUP(
(INDEX(OP_Rates_SME_1[[Ausnet]:[United Energy]],MATCH("TOU - supply",OP_Rates_SME_1[[Rate name]:[Rate name]],0),MATCH(OP_CMAB!O$13,OP_Rates_SME_1[[#Headers],[Ausnet]:[United Energy]],0))*DiY)+
IFERROR((INDEX(OP_RatesTU_SME_1[[Ausnet]:[United Energy]],MATCH("TOU",OP_RatesTU_SME_1[[Rate name]:[Rate name]],0),MATCH(OP_CMAB!O$13,OP_RatesTU_SME_1[[#Headers],[Ausnet]:[United Energy]],0))*$H$10),0)+
(INDEX(OP_TotalRates_SME_1[[Ausnet]:[United Energy]],MATCH("Peak",OP_TotalRates_SME_1[[Rate name]:[Rate name]],0),MATCH(OP_CMAB!O$13,OP_TotalRates_SME_1[[#Headers],[Ausnet]:[United Energy]],0))*
INDEX(Input_Usage[[F-CurrentVDO_Input]:[F-NextVDO_Input]],MATCH($L15&amp;" - Peak",Input_Usage[[Ref]:[Ref]],0),MATCH($D$7,Inputs!$I$131:$M$131,0)))+
IFERROR((INDEX(OP_TotalRates_SME_1[[Ausnet]:[United Energy]],MATCH("TOU - Shoulder",OP_TotalRates_SME_1[[Rate name]:[Rate name]],0),MATCH(OP_CMAB!O$13,OP_TotalRates_SME_1[[#Headers],[Ausnet]:[United Energy]],0))*
INDEX(Input_Usage[[F-CurrentVDO_Input]:[F-NextVDO_Input]],MATCH($L15&amp;" - Shoulder",Input_Usage[[Ref]:[Ref]],0),MATCH($D$7,Inputs!$I$131:$M$131,0))),0)+
(INDEX(OP_TotalRates_SME_1[[Ausnet]:[United Energy]],MATCH("Off peak",OP_TotalRates_SME_1[[Rate name]:[Rate name]],0),MATCH(OP_CMAB!O$13,OP_TotalRates_SME_1[[#Headers],[Ausnet]:[United Energy]],0))*
INDEX(Input_Usage[[F-CurrentVDO_Input]:[F-NextVDO_Input]],MATCH($L15&amp;" - Off peak",Input_Usage[[Ref]:[Ref]],0),MATCH($D$7,Inputs!$I$131:$M$131,0))),0)),"-")</f>
        <v>5214</v>
      </c>
      <c r="P15" s="97">
        <f>IFERROR(
IF($D$7="VDO 2021 - Final",
ROUNDUP(
(INDEX(OP_Rates_SME_1[[Ausnet]:[United Energy]],MATCH("Anytime - supply",OP_Rates_SME_1[[Rate name]:[Rate name]],0),MATCH(OP_CMAB!P$13,OP_Rates_SME_1[[#Headers],[Ausnet]:[United Energy]],0))*DiY)+
IFERROR((INDEX(OP_RatesTU_SME_1[[Ausnet]:[United Energy]],MATCH("Anytime",OP_RatesTU_SME_1[[Rate name]:[Rate name]],0),MATCH(OP_CMAB!P$13,OP_RatesTU_SME_1[[#Headers],[Ausnet]:[United Energy]],0))*$H$10),0)+
(IFERROR((INDEX(OP_TotalRates_SME_1[[Ausnet]:[United Energy]],MATCH("Block 1",OP_TotalRates_SME_1[[Rate name]:[Rate name]],0),MATCH(OP_CMAB!P$13,OP_TotalRates_SME_1[[#Headers],[Ausnet]:[United Energy]],0))*
INDEX(Input_Usage[[F-CurrentVDO_Input]:[F-NextVDO_Input]],MATCH(OP_CMAB!$L15&amp;" - Block 1",Input_Usage[[Ref]:[Ref]],0),MATCH(OP_CMAB!$D$7,Inputs!$I$131:$M$131,0))),0)+
IFERROR((INDEX(OP_TotalRates_SME_1[[Ausnet]:[United Energy]],MATCH("Balance",OP_TotalRates_SME_1[[Rate name]:[Rate name]],0),MATCH(OP_CMAB!P$13,OP_TotalRates_SME_1[[#Headers],[Ausnet]:[United Energy]],0))*
INDEX(Input_Usage[[F-CurrentVDO_Input]:[F-NextVDO_Input]],MATCH(OP_CMAB!$L15&amp;" - Balance",Input_Usage[[Ref]:[Ref]],0),MATCH(OP_CMAB!$D$7,Inputs!$I$131:$M$131,0))),0)+
IFERROR((INDEX(OP_TotalRates_SME_1[[Ausnet]:[United Energy]],MATCH("Single rate",OP_TotalRates_SME_1[[Rate name]:[Rate name]],0),MATCH(OP_CMAB!P$13,OP_TotalRates_SME_1[[#Headers],[Ausnet]:[United Energy]],0))*
INDEX(Input_Usage[[F-CurrentVDO_Input]:[F-NextVDO_Input]],MATCH(OP_CMAB!$L15&amp;" - Annual",Input_Usage[[Ref]:[Ref]],0),MATCH(OP_CMAB!$D$7,Inputs!$I$131:$M$131,0))),0)),0),
ROUNDUP(
(INDEX(OP_Rates_SME_1[[Ausnet]:[United Energy]],MATCH("TOU - supply",OP_Rates_SME_1[[Rate name]:[Rate name]],0),MATCH(OP_CMAB!P$13,OP_Rates_SME_1[[#Headers],[Ausnet]:[United Energy]],0))*DiY)+
IFERROR((INDEX(OP_RatesTU_SME_1[[Ausnet]:[United Energy]],MATCH("TOU",OP_RatesTU_SME_1[[Rate name]:[Rate name]],0),MATCH(OP_CMAB!P$13,OP_RatesTU_SME_1[[#Headers],[Ausnet]:[United Energy]],0))*$H$10),0)+
(INDEX(OP_TotalRates_SME_1[[Ausnet]:[United Energy]],MATCH("Peak",OP_TotalRates_SME_1[[Rate name]:[Rate name]],0),MATCH(OP_CMAB!P$13,OP_TotalRates_SME_1[[#Headers],[Ausnet]:[United Energy]],0))*
INDEX(Input_Usage[[F-CurrentVDO_Input]:[F-NextVDO_Input]],MATCH($L15&amp;" - Peak",Input_Usage[[Ref]:[Ref]],0),MATCH($D$7,Inputs!$I$131:$M$131,0)))+
IFERROR((INDEX(OP_TotalRates_SME_1[[Ausnet]:[United Energy]],MATCH("TOU - Shoulder",OP_TotalRates_SME_1[[Rate name]:[Rate name]],0),MATCH(OP_CMAB!P$13,OP_TotalRates_SME_1[[#Headers],[Ausnet]:[United Energy]],0))*
INDEX(Input_Usage[[F-CurrentVDO_Input]:[F-NextVDO_Input]],MATCH($L15&amp;" - Shoulder",Input_Usage[[Ref]:[Ref]],0),MATCH($D$7,Inputs!$I$131:$M$131,0))),0)+
(INDEX(OP_TotalRates_SME_1[[Ausnet]:[United Energy]],MATCH("Off peak",OP_TotalRates_SME_1[[Rate name]:[Rate name]],0),MATCH(OP_CMAB!P$13,OP_TotalRates_SME_1[[#Headers],[Ausnet]:[United Energy]],0))*
INDEX(Input_Usage[[F-CurrentVDO_Input]:[F-NextVDO_Input]],MATCH($L15&amp;" - Off peak",Input_Usage[[Ref]:[Ref]],0),MATCH($D$7,Inputs!$I$131:$M$131,0))),0)),"-")</f>
        <v>5193</v>
      </c>
      <c r="Q15" s="97">
        <f>IFERROR(
IF($D$7="VDO 2021 - Final",
ROUNDUP(
(INDEX(OP_Rates_SME_1[[Ausnet]:[United Energy]],MATCH("Anytime - supply",OP_Rates_SME_1[[Rate name]:[Rate name]],0),MATCH(OP_CMAB!Q$13,OP_Rates_SME_1[[#Headers],[Ausnet]:[United Energy]],0))*DiY)+
IFERROR((INDEX(OP_RatesTU_SME_1[[Ausnet]:[United Energy]],MATCH("Anytime",OP_RatesTU_SME_1[[Rate name]:[Rate name]],0),MATCH(OP_CMAB!Q$13,OP_RatesTU_SME_1[[#Headers],[Ausnet]:[United Energy]],0))*$H$10),0)+
(IFERROR((INDEX(OP_TotalRates_SME_1[[Ausnet]:[United Energy]],MATCH("Block 1",OP_TotalRates_SME_1[[Rate name]:[Rate name]],0),MATCH(OP_CMAB!Q$13,OP_TotalRates_SME_1[[#Headers],[Ausnet]:[United Energy]],0))*
INDEX(Input_Usage[[F-CurrentVDO_Input]:[F-NextVDO_Input]],MATCH(OP_CMAB!$L15&amp;" - Block 1",Input_Usage[[Ref]:[Ref]],0),MATCH(OP_CMAB!$D$7,Inputs!$I$131:$M$131,0))),0)+
IFERROR((INDEX(OP_TotalRates_SME_1[[Ausnet]:[United Energy]],MATCH("Balance",OP_TotalRates_SME_1[[Rate name]:[Rate name]],0),MATCH(OP_CMAB!Q$13,OP_TotalRates_SME_1[[#Headers],[Ausnet]:[United Energy]],0))*
INDEX(Input_Usage[[F-CurrentVDO_Input]:[F-NextVDO_Input]],MATCH(OP_CMAB!$L15&amp;" - Balance",Input_Usage[[Ref]:[Ref]],0),MATCH(OP_CMAB!$D$7,Inputs!$I$131:$M$131,0))),0)+
IFERROR((INDEX(OP_TotalRates_SME_1[[Ausnet]:[United Energy]],MATCH("Single rate",OP_TotalRates_SME_1[[Rate name]:[Rate name]],0),MATCH(OP_CMAB!Q$13,OP_TotalRates_SME_1[[#Headers],[Ausnet]:[United Energy]],0))*
INDEX(Input_Usage[[F-CurrentVDO_Input]:[F-NextVDO_Input]],MATCH(OP_CMAB!$L15&amp;" - Annual",Input_Usage[[Ref]:[Ref]],0),MATCH(OP_CMAB!$D$7,Inputs!$I$131:$M$131,0))),0)),0),
ROUNDUP(
(INDEX(OP_Rates_SME_1[[Ausnet]:[United Energy]],MATCH("TOU - supply",OP_Rates_SME_1[[Rate name]:[Rate name]],0),MATCH(OP_CMAB!Q$13,OP_Rates_SME_1[[#Headers],[Ausnet]:[United Energy]],0))*DiY)+
IFERROR((INDEX(OP_RatesTU_SME_1[[Ausnet]:[United Energy]],MATCH("TOU",OP_RatesTU_SME_1[[Rate name]:[Rate name]],0),MATCH(OP_CMAB!Q$13,OP_RatesTU_SME_1[[#Headers],[Ausnet]:[United Energy]],0))*$H$10),0)+
(INDEX(OP_TotalRates_SME_1[[Ausnet]:[United Energy]],MATCH("Peak",OP_TotalRates_SME_1[[Rate name]:[Rate name]],0),MATCH(OP_CMAB!Q$13,OP_TotalRates_SME_1[[#Headers],[Ausnet]:[United Energy]],0))*
INDEX(Input_Usage[[F-CurrentVDO_Input]:[F-NextVDO_Input]],MATCH($L15&amp;" - Peak",Input_Usage[[Ref]:[Ref]],0),MATCH($D$7,Inputs!$I$131:$M$131,0)))+
IFERROR((INDEX(OP_TotalRates_SME_1[[Ausnet]:[United Energy]],MATCH("TOU - Shoulder",OP_TotalRates_SME_1[[Rate name]:[Rate name]],0),MATCH(OP_CMAB!Q$13,OP_TotalRates_SME_1[[#Headers],[Ausnet]:[United Energy]],0))*
INDEX(Input_Usage[[F-CurrentVDO_Input]:[F-NextVDO_Input]],MATCH($L15&amp;" - Shoulder",Input_Usage[[Ref]:[Ref]],0),MATCH($D$7,Inputs!$I$131:$M$131,0))),0)+
(INDEX(OP_TotalRates_SME_1[[Ausnet]:[United Energy]],MATCH("Off peak",OP_TotalRates_SME_1[[Rate name]:[Rate name]],0),MATCH(OP_CMAB!Q$13,OP_TotalRates_SME_1[[#Headers],[Ausnet]:[United Energy]],0))*
INDEX(Input_Usage[[F-CurrentVDO_Input]:[F-NextVDO_Input]],MATCH($L15&amp;" - Off peak",Input_Usage[[Ref]:[Ref]],0),MATCH($D$7,Inputs!$I$131:$M$131,0))),0)),"-")</f>
        <v>5116</v>
      </c>
    </row>
    <row r="16" spans="1:18" hidden="1" x14ac:dyDescent="0.25">
      <c r="C16" s="35" t="s">
        <v>31</v>
      </c>
      <c r="D16" s="35" t="s">
        <v>160</v>
      </c>
      <c r="E16" s="97">
        <f>IFERROR(
IF($D$7="VDO 2021 - Final",
ROUNDUP(
(INDEX(OP_Rates_RES_1[[Ausnet]:[United Energy]],MATCH("Anytime - supply",OP_Rates_RES_1[[Rate name]:[Rate name]],0),MATCH(OP_CMAB!E$13,OP_Rates_RES_1[[#Headers],[Ausnet]:[United Energy]],0))*DiY)+
IFERROR((INDEX(OP_RatesTU_RES_1[[Ausnet]:[United Energy]],MATCH("Anytime",OP_RatesTU_RES_1[[Rate name]:[Rate name]],0),MATCH(OP_CMAB!E$13,OP_RatesTU_RES_1[[#Headers],[Ausnet]:[United Energy]],0))*$H$10),0)+
(IFERROR((INDEX(OP_TotalRates_RES_1[[Ausnet]:[United Energy]],MATCH("Block 1",OP_TotalRates_RES_1[[Rate name]:[Rate name]],0),MATCH(OP_CMAB!E$13,OP_TotalRates_RES_1[[#Headers],[Ausnet]:[United Energy]],0))*
INDEX(Input_Usage[[F-CurrentVDO_Input]:[F-NextVDO_Input]],MATCH(OP_CMAB!$D16&amp;" - Block 1",Input_Usage[[Ref]:[Ref]],0),MATCH(OP_CMAB!$D$7,Inputs!$I$131:$M$131,0))),0)+
IFERROR((INDEX(OP_TotalRates_RES_1[[Ausnet]:[United Energy]],MATCH("Balance",OP_TotalRates_RES_1[[Rate name]:[Rate name]],0),MATCH(OP_CMAB!E$13,OP_TotalRates_RES_1[[#Headers],[Ausnet]:[United Energy]],0))*
INDEX(Input_Usage[[F-CurrentVDO_Input]:[F-NextVDO_Input]],MATCH(OP_CMAB!$D16&amp;" - Balance",Input_Usage[[Ref]:[Ref]],0),MATCH(OP_CMAB!$D$7,Inputs!$I$131:$M$131,0))),0)+
IFERROR((INDEX(OP_TotalRates_RES_1[[Ausnet]:[United Energy]],MATCH("Single rate",OP_TotalRates_RES_1[[Rate name]:[Rate name]],0),MATCH(OP_CMAB!E$13,OP_TotalRates_RES_1[[#Headers],[Ausnet]:[United Energy]],0))*
INDEX(Input_Usage[[F-CurrentVDO_Input]:[F-NextVDO_Input]],MATCH(OP_CMAB!$D16&amp;" - Annual",Input_Usage[[Ref]:[Ref]],0),MATCH(OP_CMAB!$D$7,Inputs!$I$131:$M$131,0))),0)),0),
ROUNDUP(
(INDEX(OP_Rates_RES_1[[Ausnet]:[United Energy]],MATCH("TOU - supply",OP_Rates_RES_1[[Rate name]:[Rate name]],0),MATCH(OP_CMAB!E$13,OP_Rates_RES_1[[#Headers],[Ausnet]:[United Energy]],0))*DiY)+
IFERROR((INDEX(OP_RatesTU_RES_1[[Ausnet]:[United Energy]],MATCH("TOU",OP_RatesTU_RES_1[[Rate name]:[Rate name]],0),MATCH(OP_CMAB!E$13,OP_RatesTU_RES_1[[#Headers],[Ausnet]:[United Energy]],0))*$H$10),0)+
(INDEX(OP_TotalRates_RES_1[[Ausnet]:[United Energy]],MATCH("Peak",OP_TotalRates_RES_1[[Rate name]:[Rate name]],0),MATCH(OP_CMAB!E$13,OP_TotalRates_RES_1[[#Headers],[Ausnet]:[United Energy]],0))*
INDEX(Input_Usage[[F-CurrentVDO_Input]:[F-NextVDO_Input]],MATCH($D16&amp;" - Peak",Input_Usage[[Ref]:[Ref]],0),MATCH($D$7,Inputs!$I$131:$M$131,0)))+
IFERROR((INDEX(OP_TotalRates_RES_1[[Ausnet]:[United Energy]],MATCH("TOU - Shoulder",OP_TotalRates_RES_1[[Rate name]:[Rate name]],0),MATCH(OP_CMAB!E$13,OP_TotalRates_RES_1[[#Headers],[Ausnet]:[United Energy]],0))*
INDEX(Input_Usage[[F-CurrentVDO_Input]:[F-NextVDO_Input]],MATCH($D16&amp;" - Shoulder",Input_Usage[[Ref]:[Ref]],0),MATCH($D$7,Inputs!$I$131:$M$131,0))),0)+
(INDEX(OP_TotalRates_RES_1[[Ausnet]:[United Energy]],MATCH("Off peak",OP_TotalRates_RES_1[[Rate name]:[Rate name]],0),MATCH(OP_CMAB!E$13,OP_TotalRates_RES_1[[#Headers],[Ausnet]:[United Energy]],0))*
INDEX(Input_Usage[[F-CurrentVDO_Input]:[F-NextVDO_Input]],MATCH($D16&amp;" - Off peak",Input_Usage[[Ref]:[Ref]],0),MATCH($D$7,Inputs!$I$131:$M$131,0))),0)),"-")</f>
        <v>2529</v>
      </c>
      <c r="F16" s="97">
        <f>IFERROR(
IF($D$7="VDO 2021 - Final",
ROUNDUP(
(INDEX(OP_Rates_RES_1[[Ausnet]:[United Energy]],MATCH("Anytime - supply",OP_Rates_RES_1[[Rate name]:[Rate name]],0),MATCH(OP_CMAB!F$13,OP_Rates_RES_1[[#Headers],[Ausnet]:[United Energy]],0))*DiY)+
IFERROR((INDEX(OP_RatesTU_RES_1[[Ausnet]:[United Energy]],MATCH("Anytime",OP_RatesTU_RES_1[[Rate name]:[Rate name]],0),MATCH(OP_CMAB!F$13,OP_RatesTU_RES_1[[#Headers],[Ausnet]:[United Energy]],0))*$H$10),0)+
(IFERROR((INDEX(OP_TotalRates_RES_1[[Ausnet]:[United Energy]],MATCH("Block 1",OP_TotalRates_RES_1[[Rate name]:[Rate name]],0),MATCH(OP_CMAB!F$13,OP_TotalRates_RES_1[[#Headers],[Ausnet]:[United Energy]],0))*
INDEX(Input_Usage[[F-CurrentVDO_Input]:[F-NextVDO_Input]],MATCH(OP_CMAB!$D16&amp;" - Block 1",Input_Usage[[Ref]:[Ref]],0),MATCH(OP_CMAB!$D$7,Inputs!$I$131:$M$131,0))),0)+
IFERROR((INDEX(OP_TotalRates_RES_1[[Ausnet]:[United Energy]],MATCH("Balance",OP_TotalRates_RES_1[[Rate name]:[Rate name]],0),MATCH(OP_CMAB!F$13,OP_TotalRates_RES_1[[#Headers],[Ausnet]:[United Energy]],0))*
INDEX(Input_Usage[[F-CurrentVDO_Input]:[F-NextVDO_Input]],MATCH(OP_CMAB!$D16&amp;" - Balance",Input_Usage[[Ref]:[Ref]],0),MATCH(OP_CMAB!$D$7,Inputs!$I$131:$M$131,0))),0)+
IFERROR((INDEX(OP_TotalRates_RES_1[[Ausnet]:[United Energy]],MATCH("Single rate",OP_TotalRates_RES_1[[Rate name]:[Rate name]],0),MATCH(OP_CMAB!F$13,OP_TotalRates_RES_1[[#Headers],[Ausnet]:[United Energy]],0))*
INDEX(Input_Usage[[F-CurrentVDO_Input]:[F-NextVDO_Input]],MATCH(OP_CMAB!$D16&amp;" - Annual",Input_Usage[[Ref]:[Ref]],0),MATCH(OP_CMAB!$D$7,Inputs!$I$131:$M$131,0))),0)),0),
ROUNDUP(
(INDEX(OP_Rates_RES_1[[Ausnet]:[United Energy]],MATCH("TOU - supply",OP_Rates_RES_1[[Rate name]:[Rate name]],0),MATCH(OP_CMAB!F$13,OP_Rates_RES_1[[#Headers],[Ausnet]:[United Energy]],0))*DiY)+
IFERROR((INDEX(OP_RatesTU_RES_1[[Ausnet]:[United Energy]],MATCH("TOU",OP_RatesTU_RES_1[[Rate name]:[Rate name]],0),MATCH(OP_CMAB!F$13,OP_RatesTU_RES_1[[#Headers],[Ausnet]:[United Energy]],0))*$H$10),0)+
(INDEX(OP_TotalRates_RES_1[[Ausnet]:[United Energy]],MATCH("Peak",OP_TotalRates_RES_1[[Rate name]:[Rate name]],0),MATCH(OP_CMAB!F$13,OP_TotalRates_RES_1[[#Headers],[Ausnet]:[United Energy]],0))*
INDEX(Input_Usage[[F-CurrentVDO_Input]:[F-NextVDO_Input]],MATCH($D16&amp;" - Peak",Input_Usage[[Ref]:[Ref]],0),MATCH($D$7,Inputs!$I$131:$M$131,0)))+
IFERROR((INDEX(OP_TotalRates_RES_1[[Ausnet]:[United Energy]],MATCH("TOU - Shoulder",OP_TotalRates_RES_1[[Rate name]:[Rate name]],0),MATCH(OP_CMAB!F$13,OP_TotalRates_RES_1[[#Headers],[Ausnet]:[United Energy]],0))*
INDEX(Input_Usage[[F-CurrentVDO_Input]:[F-NextVDO_Input]],MATCH($D16&amp;" - Shoulder",Input_Usage[[Ref]:[Ref]],0),MATCH($D$7,Inputs!$I$131:$M$131,0))),0)+
(INDEX(OP_TotalRates_RES_1[[Ausnet]:[United Energy]],MATCH("Off peak",OP_TotalRates_RES_1[[Rate name]:[Rate name]],0),MATCH(OP_CMAB!F$13,OP_TotalRates_RES_1[[#Headers],[Ausnet]:[United Energy]],0))*
INDEX(Input_Usage[[F-CurrentVDO_Input]:[F-NextVDO_Input]],MATCH($D16&amp;" - Off peak",Input_Usage[[Ref]:[Ref]],0),MATCH($D$7,Inputs!$I$131:$M$131,0))),0)),"-")</f>
        <v>2254</v>
      </c>
      <c r="G16" s="97">
        <f>IFERROR(
IF($D$7="VDO 2021 - Final",
ROUNDUP(
(INDEX(OP_Rates_RES_1[[Ausnet]:[United Energy]],MATCH("Anytime - supply",OP_Rates_RES_1[[Rate name]:[Rate name]],0),MATCH(OP_CMAB!G$13,OP_Rates_RES_1[[#Headers],[Ausnet]:[United Energy]],0))*DiY)+
IFERROR((INDEX(OP_RatesTU_RES_1[[Ausnet]:[United Energy]],MATCH("Anytime",OP_RatesTU_RES_1[[Rate name]:[Rate name]],0),MATCH(OP_CMAB!G$13,OP_RatesTU_RES_1[[#Headers],[Ausnet]:[United Energy]],0))*$H$10),0)+
(IFERROR((INDEX(OP_TotalRates_RES_1[[Ausnet]:[United Energy]],MATCH("Block 1",OP_TotalRates_RES_1[[Rate name]:[Rate name]],0),MATCH(OP_CMAB!G$13,OP_TotalRates_RES_1[[#Headers],[Ausnet]:[United Energy]],0))*
INDEX(Input_Usage[[F-CurrentVDO_Input]:[F-NextVDO_Input]],MATCH(OP_CMAB!$D16&amp;" - Block 1",Input_Usage[[Ref]:[Ref]],0),MATCH(OP_CMAB!$D$7,Inputs!$I$131:$M$131,0))),0)+
IFERROR((INDEX(OP_TotalRates_RES_1[[Ausnet]:[United Energy]],MATCH("Balance",OP_TotalRates_RES_1[[Rate name]:[Rate name]],0),MATCH(OP_CMAB!G$13,OP_TotalRates_RES_1[[#Headers],[Ausnet]:[United Energy]],0))*
INDEX(Input_Usage[[F-CurrentVDO_Input]:[F-NextVDO_Input]],MATCH(OP_CMAB!$D16&amp;" - Balance",Input_Usage[[Ref]:[Ref]],0),MATCH(OP_CMAB!$D$7,Inputs!$I$131:$M$131,0))),0)+
IFERROR((INDEX(OP_TotalRates_RES_1[[Ausnet]:[United Energy]],MATCH("Single rate",OP_TotalRates_RES_1[[Rate name]:[Rate name]],0),MATCH(OP_CMAB!G$13,OP_TotalRates_RES_1[[#Headers],[Ausnet]:[United Energy]],0))*
INDEX(Input_Usage[[F-CurrentVDO_Input]:[F-NextVDO_Input]],MATCH(OP_CMAB!$D16&amp;" - Annual",Input_Usage[[Ref]:[Ref]],0),MATCH(OP_CMAB!$D$7,Inputs!$I$131:$M$131,0))),0)),0),
ROUNDUP(
(INDEX(OP_Rates_RES_1[[Ausnet]:[United Energy]],MATCH("TOU - supply",OP_Rates_RES_1[[Rate name]:[Rate name]],0),MATCH(OP_CMAB!G$13,OP_Rates_RES_1[[#Headers],[Ausnet]:[United Energy]],0))*DiY)+
IFERROR((INDEX(OP_RatesTU_RES_1[[Ausnet]:[United Energy]],MATCH("TOU",OP_RatesTU_RES_1[[Rate name]:[Rate name]],0),MATCH(OP_CMAB!G$13,OP_RatesTU_RES_1[[#Headers],[Ausnet]:[United Energy]],0))*$H$10),0)+
(INDEX(OP_TotalRates_RES_1[[Ausnet]:[United Energy]],MATCH("Peak",OP_TotalRates_RES_1[[Rate name]:[Rate name]],0),MATCH(OP_CMAB!G$13,OP_TotalRates_RES_1[[#Headers],[Ausnet]:[United Energy]],0))*
INDEX(Input_Usage[[F-CurrentVDO_Input]:[F-NextVDO_Input]],MATCH($D16&amp;" - Peak",Input_Usage[[Ref]:[Ref]],0),MATCH($D$7,Inputs!$I$131:$M$131,0)))+
IFERROR((INDEX(OP_TotalRates_RES_1[[Ausnet]:[United Energy]],MATCH("TOU - Shoulder",OP_TotalRates_RES_1[[Rate name]:[Rate name]],0),MATCH(OP_CMAB!G$13,OP_TotalRates_RES_1[[#Headers],[Ausnet]:[United Energy]],0))*
INDEX(Input_Usage[[F-CurrentVDO_Input]:[F-NextVDO_Input]],MATCH($D16&amp;" - Shoulder",Input_Usage[[Ref]:[Ref]],0),MATCH($D$7,Inputs!$I$131:$M$131,0))),0)+
(INDEX(OP_TotalRates_RES_1[[Ausnet]:[United Energy]],MATCH("Off peak",OP_TotalRates_RES_1[[Rate name]:[Rate name]],0),MATCH(OP_CMAB!G$13,OP_TotalRates_RES_1[[#Headers],[Ausnet]:[United Energy]],0))*
INDEX(Input_Usage[[F-CurrentVDO_Input]:[F-NextVDO_Input]],MATCH($D16&amp;" - Off peak",Input_Usage[[Ref]:[Ref]],0),MATCH($D$7,Inputs!$I$131:$M$131,0))),0)),"-")</f>
        <v>2233</v>
      </c>
      <c r="H16" s="97">
        <f>IFERROR(
IF($D$7="VDO 2021 - Final",
ROUNDUP(
(INDEX(OP_Rates_RES_1[[Ausnet]:[United Energy]],MATCH("Anytime - supply",OP_Rates_RES_1[[Rate name]:[Rate name]],0),MATCH(OP_CMAB!H$13,OP_Rates_RES_1[[#Headers],[Ausnet]:[United Energy]],0))*DiY)+
IFERROR((INDEX(OP_RatesTU_RES_1[[Ausnet]:[United Energy]],MATCH("Anytime",OP_RatesTU_RES_1[[Rate name]:[Rate name]],0),MATCH(OP_CMAB!H$13,OP_RatesTU_RES_1[[#Headers],[Ausnet]:[United Energy]],0))*$H$10),0)+
(IFERROR((INDEX(OP_TotalRates_RES_1[[Ausnet]:[United Energy]],MATCH("Block 1",OP_TotalRates_RES_1[[Rate name]:[Rate name]],0),MATCH(OP_CMAB!H$13,OP_TotalRates_RES_1[[#Headers],[Ausnet]:[United Energy]],0))*
INDEX(Input_Usage[[F-CurrentVDO_Input]:[F-NextVDO_Input]],MATCH(OP_CMAB!$D16&amp;" - Block 1",Input_Usage[[Ref]:[Ref]],0),MATCH(OP_CMAB!$D$7,Inputs!$I$131:$M$131,0))),0)+
IFERROR((INDEX(OP_TotalRates_RES_1[[Ausnet]:[United Energy]],MATCH("Balance",OP_TotalRates_RES_1[[Rate name]:[Rate name]],0),MATCH(OP_CMAB!H$13,OP_TotalRates_RES_1[[#Headers],[Ausnet]:[United Energy]],0))*
INDEX(Input_Usage[[F-CurrentVDO_Input]:[F-NextVDO_Input]],MATCH(OP_CMAB!$D16&amp;" - Balance",Input_Usage[[Ref]:[Ref]],0),MATCH(OP_CMAB!$D$7,Inputs!$I$131:$M$131,0))),0)+
IFERROR((INDEX(OP_TotalRates_RES_1[[Ausnet]:[United Energy]],MATCH("Single rate",OP_TotalRates_RES_1[[Rate name]:[Rate name]],0),MATCH(OP_CMAB!H$13,OP_TotalRates_RES_1[[#Headers],[Ausnet]:[United Energy]],0))*
INDEX(Input_Usage[[F-CurrentVDO_Input]:[F-NextVDO_Input]],MATCH(OP_CMAB!$D16&amp;" - Annual",Input_Usage[[Ref]:[Ref]],0),MATCH(OP_CMAB!$D$7,Inputs!$I$131:$M$131,0))),0)),0),
ROUNDUP(
(INDEX(OP_Rates_RES_1[[Ausnet]:[United Energy]],MATCH("TOU - supply",OP_Rates_RES_1[[Rate name]:[Rate name]],0),MATCH(OP_CMAB!H$13,OP_Rates_RES_1[[#Headers],[Ausnet]:[United Energy]],0))*DiY)+
IFERROR((INDEX(OP_RatesTU_RES_1[[Ausnet]:[United Energy]],MATCH("TOU",OP_RatesTU_RES_1[[Rate name]:[Rate name]],0),MATCH(OP_CMAB!H$13,OP_RatesTU_RES_1[[#Headers],[Ausnet]:[United Energy]],0))*$H$10),0)+
(INDEX(OP_TotalRates_RES_1[[Ausnet]:[United Energy]],MATCH("Peak",OP_TotalRates_RES_1[[Rate name]:[Rate name]],0),MATCH(OP_CMAB!H$13,OP_TotalRates_RES_1[[#Headers],[Ausnet]:[United Energy]],0))*
INDEX(Input_Usage[[F-CurrentVDO_Input]:[F-NextVDO_Input]],MATCH($D16&amp;" - Peak",Input_Usage[[Ref]:[Ref]],0),MATCH($D$7,Inputs!$I$131:$M$131,0)))+
IFERROR((INDEX(OP_TotalRates_RES_1[[Ausnet]:[United Energy]],MATCH("TOU - Shoulder",OP_TotalRates_RES_1[[Rate name]:[Rate name]],0),MATCH(OP_CMAB!H$13,OP_TotalRates_RES_1[[#Headers],[Ausnet]:[United Energy]],0))*
INDEX(Input_Usage[[F-CurrentVDO_Input]:[F-NextVDO_Input]],MATCH($D16&amp;" - Shoulder",Input_Usage[[Ref]:[Ref]],0),MATCH($D$7,Inputs!$I$131:$M$131,0))),0)+
(INDEX(OP_TotalRates_RES_1[[Ausnet]:[United Energy]],MATCH("Off peak",OP_TotalRates_RES_1[[Rate name]:[Rate name]],0),MATCH(OP_CMAB!H$13,OP_TotalRates_RES_1[[#Headers],[Ausnet]:[United Energy]],0))*
INDEX(Input_Usage[[F-CurrentVDO_Input]:[F-NextVDO_Input]],MATCH($D16&amp;" - Off peak",Input_Usage[[Ref]:[Ref]],0),MATCH($D$7,Inputs!$I$131:$M$131,0))),0)),"-")</f>
        <v>2363</v>
      </c>
      <c r="I16" s="97">
        <f>IFERROR(
IF($D$7="VDO 2021 - Final",
ROUNDUP(
(INDEX(OP_Rates_RES_1[[Ausnet]:[United Energy]],MATCH("Anytime - supply",OP_Rates_RES_1[[Rate name]:[Rate name]],0),MATCH(OP_CMAB!I$13,OP_Rates_RES_1[[#Headers],[Ausnet]:[United Energy]],0))*DiY)+
IFERROR((INDEX(OP_RatesTU_RES_1[[Ausnet]:[United Energy]],MATCH("Anytime",OP_RatesTU_RES_1[[Rate name]:[Rate name]],0),MATCH(OP_CMAB!I$13,OP_RatesTU_RES_1[[#Headers],[Ausnet]:[United Energy]],0))*$H$10),0)+
(IFERROR((INDEX(OP_TotalRates_RES_1[[Ausnet]:[United Energy]],MATCH("Block 1",OP_TotalRates_RES_1[[Rate name]:[Rate name]],0),MATCH(OP_CMAB!I$13,OP_TotalRates_RES_1[[#Headers],[Ausnet]:[United Energy]],0))*
INDEX(Input_Usage[[F-CurrentVDO_Input]:[F-NextVDO_Input]],MATCH(OP_CMAB!$D16&amp;" - Block 1",Input_Usage[[Ref]:[Ref]],0),MATCH(OP_CMAB!$D$7,Inputs!$I$131:$M$131,0))),0)+
IFERROR((INDEX(OP_TotalRates_RES_1[[Ausnet]:[United Energy]],MATCH("Balance",OP_TotalRates_RES_1[[Rate name]:[Rate name]],0),MATCH(OP_CMAB!I$13,OP_TotalRates_RES_1[[#Headers],[Ausnet]:[United Energy]],0))*
INDEX(Input_Usage[[F-CurrentVDO_Input]:[F-NextVDO_Input]],MATCH(OP_CMAB!$D16&amp;" - Balance",Input_Usage[[Ref]:[Ref]],0),MATCH(OP_CMAB!$D$7,Inputs!$I$131:$M$131,0))),0)+
IFERROR((INDEX(OP_TotalRates_RES_1[[Ausnet]:[United Energy]],MATCH("Single rate",OP_TotalRates_RES_1[[Rate name]:[Rate name]],0),MATCH(OP_CMAB!I$13,OP_TotalRates_RES_1[[#Headers],[Ausnet]:[United Energy]],0))*
INDEX(Input_Usage[[F-CurrentVDO_Input]:[F-NextVDO_Input]],MATCH(OP_CMAB!$D16&amp;" - Annual",Input_Usage[[Ref]:[Ref]],0),MATCH(OP_CMAB!$D$7,Inputs!$I$131:$M$131,0))),0)),0),
ROUNDUP(
(INDEX(OP_Rates_RES_1[[Ausnet]:[United Energy]],MATCH("TOU - supply",OP_Rates_RES_1[[Rate name]:[Rate name]],0),MATCH(OP_CMAB!I$13,OP_Rates_RES_1[[#Headers],[Ausnet]:[United Energy]],0))*DiY)+
IFERROR((INDEX(OP_RatesTU_RES_1[[Ausnet]:[United Energy]],MATCH("TOU",OP_RatesTU_RES_1[[Rate name]:[Rate name]],0),MATCH(OP_CMAB!I$13,OP_RatesTU_RES_1[[#Headers],[Ausnet]:[United Energy]],0))*$H$10),0)+
(INDEX(OP_TotalRates_RES_1[[Ausnet]:[United Energy]],MATCH("Peak",OP_TotalRates_RES_1[[Rate name]:[Rate name]],0),MATCH(OP_CMAB!I$13,OP_TotalRates_RES_1[[#Headers],[Ausnet]:[United Energy]],0))*
INDEX(Input_Usage[[F-CurrentVDO_Input]:[F-NextVDO_Input]],MATCH($D16&amp;" - Peak",Input_Usage[[Ref]:[Ref]],0),MATCH($D$7,Inputs!$I$131:$M$131,0)))+
IFERROR((INDEX(OP_TotalRates_RES_1[[Ausnet]:[United Energy]],MATCH("TOU - Shoulder",OP_TotalRates_RES_1[[Rate name]:[Rate name]],0),MATCH(OP_CMAB!I$13,OP_TotalRates_RES_1[[#Headers],[Ausnet]:[United Energy]],0))*
INDEX(Input_Usage[[F-CurrentVDO_Input]:[F-NextVDO_Input]],MATCH($D16&amp;" - Shoulder",Input_Usage[[Ref]:[Ref]],0),MATCH($D$7,Inputs!$I$131:$M$131,0))),0)+
(INDEX(OP_TotalRates_RES_1[[Ausnet]:[United Energy]],MATCH("Off peak",OP_TotalRates_RES_1[[Rate name]:[Rate name]],0),MATCH(OP_CMAB!I$13,OP_TotalRates_RES_1[[#Headers],[Ausnet]:[United Energy]],0))*
INDEX(Input_Usage[[F-CurrentVDO_Input]:[F-NextVDO_Input]],MATCH($D16&amp;" - Off peak",Input_Usage[[Ref]:[Ref]],0),MATCH($D$7,Inputs!$I$131:$M$131,0))),0)),"-")</f>
        <v>2313</v>
      </c>
      <c r="K16" s="35" t="s">
        <v>32</v>
      </c>
      <c r="L16" s="35" t="s">
        <v>163</v>
      </c>
      <c r="M16" s="97">
        <f>IFERROR(
IF($D$7="VDO 2021 - Final",
ROUNDUP(
(INDEX(OP_Rates_SME_1[[Ausnet]:[United Energy]],MATCH("Anytime - supply",OP_Rates_SME_1[[Rate name]:[Rate name]],0),MATCH(OP_CMAB!M$13,OP_Rates_SME_1[[#Headers],[Ausnet]:[United Energy]],0))*DiY)+
IFERROR((INDEX(OP_RatesTU_SME_1[[Ausnet]:[United Energy]],MATCH("Anytime",OP_RatesTU_SME_1[[Rate name]:[Rate name]],0),MATCH(OP_CMAB!M$13,OP_RatesTU_SME_1[[#Headers],[Ausnet]:[United Energy]],0))*$H$10),0)+
(IFERROR((INDEX(OP_TotalRates_SME_1[[Ausnet]:[United Energy]],MATCH("Block 1",OP_TotalRates_SME_1[[Rate name]:[Rate name]],0),MATCH(OP_CMAB!M$13,OP_TotalRates_SME_1[[#Headers],[Ausnet]:[United Energy]],0))*
INDEX(Input_Usage[[F-CurrentVDO_Input]:[F-NextVDO_Input]],MATCH(OP_CMAB!$L16&amp;" - Block 1",Input_Usage[[Ref]:[Ref]],0),MATCH(OP_CMAB!$D$7,Inputs!$I$131:$M$131,0))),0)+
IFERROR((INDEX(OP_TotalRates_SME_1[[Ausnet]:[United Energy]],MATCH("Balance",OP_TotalRates_SME_1[[Rate name]:[Rate name]],0),MATCH(OP_CMAB!M$13,OP_TotalRates_SME_1[[#Headers],[Ausnet]:[United Energy]],0))*
INDEX(Input_Usage[[F-CurrentVDO_Input]:[F-NextVDO_Input]],MATCH(OP_CMAB!$L16&amp;" - Balance",Input_Usage[[Ref]:[Ref]],0),MATCH(OP_CMAB!$D$7,Inputs!$I$131:$M$131,0))),0)+
IFERROR((INDEX(OP_TotalRates_SME_1[[Ausnet]:[United Energy]],MATCH("Single rate",OP_TotalRates_SME_1[[Rate name]:[Rate name]],0),MATCH(OP_CMAB!M$13,OP_TotalRates_SME_1[[#Headers],[Ausnet]:[United Energy]],0))*
INDEX(Input_Usage[[F-CurrentVDO_Input]:[F-NextVDO_Input]],MATCH(OP_CMAB!$L16&amp;" - Annual",Input_Usage[[Ref]:[Ref]],0),MATCH(OP_CMAB!$D$7,Inputs!$I$131:$M$131,0))),0)),0),
ROUNDUP(
(INDEX(OP_Rates_SME_1[[Ausnet]:[United Energy]],MATCH("TOU - supply",OP_Rates_SME_1[[Rate name]:[Rate name]],0),MATCH(OP_CMAB!M$13,OP_Rates_SME_1[[#Headers],[Ausnet]:[United Energy]],0))*DiY)+
IFERROR((INDEX(OP_RatesTU_SME_1[[Ausnet]:[United Energy]],MATCH("TOU",OP_RatesTU_SME_1[[Rate name]:[Rate name]],0),MATCH(OP_CMAB!M$13,OP_RatesTU_SME_1[[#Headers],[Ausnet]:[United Energy]],0))*$H$10),0)+
(INDEX(OP_TotalRates_SME_1[[Ausnet]:[United Energy]],MATCH("Peak",OP_TotalRates_SME_1[[Rate name]:[Rate name]],0),MATCH(OP_CMAB!M$13,OP_TotalRates_SME_1[[#Headers],[Ausnet]:[United Energy]],0))*
INDEX(Input_Usage[[F-CurrentVDO_Input]:[F-NextVDO_Input]],MATCH($L16&amp;" - Peak",Input_Usage[[Ref]:[Ref]],0),MATCH($D$7,Inputs!$I$131:$M$131,0)))+
IFERROR((INDEX(OP_TotalRates_SME_1[[Ausnet]:[United Energy]],MATCH("TOU - Shoulder",OP_TotalRates_SME_1[[Rate name]:[Rate name]],0),MATCH(OP_CMAB!M$13,OP_TotalRates_SME_1[[#Headers],[Ausnet]:[United Energy]],0))*
INDEX(Input_Usage[[F-CurrentVDO_Input]:[F-NextVDO_Input]],MATCH($L16&amp;" - Shoulder",Input_Usage[[Ref]:[Ref]],0),MATCH($D$7,Inputs!$I$131:$M$131,0))),0)+
(INDEX(OP_TotalRates_SME_1[[Ausnet]:[United Energy]],MATCH("Off peak",OP_TotalRates_SME_1[[Rate name]:[Rate name]],0),MATCH(OP_CMAB!M$13,OP_TotalRates_SME_1[[#Headers],[Ausnet]:[United Energy]],0))*
INDEX(Input_Usage[[F-CurrentVDO_Input]:[F-NextVDO_Input]],MATCH($L16&amp;" - Off peak",Input_Usage[[Ref]:[Ref]],0),MATCH($D$7,Inputs!$I$131:$M$131,0))),0)),"-")</f>
        <v>10758</v>
      </c>
      <c r="N16" s="97">
        <f>IFERROR(
IF($D$7="VDO 2021 - Final",
ROUNDUP(
(INDEX(OP_Rates_SME_1[[Ausnet]:[United Energy]],MATCH("Anytime - supply",OP_Rates_SME_1[[Rate name]:[Rate name]],0),MATCH(OP_CMAB!N$13,OP_Rates_SME_1[[#Headers],[Ausnet]:[United Energy]],0))*DiY)+
IFERROR((INDEX(OP_RatesTU_SME_1[[Ausnet]:[United Energy]],MATCH("Anytime",OP_RatesTU_SME_1[[Rate name]:[Rate name]],0),MATCH(OP_CMAB!N$13,OP_RatesTU_SME_1[[#Headers],[Ausnet]:[United Energy]],0))*$H$10),0)+
(IFERROR((INDEX(OP_TotalRates_SME_1[[Ausnet]:[United Energy]],MATCH("Block 1",OP_TotalRates_SME_1[[Rate name]:[Rate name]],0),MATCH(OP_CMAB!N$13,OP_TotalRates_SME_1[[#Headers],[Ausnet]:[United Energy]],0))*
INDEX(Input_Usage[[F-CurrentVDO_Input]:[F-NextVDO_Input]],MATCH(OP_CMAB!$L16&amp;" - Block 1",Input_Usage[[Ref]:[Ref]],0),MATCH(OP_CMAB!$D$7,Inputs!$I$131:$M$131,0))),0)+
IFERROR((INDEX(OP_TotalRates_SME_1[[Ausnet]:[United Energy]],MATCH("Balance",OP_TotalRates_SME_1[[Rate name]:[Rate name]],0),MATCH(OP_CMAB!N$13,OP_TotalRates_SME_1[[#Headers],[Ausnet]:[United Energy]],0))*
INDEX(Input_Usage[[F-CurrentVDO_Input]:[F-NextVDO_Input]],MATCH(OP_CMAB!$L16&amp;" - Balance",Input_Usage[[Ref]:[Ref]],0),MATCH(OP_CMAB!$D$7,Inputs!$I$131:$M$131,0))),0)+
IFERROR((INDEX(OP_TotalRates_SME_1[[Ausnet]:[United Energy]],MATCH("Single rate",OP_TotalRates_SME_1[[Rate name]:[Rate name]],0),MATCH(OP_CMAB!N$13,OP_TotalRates_SME_1[[#Headers],[Ausnet]:[United Energy]],0))*
INDEX(Input_Usage[[F-CurrentVDO_Input]:[F-NextVDO_Input]],MATCH(OP_CMAB!$L16&amp;" - Annual",Input_Usage[[Ref]:[Ref]],0),MATCH(OP_CMAB!$D$7,Inputs!$I$131:$M$131,0))),0)),0),
ROUNDUP(
(INDEX(OP_Rates_SME_1[[Ausnet]:[United Energy]],MATCH("TOU - supply",OP_Rates_SME_1[[Rate name]:[Rate name]],0),MATCH(OP_CMAB!N$13,OP_Rates_SME_1[[#Headers],[Ausnet]:[United Energy]],0))*DiY)+
IFERROR((INDEX(OP_RatesTU_SME_1[[Ausnet]:[United Energy]],MATCH("TOU",OP_RatesTU_SME_1[[Rate name]:[Rate name]],0),MATCH(OP_CMAB!N$13,OP_RatesTU_SME_1[[#Headers],[Ausnet]:[United Energy]],0))*$H$10),0)+
(INDEX(OP_TotalRates_SME_1[[Ausnet]:[United Energy]],MATCH("Peak",OP_TotalRates_SME_1[[Rate name]:[Rate name]],0),MATCH(OP_CMAB!N$13,OP_TotalRates_SME_1[[#Headers],[Ausnet]:[United Energy]],0))*
INDEX(Input_Usage[[F-CurrentVDO_Input]:[F-NextVDO_Input]],MATCH($L16&amp;" - Peak",Input_Usage[[Ref]:[Ref]],0),MATCH($D$7,Inputs!$I$131:$M$131,0)))+
IFERROR((INDEX(OP_TotalRates_SME_1[[Ausnet]:[United Energy]],MATCH("TOU - Shoulder",OP_TotalRates_SME_1[[Rate name]:[Rate name]],0),MATCH(OP_CMAB!N$13,OP_TotalRates_SME_1[[#Headers],[Ausnet]:[United Energy]],0))*
INDEX(Input_Usage[[F-CurrentVDO_Input]:[F-NextVDO_Input]],MATCH($L16&amp;" - Shoulder",Input_Usage[[Ref]:[Ref]],0),MATCH($D$7,Inputs!$I$131:$M$131,0))),0)+
(INDEX(OP_TotalRates_SME_1[[Ausnet]:[United Energy]],MATCH("Off peak",OP_TotalRates_SME_1[[Rate name]:[Rate name]],0),MATCH(OP_CMAB!N$13,OP_TotalRates_SME_1[[#Headers],[Ausnet]:[United Energy]],0))*
INDEX(Input_Usage[[F-CurrentVDO_Input]:[F-NextVDO_Input]],MATCH($L16&amp;" - Off peak",Input_Usage[[Ref]:[Ref]],0),MATCH($D$7,Inputs!$I$131:$M$131,0))),0)),"-")</f>
        <v>9505</v>
      </c>
      <c r="O16" s="97">
        <f>IFERROR(
IF($D$7="VDO 2021 - Final",
ROUNDUP(
(INDEX(OP_Rates_SME_1[[Ausnet]:[United Energy]],MATCH("Anytime - supply",OP_Rates_SME_1[[Rate name]:[Rate name]],0),MATCH(OP_CMAB!O$13,OP_Rates_SME_1[[#Headers],[Ausnet]:[United Energy]],0))*DiY)+
IFERROR((INDEX(OP_RatesTU_SME_1[[Ausnet]:[United Energy]],MATCH("Anytime",OP_RatesTU_SME_1[[Rate name]:[Rate name]],0),MATCH(OP_CMAB!O$13,OP_RatesTU_SME_1[[#Headers],[Ausnet]:[United Energy]],0))*$H$10),0)+
(IFERROR((INDEX(OP_TotalRates_SME_1[[Ausnet]:[United Energy]],MATCH("Block 1",OP_TotalRates_SME_1[[Rate name]:[Rate name]],0),MATCH(OP_CMAB!O$13,OP_TotalRates_SME_1[[#Headers],[Ausnet]:[United Energy]],0))*
INDEX(Input_Usage[[F-CurrentVDO_Input]:[F-NextVDO_Input]],MATCH(OP_CMAB!$L16&amp;" - Block 1",Input_Usage[[Ref]:[Ref]],0),MATCH(OP_CMAB!$D$7,Inputs!$I$131:$M$131,0))),0)+
IFERROR((INDEX(OP_TotalRates_SME_1[[Ausnet]:[United Energy]],MATCH("Balance",OP_TotalRates_SME_1[[Rate name]:[Rate name]],0),MATCH(OP_CMAB!O$13,OP_TotalRates_SME_1[[#Headers],[Ausnet]:[United Energy]],0))*
INDEX(Input_Usage[[F-CurrentVDO_Input]:[F-NextVDO_Input]],MATCH(OP_CMAB!$L16&amp;" - Balance",Input_Usage[[Ref]:[Ref]],0),MATCH(OP_CMAB!$D$7,Inputs!$I$131:$M$131,0))),0)+
IFERROR((INDEX(OP_TotalRates_SME_1[[Ausnet]:[United Energy]],MATCH("Single rate",OP_TotalRates_SME_1[[Rate name]:[Rate name]],0),MATCH(OP_CMAB!O$13,OP_TotalRates_SME_1[[#Headers],[Ausnet]:[United Energy]],0))*
INDEX(Input_Usage[[F-CurrentVDO_Input]:[F-NextVDO_Input]],MATCH(OP_CMAB!$L16&amp;" - Annual",Input_Usage[[Ref]:[Ref]],0),MATCH(OP_CMAB!$D$7,Inputs!$I$131:$M$131,0))),0)),0),
ROUNDUP(
(INDEX(OP_Rates_SME_1[[Ausnet]:[United Energy]],MATCH("TOU - supply",OP_Rates_SME_1[[Rate name]:[Rate name]],0),MATCH(OP_CMAB!O$13,OP_Rates_SME_1[[#Headers],[Ausnet]:[United Energy]],0))*DiY)+
IFERROR((INDEX(OP_RatesTU_SME_1[[Ausnet]:[United Energy]],MATCH("TOU",OP_RatesTU_SME_1[[Rate name]:[Rate name]],0),MATCH(OP_CMAB!O$13,OP_RatesTU_SME_1[[#Headers],[Ausnet]:[United Energy]],0))*$H$10),0)+
(INDEX(OP_TotalRates_SME_1[[Ausnet]:[United Energy]],MATCH("Peak",OP_TotalRates_SME_1[[Rate name]:[Rate name]],0),MATCH(OP_CMAB!O$13,OP_TotalRates_SME_1[[#Headers],[Ausnet]:[United Energy]],0))*
INDEX(Input_Usage[[F-CurrentVDO_Input]:[F-NextVDO_Input]],MATCH($L16&amp;" - Peak",Input_Usage[[Ref]:[Ref]],0),MATCH($D$7,Inputs!$I$131:$M$131,0)))+
IFERROR((INDEX(OP_TotalRates_SME_1[[Ausnet]:[United Energy]],MATCH("TOU - Shoulder",OP_TotalRates_SME_1[[Rate name]:[Rate name]],0),MATCH(OP_CMAB!O$13,OP_TotalRates_SME_1[[#Headers],[Ausnet]:[United Energy]],0))*
INDEX(Input_Usage[[F-CurrentVDO_Input]:[F-NextVDO_Input]],MATCH($L16&amp;" - Shoulder",Input_Usage[[Ref]:[Ref]],0),MATCH($D$7,Inputs!$I$131:$M$131,0))),0)+
(INDEX(OP_TotalRates_SME_1[[Ausnet]:[United Energy]],MATCH("Off peak",OP_TotalRates_SME_1[[Rate name]:[Rate name]],0),MATCH(OP_CMAB!O$13,OP_TotalRates_SME_1[[#Headers],[Ausnet]:[United Energy]],0))*
INDEX(Input_Usage[[F-CurrentVDO_Input]:[F-NextVDO_Input]],MATCH($L16&amp;" - Off peak",Input_Usage[[Ref]:[Ref]],0),MATCH($D$7,Inputs!$I$131:$M$131,0))),0)),"-")</f>
        <v>9849</v>
      </c>
      <c r="P16" s="97">
        <f>IFERROR(
IF($D$7="VDO 2021 - Final",
ROUNDUP(
(INDEX(OP_Rates_SME_1[[Ausnet]:[United Energy]],MATCH("Anytime - supply",OP_Rates_SME_1[[Rate name]:[Rate name]],0),MATCH(OP_CMAB!P$13,OP_Rates_SME_1[[#Headers],[Ausnet]:[United Energy]],0))*DiY)+
IFERROR((INDEX(OP_RatesTU_SME_1[[Ausnet]:[United Energy]],MATCH("Anytime",OP_RatesTU_SME_1[[Rate name]:[Rate name]],0),MATCH(OP_CMAB!P$13,OP_RatesTU_SME_1[[#Headers],[Ausnet]:[United Energy]],0))*$H$10),0)+
(IFERROR((INDEX(OP_TotalRates_SME_1[[Ausnet]:[United Energy]],MATCH("Block 1",OP_TotalRates_SME_1[[Rate name]:[Rate name]],0),MATCH(OP_CMAB!P$13,OP_TotalRates_SME_1[[#Headers],[Ausnet]:[United Energy]],0))*
INDEX(Input_Usage[[F-CurrentVDO_Input]:[F-NextVDO_Input]],MATCH(OP_CMAB!$L16&amp;" - Block 1",Input_Usage[[Ref]:[Ref]],0),MATCH(OP_CMAB!$D$7,Inputs!$I$131:$M$131,0))),0)+
IFERROR((INDEX(OP_TotalRates_SME_1[[Ausnet]:[United Energy]],MATCH("Balance",OP_TotalRates_SME_1[[Rate name]:[Rate name]],0),MATCH(OP_CMAB!P$13,OP_TotalRates_SME_1[[#Headers],[Ausnet]:[United Energy]],0))*
INDEX(Input_Usage[[F-CurrentVDO_Input]:[F-NextVDO_Input]],MATCH(OP_CMAB!$L16&amp;" - Balance",Input_Usage[[Ref]:[Ref]],0),MATCH(OP_CMAB!$D$7,Inputs!$I$131:$M$131,0))),0)+
IFERROR((INDEX(OP_TotalRates_SME_1[[Ausnet]:[United Energy]],MATCH("Single rate",OP_TotalRates_SME_1[[Rate name]:[Rate name]],0),MATCH(OP_CMAB!P$13,OP_TotalRates_SME_1[[#Headers],[Ausnet]:[United Energy]],0))*
INDEX(Input_Usage[[F-CurrentVDO_Input]:[F-NextVDO_Input]],MATCH(OP_CMAB!$L16&amp;" - Annual",Input_Usage[[Ref]:[Ref]],0),MATCH(OP_CMAB!$D$7,Inputs!$I$131:$M$131,0))),0)),0),
ROUNDUP(
(INDEX(OP_Rates_SME_1[[Ausnet]:[United Energy]],MATCH("TOU - supply",OP_Rates_SME_1[[Rate name]:[Rate name]],0),MATCH(OP_CMAB!P$13,OP_Rates_SME_1[[#Headers],[Ausnet]:[United Energy]],0))*DiY)+
IFERROR((INDEX(OP_RatesTU_SME_1[[Ausnet]:[United Energy]],MATCH("TOU",OP_RatesTU_SME_1[[Rate name]:[Rate name]],0),MATCH(OP_CMAB!P$13,OP_RatesTU_SME_1[[#Headers],[Ausnet]:[United Energy]],0))*$H$10),0)+
(INDEX(OP_TotalRates_SME_1[[Ausnet]:[United Energy]],MATCH("Peak",OP_TotalRates_SME_1[[Rate name]:[Rate name]],0),MATCH(OP_CMAB!P$13,OP_TotalRates_SME_1[[#Headers],[Ausnet]:[United Energy]],0))*
INDEX(Input_Usage[[F-CurrentVDO_Input]:[F-NextVDO_Input]],MATCH($L16&amp;" - Peak",Input_Usage[[Ref]:[Ref]],0),MATCH($D$7,Inputs!$I$131:$M$131,0)))+
IFERROR((INDEX(OP_TotalRates_SME_1[[Ausnet]:[United Energy]],MATCH("TOU - Shoulder",OP_TotalRates_SME_1[[Rate name]:[Rate name]],0),MATCH(OP_CMAB!P$13,OP_TotalRates_SME_1[[#Headers],[Ausnet]:[United Energy]],0))*
INDEX(Input_Usage[[F-CurrentVDO_Input]:[F-NextVDO_Input]],MATCH($L16&amp;" - Shoulder",Input_Usage[[Ref]:[Ref]],0),MATCH($D$7,Inputs!$I$131:$M$131,0))),0)+
(INDEX(OP_TotalRates_SME_1[[Ausnet]:[United Energy]],MATCH("Off peak",OP_TotalRates_SME_1[[Rate name]:[Rate name]],0),MATCH(OP_CMAB!P$13,OP_TotalRates_SME_1[[#Headers],[Ausnet]:[United Energy]],0))*
INDEX(Input_Usage[[F-CurrentVDO_Input]:[F-NextVDO_Input]],MATCH($L16&amp;" - Off peak",Input_Usage[[Ref]:[Ref]],0),MATCH($D$7,Inputs!$I$131:$M$131,0))),0)),"-")</f>
        <v>9876</v>
      </c>
      <c r="Q16" s="97">
        <f>IFERROR(
IF($D$7="VDO 2021 - Final",
ROUNDUP(
(INDEX(OP_Rates_SME_1[[Ausnet]:[United Energy]],MATCH("Anytime - supply",OP_Rates_SME_1[[Rate name]:[Rate name]],0),MATCH(OP_CMAB!Q$13,OP_Rates_SME_1[[#Headers],[Ausnet]:[United Energy]],0))*DiY)+
IFERROR((INDEX(OP_RatesTU_SME_1[[Ausnet]:[United Energy]],MATCH("Anytime",OP_RatesTU_SME_1[[Rate name]:[Rate name]],0),MATCH(OP_CMAB!Q$13,OP_RatesTU_SME_1[[#Headers],[Ausnet]:[United Energy]],0))*$H$10),0)+
(IFERROR((INDEX(OP_TotalRates_SME_1[[Ausnet]:[United Energy]],MATCH("Block 1",OP_TotalRates_SME_1[[Rate name]:[Rate name]],0),MATCH(OP_CMAB!Q$13,OP_TotalRates_SME_1[[#Headers],[Ausnet]:[United Energy]],0))*
INDEX(Input_Usage[[F-CurrentVDO_Input]:[F-NextVDO_Input]],MATCH(OP_CMAB!$L16&amp;" - Block 1",Input_Usage[[Ref]:[Ref]],0),MATCH(OP_CMAB!$D$7,Inputs!$I$131:$M$131,0))),0)+
IFERROR((INDEX(OP_TotalRates_SME_1[[Ausnet]:[United Energy]],MATCH("Balance",OP_TotalRates_SME_1[[Rate name]:[Rate name]],0),MATCH(OP_CMAB!Q$13,OP_TotalRates_SME_1[[#Headers],[Ausnet]:[United Energy]],0))*
INDEX(Input_Usage[[F-CurrentVDO_Input]:[F-NextVDO_Input]],MATCH(OP_CMAB!$L16&amp;" - Balance",Input_Usage[[Ref]:[Ref]],0),MATCH(OP_CMAB!$D$7,Inputs!$I$131:$M$131,0))),0)+
IFERROR((INDEX(OP_TotalRates_SME_1[[Ausnet]:[United Energy]],MATCH("Single rate",OP_TotalRates_SME_1[[Rate name]:[Rate name]],0),MATCH(OP_CMAB!Q$13,OP_TotalRates_SME_1[[#Headers],[Ausnet]:[United Energy]],0))*
INDEX(Input_Usage[[F-CurrentVDO_Input]:[F-NextVDO_Input]],MATCH(OP_CMAB!$L16&amp;" - Annual",Input_Usage[[Ref]:[Ref]],0),MATCH(OP_CMAB!$D$7,Inputs!$I$131:$M$131,0))),0)),0),
ROUNDUP(
(INDEX(OP_Rates_SME_1[[Ausnet]:[United Energy]],MATCH("TOU - supply",OP_Rates_SME_1[[Rate name]:[Rate name]],0),MATCH(OP_CMAB!Q$13,OP_Rates_SME_1[[#Headers],[Ausnet]:[United Energy]],0))*DiY)+
IFERROR((INDEX(OP_RatesTU_SME_1[[Ausnet]:[United Energy]],MATCH("TOU",OP_RatesTU_SME_1[[Rate name]:[Rate name]],0),MATCH(OP_CMAB!Q$13,OP_RatesTU_SME_1[[#Headers],[Ausnet]:[United Energy]],0))*$H$10),0)+
(INDEX(OP_TotalRates_SME_1[[Ausnet]:[United Energy]],MATCH("Peak",OP_TotalRates_SME_1[[Rate name]:[Rate name]],0),MATCH(OP_CMAB!Q$13,OP_TotalRates_SME_1[[#Headers],[Ausnet]:[United Energy]],0))*
INDEX(Input_Usage[[F-CurrentVDO_Input]:[F-NextVDO_Input]],MATCH($L16&amp;" - Peak",Input_Usage[[Ref]:[Ref]],0),MATCH($D$7,Inputs!$I$131:$M$131,0)))+
IFERROR((INDEX(OP_TotalRates_SME_1[[Ausnet]:[United Energy]],MATCH("TOU - Shoulder",OP_TotalRates_SME_1[[Rate name]:[Rate name]],0),MATCH(OP_CMAB!Q$13,OP_TotalRates_SME_1[[#Headers],[Ausnet]:[United Energy]],0))*
INDEX(Input_Usage[[F-CurrentVDO_Input]:[F-NextVDO_Input]],MATCH($L16&amp;" - Shoulder",Input_Usage[[Ref]:[Ref]],0),MATCH($D$7,Inputs!$I$131:$M$131,0))),0)+
(INDEX(OP_TotalRates_SME_1[[Ausnet]:[United Energy]],MATCH("Off peak",OP_TotalRates_SME_1[[Rate name]:[Rate name]],0),MATCH(OP_CMAB!Q$13,OP_TotalRates_SME_1[[#Headers],[Ausnet]:[United Energy]],0))*
INDEX(Input_Usage[[F-CurrentVDO_Input]:[F-NextVDO_Input]],MATCH($L16&amp;" - Off peak",Input_Usage[[Ref]:[Ref]],0),MATCH($D$7,Inputs!$I$131:$M$131,0))),0)),"-")</f>
        <v>9810</v>
      </c>
    </row>
    <row r="18" spans="1:18" ht="15.75" x14ac:dyDescent="0.25">
      <c r="E18" s="79">
        <f>IF($D$24="VDO 2021 - Final",
IF(E14=
ROUNDUP(
(INDEX(OP_TotalRates_RES_1[[Ausnet]:[United Energy]],MATCH("Anytime - supply",OP_TotalRates_RES_1[Rate name],0),MATCH(OP_CMAB!E$31,OP_TotalRates_RES_1[[#Headers],[Ausnet]:[United Energy]],0))*DiY)+
(IFERROR((INDEX(OP_TotalRates_RES_1[[Ausnet]:[United Energy]],MATCH("Block 1",OP_TotalRates_RES_1[Rate name],0),MATCH(OP_CMAB!E$31,OP_TotalRates_RES_1[[#Headers],[Ausnet]:[United Energy]],0))*
INDEX(Input_Usage[[F-CurrentVDO_Input]:[F-NextVDO_Input]],MATCH(OP_CMAB!$D14&amp;" - Block 1",Input_Usage[Ref],0),MATCH(OP_CMAB!$D$24,Inputs!$I$131:$M$131,0))),0)+
IFERROR((INDEX(OP_TotalRates_RES_1[[Ausnet]:[United Energy]],MATCH("Balance",OP_TotalRates_RES_1[Rate name],0),MATCH(OP_CMAB!E$31,OP_TotalRates_RES_1[[#Headers],[Ausnet]:[United Energy]],0))*
INDEX(Input_Usage[[F-CurrentVDO_Input]:[F-NextVDO_Input]],MATCH(OP_CMAB!$D14&amp;" - Balance",Input_Usage[Ref],0),MATCH(OP_CMAB!$D$24,Inputs!$I$131:$M$131,0))),0)+
IFERROR((INDEX(OP_TotalRates_RES_1[[Ausnet]:[United Energy]],MATCH("Single rate",OP_TotalRates_RES_1[Rate name],0),MATCH(OP_CMAB!E$31,OP_TotalRates_RES_1[[#Headers],[Ausnet]:[United Energy]],0))*
INDEX(Input_Usage[[F-CurrentVDO_Input]:[F-NextVDO_Input]],MATCH(OP_CMAB!$D14&amp;" - Annual",Input_Usage[Ref],0),MATCH(OP_CMAB!$D$24,Inputs!$I$131:$M$131,0))),0)),0),0,1),
IF(E14=
ROUNDUP(
(INDEX(OP_TotalRates_RES_1[[Ausnet]:[United Energy]],MATCH("TOU - supply",OP_TotalRates_RES_1[Rate name],0),MATCH(OP_CMAB!E$31,OP_TotalRates_RES_1[[#Headers],[Ausnet]:[United Energy]],0))*DiY)+
(INDEX(OP_TotalRates_RES_1[[Ausnet]:[United Energy]],MATCH("Peak",OP_TotalRates_RES_1[Rate name],0),MATCH(OP_CMAB!E$31,OP_TotalRates_RES_1[[#Headers],[Ausnet]:[United Energy]],0))*
INDEX(Input_Usage[[F-CurrentVDO_Input]:[F-NextVDO_Input]],MATCH($D14&amp;" - Peak",Input_Usage[Ref],0),MATCH($D$24,Inputs!$I$131:$M$131,0)))+
IFERROR((INDEX(OP_TotalRates_RES_1[[Ausnet]:[United Energy]],MATCH("TOU - Shoulder",OP_TotalRates_RES_1[Rate name],0),MATCH(OP_CMAB!E$31,OP_TotalRates_RES_1[[#Headers],[Ausnet]:[United Energy]],0))*
INDEX(Input_Usage[[F-CurrentVDO_Input]:[F-NextVDO_Input]],MATCH($D14&amp;" - Shoulder",Input_Usage[Ref],0),MATCH($D$24,Inputs!$I$131:$M$131,0))),0)+
(INDEX(OP_TotalRates_RES_1[[Ausnet]:[United Energy]],MATCH("Off peak",OP_TotalRates_RES_1[Rate name],0),MATCH(OP_CMAB!E$31,OP_TotalRates_RES_1[[#Headers],[Ausnet]:[United Energy]],0))*
INDEX(Input_Usage[[F-CurrentVDO_Input]:[F-NextVDO_Input]],MATCH($D14&amp;" - Off peak",Input_Usage[Ref],0),MATCH($D$24,Inputs!$I$131:$M$131,0))),0),0,1))</f>
        <v>0</v>
      </c>
      <c r="F18" s="79">
        <f>IF($D$24="VDO 2021 - Final",
IF(F14=
ROUNDUP(
(INDEX(OP_TotalRates_RES_1[[Ausnet]:[United Energy]],MATCH("Anytime - supply",OP_TotalRates_RES_1[Rate name],0),MATCH(OP_CMAB!F$31,OP_TotalRates_RES_1[[#Headers],[Ausnet]:[United Energy]],0))*DiY)+
(IFERROR((INDEX(OP_TotalRates_RES_1[[Ausnet]:[United Energy]],MATCH("Block 1",OP_TotalRates_RES_1[Rate name],0),MATCH(OP_CMAB!F$31,OP_TotalRates_RES_1[[#Headers],[Ausnet]:[United Energy]],0))*
INDEX(Input_Usage[[F-CurrentVDO_Input]:[F-NextVDO_Input]],MATCH(OP_CMAB!$D14&amp;" - Block 1",Input_Usage[Ref],0),MATCH(OP_CMAB!$D$24,Inputs!$I$131:$M$131,0))),0)+
IFERROR((INDEX(OP_TotalRates_RES_1[[Ausnet]:[United Energy]],MATCH("Balance",OP_TotalRates_RES_1[Rate name],0),MATCH(OP_CMAB!F$31,OP_TotalRates_RES_1[[#Headers],[Ausnet]:[United Energy]],0))*
INDEX(Input_Usage[[F-CurrentVDO_Input]:[F-NextVDO_Input]],MATCH(OP_CMAB!$D14&amp;" - Balance",Input_Usage[Ref],0),MATCH(OP_CMAB!$D$24,Inputs!$I$131:$M$131,0))),0)+
IFERROR((INDEX(OP_TotalRates_RES_1[[Ausnet]:[United Energy]],MATCH("Single rate",OP_TotalRates_RES_1[Rate name],0),MATCH(OP_CMAB!F$31,OP_TotalRates_RES_1[[#Headers],[Ausnet]:[United Energy]],0))*
INDEX(Input_Usage[[F-CurrentVDO_Input]:[F-NextVDO_Input]],MATCH(OP_CMAB!$D14&amp;" - Annual",Input_Usage[Ref],0),MATCH(OP_CMAB!$D$24,Inputs!$I$131:$M$131,0))),0)),0),0,1),
IF(F14=
ROUNDUP(
(INDEX(OP_TotalRates_RES_1[[Ausnet]:[United Energy]],MATCH("TOU - supply",OP_TotalRates_RES_1[Rate name],0),MATCH(OP_CMAB!F$31,OP_TotalRates_RES_1[[#Headers],[Ausnet]:[United Energy]],0))*DiY)+
(INDEX(OP_TotalRates_RES_1[[Ausnet]:[United Energy]],MATCH("Peak",OP_TotalRates_RES_1[Rate name],0),MATCH(OP_CMAB!F$31,OP_TotalRates_RES_1[[#Headers],[Ausnet]:[United Energy]],0))*
INDEX(Input_Usage[[F-CurrentVDO_Input]:[F-NextVDO_Input]],MATCH($D14&amp;" - Peak",Input_Usage[Ref],0),MATCH($D$24,Inputs!$I$131:$M$131,0)))+
IFERROR((INDEX(OP_TotalRates_RES_1[[Ausnet]:[United Energy]],MATCH("TOU - Shoulder",OP_TotalRates_RES_1[Rate name],0),MATCH(OP_CMAB!F$31,OP_TotalRates_RES_1[[#Headers],[Ausnet]:[United Energy]],0))*
INDEX(Input_Usage[[F-CurrentVDO_Input]:[F-NextVDO_Input]],MATCH($D14&amp;" - Shoulder",Input_Usage[Ref],0),MATCH($D$24,Inputs!$I$131:$M$131,0))),0)+
(INDEX(OP_TotalRates_RES_1[[Ausnet]:[United Energy]],MATCH("Off peak",OP_TotalRates_RES_1[Rate name],0),MATCH(OP_CMAB!F$31,OP_TotalRates_RES_1[[#Headers],[Ausnet]:[United Energy]],0))*
INDEX(Input_Usage[[F-CurrentVDO_Input]:[F-NextVDO_Input]],MATCH($D14&amp;" - Off peak",Input_Usage[Ref],0),MATCH($D$24,Inputs!$I$131:$M$131,0))),0),0,1))</f>
        <v>0</v>
      </c>
      <c r="G18" s="79">
        <f>IF($D$24="VDO 2021 - Final",
IF(G14=
ROUNDUP(
(INDEX(OP_TotalRates_RES_1[[Ausnet]:[United Energy]],MATCH("Anytime - supply",OP_TotalRates_RES_1[Rate name],0),MATCH(OP_CMAB!G$31,OP_TotalRates_RES_1[[#Headers],[Ausnet]:[United Energy]],0))*DiY)+
(IFERROR((INDEX(OP_TotalRates_RES_1[[Ausnet]:[United Energy]],MATCH("Block 1",OP_TotalRates_RES_1[Rate name],0),MATCH(OP_CMAB!G$31,OP_TotalRates_RES_1[[#Headers],[Ausnet]:[United Energy]],0))*
INDEX(Input_Usage[[F-CurrentVDO_Input]:[F-NextVDO_Input]],MATCH(OP_CMAB!$D14&amp;" - Block 1",Input_Usage[Ref],0),MATCH(OP_CMAB!$D$24,Inputs!$I$131:$M$131,0))),0)+
IFERROR((INDEX(OP_TotalRates_RES_1[[Ausnet]:[United Energy]],MATCH("Balance",OP_TotalRates_RES_1[Rate name],0),MATCH(OP_CMAB!G$31,OP_TotalRates_RES_1[[#Headers],[Ausnet]:[United Energy]],0))*
INDEX(Input_Usage[[F-CurrentVDO_Input]:[F-NextVDO_Input]],MATCH(OP_CMAB!$D14&amp;" - Balance",Input_Usage[Ref],0),MATCH(OP_CMAB!$D$24,Inputs!$I$131:$M$131,0))),0)+
IFERROR((INDEX(OP_TotalRates_RES_1[[Ausnet]:[United Energy]],MATCH("Single rate",OP_TotalRates_RES_1[Rate name],0),MATCH(OP_CMAB!G$31,OP_TotalRates_RES_1[[#Headers],[Ausnet]:[United Energy]],0))*
INDEX(Input_Usage[[F-CurrentVDO_Input]:[F-NextVDO_Input]],MATCH(OP_CMAB!$D14&amp;" - Annual",Input_Usage[Ref],0),MATCH(OP_CMAB!$D$24,Inputs!$I$131:$M$131,0))),0)),0),0,1),
IF(G14=
ROUNDUP(
(INDEX(OP_TotalRates_RES_1[[Ausnet]:[United Energy]],MATCH("TOU - supply",OP_TotalRates_RES_1[Rate name],0),MATCH(OP_CMAB!G$31,OP_TotalRates_RES_1[[#Headers],[Ausnet]:[United Energy]],0))*DiY)+
(INDEX(OP_TotalRates_RES_1[[Ausnet]:[United Energy]],MATCH("Peak",OP_TotalRates_RES_1[Rate name],0),MATCH(OP_CMAB!G$31,OP_TotalRates_RES_1[[#Headers],[Ausnet]:[United Energy]],0))*
INDEX(Input_Usage[[F-CurrentVDO_Input]:[F-NextVDO_Input]],MATCH($D14&amp;" - Peak",Input_Usage[Ref],0),MATCH($D$24,Inputs!$I$131:$M$131,0)))+
IFERROR((INDEX(OP_TotalRates_RES_1[[Ausnet]:[United Energy]],MATCH("TOU - Shoulder",OP_TotalRates_RES_1[Rate name],0),MATCH(OP_CMAB!G$31,OP_TotalRates_RES_1[[#Headers],[Ausnet]:[United Energy]],0))*
INDEX(Input_Usage[[F-CurrentVDO_Input]:[F-NextVDO_Input]],MATCH($D14&amp;" - Shoulder",Input_Usage[Ref],0),MATCH($D$24,Inputs!$I$131:$M$131,0))),0)+
(INDEX(OP_TotalRates_RES_1[[Ausnet]:[United Energy]],MATCH("Off peak",OP_TotalRates_RES_1[Rate name],0),MATCH(OP_CMAB!G$31,OP_TotalRates_RES_1[[#Headers],[Ausnet]:[United Energy]],0))*
INDEX(Input_Usage[[F-CurrentVDO_Input]:[F-NextVDO_Input]],MATCH($D14&amp;" - Off peak",Input_Usage[Ref],0),MATCH($D$24,Inputs!$I$131:$M$131,0))),0),0,1))</f>
        <v>0</v>
      </c>
      <c r="H18" s="79">
        <f>IF($D$24="VDO 2021 - Final",
IF(H14=
ROUNDUP(
(INDEX(OP_TotalRates_RES_1[[Ausnet]:[United Energy]],MATCH("Anytime - supply",OP_TotalRates_RES_1[Rate name],0),MATCH(OP_CMAB!H$31,OP_TotalRates_RES_1[[#Headers],[Ausnet]:[United Energy]],0))*DiY)+
(IFERROR((INDEX(OP_TotalRates_RES_1[[Ausnet]:[United Energy]],MATCH("Block 1",OP_TotalRates_RES_1[Rate name],0),MATCH(OP_CMAB!H$31,OP_TotalRates_RES_1[[#Headers],[Ausnet]:[United Energy]],0))*
INDEX(Input_Usage[[F-CurrentVDO_Input]:[F-NextVDO_Input]],MATCH(OP_CMAB!$D14&amp;" - Block 1",Input_Usage[Ref],0),MATCH(OP_CMAB!$D$24,Inputs!$I$131:$M$131,0))),0)+
IFERROR((INDEX(OP_TotalRates_RES_1[[Ausnet]:[United Energy]],MATCH("Balance",OP_TotalRates_RES_1[Rate name],0),MATCH(OP_CMAB!H$31,OP_TotalRates_RES_1[[#Headers],[Ausnet]:[United Energy]],0))*
INDEX(Input_Usage[[F-CurrentVDO_Input]:[F-NextVDO_Input]],MATCH(OP_CMAB!$D14&amp;" - Balance",Input_Usage[Ref],0),MATCH(OP_CMAB!$D$24,Inputs!$I$131:$M$131,0))),0)+
IFERROR((INDEX(OP_TotalRates_RES_1[[Ausnet]:[United Energy]],MATCH("Single rate",OP_TotalRates_RES_1[Rate name],0),MATCH(OP_CMAB!H$31,OP_TotalRates_RES_1[[#Headers],[Ausnet]:[United Energy]],0))*
INDEX(Input_Usage[[F-CurrentVDO_Input]:[F-NextVDO_Input]],MATCH(OP_CMAB!$D14&amp;" - Annual",Input_Usage[Ref],0),MATCH(OP_CMAB!$D$24,Inputs!$I$131:$M$131,0))),0)),0),0,1),
IF(H14=
ROUNDUP(
(INDEX(OP_TotalRates_RES_1[[Ausnet]:[United Energy]],MATCH("TOU - supply",OP_TotalRates_RES_1[Rate name],0),MATCH(OP_CMAB!H$31,OP_TotalRates_RES_1[[#Headers],[Ausnet]:[United Energy]],0))*DiY)+
(INDEX(OP_TotalRates_RES_1[[Ausnet]:[United Energy]],MATCH("Peak",OP_TotalRates_RES_1[Rate name],0),MATCH(OP_CMAB!H$31,OP_TotalRates_RES_1[[#Headers],[Ausnet]:[United Energy]],0))*
INDEX(Input_Usage[[F-CurrentVDO_Input]:[F-NextVDO_Input]],MATCH($D14&amp;" - Peak",Input_Usage[Ref],0),MATCH($D$24,Inputs!$I$131:$M$131,0)))+
IFERROR((INDEX(OP_TotalRates_RES_1[[Ausnet]:[United Energy]],MATCH("TOU - Shoulder",OP_TotalRates_RES_1[Rate name],0),MATCH(OP_CMAB!H$31,OP_TotalRates_RES_1[[#Headers],[Ausnet]:[United Energy]],0))*
INDEX(Input_Usage[[F-CurrentVDO_Input]:[F-NextVDO_Input]],MATCH($D14&amp;" - Shoulder",Input_Usage[Ref],0),MATCH($D$24,Inputs!$I$131:$M$131,0))),0)+
(INDEX(OP_TotalRates_RES_1[[Ausnet]:[United Energy]],MATCH("Off peak",OP_TotalRates_RES_1[Rate name],0),MATCH(OP_CMAB!H$31,OP_TotalRates_RES_1[[#Headers],[Ausnet]:[United Energy]],0))*
INDEX(Input_Usage[[F-CurrentVDO_Input]:[F-NextVDO_Input]],MATCH($D14&amp;" - Off peak",Input_Usage[Ref],0),MATCH($D$24,Inputs!$I$131:$M$131,0))),0),0,1))</f>
        <v>0</v>
      </c>
      <c r="I18" s="79">
        <f>IF($D$24="VDO 2021 - Final",
IF(I14=
ROUNDUP(
(INDEX(OP_TotalRates_RES_1[[Ausnet]:[United Energy]],MATCH("Anytime - supply",OP_TotalRates_RES_1[Rate name],0),MATCH(OP_CMAB!I$31,OP_TotalRates_RES_1[[#Headers],[Ausnet]:[United Energy]],0))*DiY)+
(IFERROR((INDEX(OP_TotalRates_RES_1[[Ausnet]:[United Energy]],MATCH("Block 1",OP_TotalRates_RES_1[Rate name],0),MATCH(OP_CMAB!I$31,OP_TotalRates_RES_1[[#Headers],[Ausnet]:[United Energy]],0))*
INDEX(Input_Usage[[F-CurrentVDO_Input]:[F-NextVDO_Input]],MATCH(OP_CMAB!$D14&amp;" - Block 1",Input_Usage[Ref],0),MATCH(OP_CMAB!$D$24,Inputs!$I$131:$M$131,0))),0)+
IFERROR((INDEX(OP_TotalRates_RES_1[[Ausnet]:[United Energy]],MATCH("Balance",OP_TotalRates_RES_1[Rate name],0),MATCH(OP_CMAB!I$31,OP_TotalRates_RES_1[[#Headers],[Ausnet]:[United Energy]],0))*
INDEX(Input_Usage[[F-CurrentVDO_Input]:[F-NextVDO_Input]],MATCH(OP_CMAB!$D14&amp;" - Balance",Input_Usage[Ref],0),MATCH(OP_CMAB!$D$24,Inputs!$I$131:$M$131,0))),0)+
IFERROR((INDEX(OP_TotalRates_RES_1[[Ausnet]:[United Energy]],MATCH("Single rate",OP_TotalRates_RES_1[Rate name],0),MATCH(OP_CMAB!I$31,OP_TotalRates_RES_1[[#Headers],[Ausnet]:[United Energy]],0))*
INDEX(Input_Usage[[F-CurrentVDO_Input]:[F-NextVDO_Input]],MATCH(OP_CMAB!$D14&amp;" - Annual",Input_Usage[Ref],0),MATCH(OP_CMAB!$D$24,Inputs!$I$131:$M$131,0))),0)),0),0,1),
IF(I14=
ROUNDUP(
(INDEX(OP_TotalRates_RES_1[[Ausnet]:[United Energy]],MATCH("TOU - supply",OP_TotalRates_RES_1[Rate name],0),MATCH(OP_CMAB!I$31,OP_TotalRates_RES_1[[#Headers],[Ausnet]:[United Energy]],0))*DiY)+
(INDEX(OP_TotalRates_RES_1[[Ausnet]:[United Energy]],MATCH("Peak",OP_TotalRates_RES_1[Rate name],0),MATCH(OP_CMAB!I$31,OP_TotalRates_RES_1[[#Headers],[Ausnet]:[United Energy]],0))*
INDEX(Input_Usage[[F-CurrentVDO_Input]:[F-NextVDO_Input]],MATCH($D14&amp;" - Peak",Input_Usage[Ref],0),MATCH($D$24,Inputs!$I$131:$M$131,0)))+
IFERROR((INDEX(OP_TotalRates_RES_1[[Ausnet]:[United Energy]],MATCH("TOU - Shoulder",OP_TotalRates_RES_1[Rate name],0),MATCH(OP_CMAB!I$31,OP_TotalRates_RES_1[[#Headers],[Ausnet]:[United Energy]],0))*
INDEX(Input_Usage[[F-CurrentVDO_Input]:[F-NextVDO_Input]],MATCH($D14&amp;" - Shoulder",Input_Usage[Ref],0),MATCH($D$24,Inputs!$I$131:$M$131,0))),0)+
(INDEX(OP_TotalRates_RES_1[[Ausnet]:[United Energy]],MATCH("Off peak",OP_TotalRates_RES_1[Rate name],0),MATCH(OP_CMAB!I$31,OP_TotalRates_RES_1[[#Headers],[Ausnet]:[United Energy]],0))*
INDEX(Input_Usage[[F-CurrentVDO_Input]:[F-NextVDO_Input]],MATCH($D14&amp;" - Off peak",Input_Usage[Ref],0),MATCH($D$24,Inputs!$I$131:$M$131,0))),0),0,1))</f>
        <v>0</v>
      </c>
      <c r="M18" s="79">
        <f>IF($D$24="VDO 2021 - Final",
IF(M14=
ROUNDUP(
(INDEX(OP_TotalRates_SME_1[[Ausnet]:[United Energy]],MATCH("Anytime - supply",OP_TotalRates_SME_1[Rate name],0),MATCH(OP_CMAB!M$31,OP_TotalRates_SME_1[[#Headers],[Ausnet]:[United Energy]],0))*DiY)+
(IFERROR((INDEX(OP_TotalRates_SME_1[[Ausnet]:[United Energy]],MATCH("Block 1",OP_TotalRates_SME_1[Rate name],0),MATCH(OP_CMAB!M$31,OP_TotalRates_SME_1[[#Headers],[Ausnet]:[United Energy]],0))*
INDEX(Input_Usage[[F-CurrentVDO_Input]:[F-NextVDO_Input]],MATCH(OP_CMAB!$L14&amp;" - Block 1",Input_Usage[Ref],0),MATCH(OP_CMAB!$D$24,Inputs!$I$131:$M$131,0))),0)+
IFERROR((INDEX(OP_TotalRates_SME_1[[Ausnet]:[United Energy]],MATCH("Balance",OP_TotalRates_SME_1[Rate name],0),MATCH(OP_CMAB!M$31,OP_TotalRates_SME_1[[#Headers],[Ausnet]:[United Energy]],0))*
INDEX(Input_Usage[[F-CurrentVDO_Input]:[F-NextVDO_Input]],MATCH(OP_CMAB!$L14&amp;" - Balance",Input_Usage[Ref],0),MATCH(OP_CMAB!$D$24,Inputs!$I$131:$M$131,0))),0)+
IFERROR((INDEX(OP_TotalRates_SME_1[[Ausnet]:[United Energy]],MATCH("Single rate",OP_TotalRates_SME_1[Rate name],0),MATCH(OP_CMAB!M$31,OP_TotalRates_SME_1[[#Headers],[Ausnet]:[United Energy]],0))*
INDEX(Input_Usage[[F-CurrentVDO_Input]:[F-NextVDO_Input]],MATCH(OP_CMAB!$L14&amp;" - Annual",Input_Usage[Ref],0),MATCH(OP_CMAB!$D$24,Inputs!$I$131:$M$131,0))),0)),0),0,1),
IF(M14=
ROUNDUP(
(INDEX(OP_TotalRates_SME_1[[Ausnet]:[United Energy]],MATCH("TOU - supply",OP_TotalRates_SME_1[Rate name],0),MATCH(OP_CMAB!M$31,OP_TotalRates_SME_1[[#Headers],[Ausnet]:[United Energy]],0))*DiY)+
(INDEX(OP_TotalRates_SME_1[[Ausnet]:[United Energy]],MATCH("Peak",OP_TotalRates_SME_1[Rate name],0),MATCH(OP_CMAB!M$31,OP_TotalRates_SME_1[[#Headers],[Ausnet]:[United Energy]],0))*
INDEX(Input_Usage[[F-CurrentVDO_Input]:[F-NextVDO_Input]],MATCH($L14&amp;" - Peak",Input_Usage[Ref],0),MATCH($D$24,Inputs!$I$131:$M$131,0)))+
IFERROR((INDEX(OP_TotalRates_SME_1[[Ausnet]:[United Energy]],MATCH("TOU - Shoulder",OP_TotalRates_SME_1[Rate name],0),MATCH(OP_CMAB!M$31,OP_TotalRates_SME_1[[#Headers],[Ausnet]:[United Energy]],0))*
INDEX(Input_Usage[[F-CurrentVDO_Input]:[F-NextVDO_Input]],MATCH($L14&amp;" - Shoulder",Input_Usage[Ref],0),MATCH($D$24,Inputs!$I$131:$M$131,0))),0)+
(INDEX(OP_TotalRates_SME_1[[Ausnet]:[United Energy]],MATCH("Off peak",OP_TotalRates_SME_1[Rate name],0),MATCH(OP_CMAB!M$31,OP_TotalRates_SME_1[[#Headers],[Ausnet]:[United Energy]],0))*
INDEX(Input_Usage[[F-CurrentVDO_Input]:[F-NextVDO_Input]],MATCH($L14&amp;" - Off peak",Input_Usage[Ref],0),MATCH($D$24,Inputs!$I$131:$M$131,0))),0),0,1))</f>
        <v>0</v>
      </c>
      <c r="N18" s="79">
        <f>IF($D$24="VDO 2021 - Final",
IF(N14=
ROUNDUP(
(INDEX(OP_TotalRates_SME_1[[Ausnet]:[United Energy]],MATCH("Anytime - supply",OP_TotalRates_SME_1[Rate name],0),MATCH(OP_CMAB!N$31,OP_TotalRates_SME_1[[#Headers],[Ausnet]:[United Energy]],0))*DiY)+
(IFERROR((INDEX(OP_TotalRates_SME_1[[Ausnet]:[United Energy]],MATCH("Block 1",OP_TotalRates_SME_1[Rate name],0),MATCH(OP_CMAB!N$31,OP_TotalRates_SME_1[[#Headers],[Ausnet]:[United Energy]],0))*
INDEX(Input_Usage[[F-CurrentVDO_Input]:[F-NextVDO_Input]],MATCH(OP_CMAB!$L14&amp;" - Block 1",Input_Usage[Ref],0),MATCH(OP_CMAB!$D$24,Inputs!$I$131:$M$131,0))),0)+
IFERROR((INDEX(OP_TotalRates_SME_1[[Ausnet]:[United Energy]],MATCH("Balance",OP_TotalRates_SME_1[Rate name],0),MATCH(OP_CMAB!N$31,OP_TotalRates_SME_1[[#Headers],[Ausnet]:[United Energy]],0))*
INDEX(Input_Usage[[F-CurrentVDO_Input]:[F-NextVDO_Input]],MATCH(OP_CMAB!$L14&amp;" - Balance",Input_Usage[Ref],0),MATCH(OP_CMAB!$D$24,Inputs!$I$131:$M$131,0))),0)+
IFERROR((INDEX(OP_TotalRates_SME_1[[Ausnet]:[United Energy]],MATCH("Single rate",OP_TotalRates_SME_1[Rate name],0),MATCH(OP_CMAB!N$31,OP_TotalRates_SME_1[[#Headers],[Ausnet]:[United Energy]],0))*
INDEX(Input_Usage[[F-CurrentVDO_Input]:[F-NextVDO_Input]],MATCH(OP_CMAB!$L14&amp;" - Annual",Input_Usage[Ref],0),MATCH(OP_CMAB!$D$24,Inputs!$I$131:$M$131,0))),0)),0),0,1),
IF(N14=
ROUNDUP(
(INDEX(OP_TotalRates_SME_1[[Ausnet]:[United Energy]],MATCH("TOU - supply",OP_TotalRates_SME_1[Rate name],0),MATCH(OP_CMAB!N$31,OP_TotalRates_SME_1[[#Headers],[Ausnet]:[United Energy]],0))*DiY)+
(INDEX(OP_TotalRates_SME_1[[Ausnet]:[United Energy]],MATCH("Peak",OP_TotalRates_SME_1[Rate name],0),MATCH(OP_CMAB!N$31,OP_TotalRates_SME_1[[#Headers],[Ausnet]:[United Energy]],0))*
INDEX(Input_Usage[[F-CurrentVDO_Input]:[F-NextVDO_Input]],MATCH($L14&amp;" - Peak",Input_Usage[Ref],0),MATCH($D$24,Inputs!$I$131:$M$131,0)))+
IFERROR((INDEX(OP_TotalRates_SME_1[[Ausnet]:[United Energy]],MATCH("TOU - Shoulder",OP_TotalRates_SME_1[Rate name],0),MATCH(OP_CMAB!N$31,OP_TotalRates_SME_1[[#Headers],[Ausnet]:[United Energy]],0))*
INDEX(Input_Usage[[F-CurrentVDO_Input]:[F-NextVDO_Input]],MATCH($L14&amp;" - Shoulder",Input_Usage[Ref],0),MATCH($D$24,Inputs!$I$131:$M$131,0))),0)+
(INDEX(OP_TotalRates_SME_1[[Ausnet]:[United Energy]],MATCH("Off peak",OP_TotalRates_SME_1[Rate name],0),MATCH(OP_CMAB!N$31,OP_TotalRates_SME_1[[#Headers],[Ausnet]:[United Energy]],0))*
INDEX(Input_Usage[[F-CurrentVDO_Input]:[F-NextVDO_Input]],MATCH($L14&amp;" - Off peak",Input_Usage[Ref],0),MATCH($D$24,Inputs!$I$131:$M$131,0))),0),0,1))</f>
        <v>0</v>
      </c>
      <c r="O18" s="79">
        <f>IF($D$24="VDO 2021 - Final",
IF(O14=
ROUNDUP(
(INDEX(OP_TotalRates_SME_1[[Ausnet]:[United Energy]],MATCH("Anytime - supply",OP_TotalRates_SME_1[Rate name],0),MATCH(OP_CMAB!O$31,OP_TotalRates_SME_1[[#Headers],[Ausnet]:[United Energy]],0))*DiY)+
(IFERROR((INDEX(OP_TotalRates_SME_1[[Ausnet]:[United Energy]],MATCH("Block 1",OP_TotalRates_SME_1[Rate name],0),MATCH(OP_CMAB!O$31,OP_TotalRates_SME_1[[#Headers],[Ausnet]:[United Energy]],0))*
INDEX(Input_Usage[[F-CurrentVDO_Input]:[F-NextVDO_Input]],MATCH(OP_CMAB!$L14&amp;" - Block 1",Input_Usage[Ref],0),MATCH(OP_CMAB!$D$24,Inputs!$I$131:$M$131,0))),0)+
IFERROR((INDEX(OP_TotalRates_SME_1[[Ausnet]:[United Energy]],MATCH("Balance",OP_TotalRates_SME_1[Rate name],0),MATCH(OP_CMAB!O$31,OP_TotalRates_SME_1[[#Headers],[Ausnet]:[United Energy]],0))*
INDEX(Input_Usage[[F-CurrentVDO_Input]:[F-NextVDO_Input]],MATCH(OP_CMAB!$L14&amp;" - Balance",Input_Usage[Ref],0),MATCH(OP_CMAB!$D$24,Inputs!$I$131:$M$131,0))),0)+
IFERROR((INDEX(OP_TotalRates_SME_1[[Ausnet]:[United Energy]],MATCH("Single rate",OP_TotalRates_SME_1[Rate name],0),MATCH(OP_CMAB!O$31,OP_TotalRates_SME_1[[#Headers],[Ausnet]:[United Energy]],0))*
INDEX(Input_Usage[[F-CurrentVDO_Input]:[F-NextVDO_Input]],MATCH(OP_CMAB!$L14&amp;" - Annual",Input_Usage[Ref],0),MATCH(OP_CMAB!$D$24,Inputs!$I$131:$M$131,0))),0)),0),0,1),
IF(O14=
ROUNDUP(
(INDEX(OP_TotalRates_SME_1[[Ausnet]:[United Energy]],MATCH("TOU - supply",OP_TotalRates_SME_1[Rate name],0),MATCH(OP_CMAB!O$31,OP_TotalRates_SME_1[[#Headers],[Ausnet]:[United Energy]],0))*DiY)+
(INDEX(OP_TotalRates_SME_1[[Ausnet]:[United Energy]],MATCH("Peak",OP_TotalRates_SME_1[Rate name],0),MATCH(OP_CMAB!O$31,OP_TotalRates_SME_1[[#Headers],[Ausnet]:[United Energy]],0))*
INDEX(Input_Usage[[F-CurrentVDO_Input]:[F-NextVDO_Input]],MATCH($L14&amp;" - Peak",Input_Usage[Ref],0),MATCH($D$24,Inputs!$I$131:$M$131,0)))+
IFERROR((INDEX(OP_TotalRates_SME_1[[Ausnet]:[United Energy]],MATCH("TOU - Shoulder",OP_TotalRates_SME_1[Rate name],0),MATCH(OP_CMAB!O$31,OP_TotalRates_SME_1[[#Headers],[Ausnet]:[United Energy]],0))*
INDEX(Input_Usage[[F-CurrentVDO_Input]:[F-NextVDO_Input]],MATCH($L14&amp;" - Shoulder",Input_Usage[Ref],0),MATCH($D$24,Inputs!$I$131:$M$131,0))),0)+
(INDEX(OP_TotalRates_SME_1[[Ausnet]:[United Energy]],MATCH("Off peak",OP_TotalRates_SME_1[Rate name],0),MATCH(OP_CMAB!O$31,OP_TotalRates_SME_1[[#Headers],[Ausnet]:[United Energy]],0))*
INDEX(Input_Usage[[F-CurrentVDO_Input]:[F-NextVDO_Input]],MATCH($L14&amp;" - Off peak",Input_Usage[Ref],0),MATCH($D$24,Inputs!$I$131:$M$131,0))),0),0,1))</f>
        <v>0</v>
      </c>
      <c r="P18" s="79">
        <f>IF($D$24="VDO 2021 - Final",
IF(P14=
ROUNDUP(
(INDEX(OP_TotalRates_SME_1[[Ausnet]:[United Energy]],MATCH("Anytime - supply",OP_TotalRates_SME_1[Rate name],0),MATCH(OP_CMAB!P$31,OP_TotalRates_SME_1[[#Headers],[Ausnet]:[United Energy]],0))*DiY)+
(IFERROR((INDEX(OP_TotalRates_SME_1[[Ausnet]:[United Energy]],MATCH("Block 1",OP_TotalRates_SME_1[Rate name],0),MATCH(OP_CMAB!P$31,OP_TotalRates_SME_1[[#Headers],[Ausnet]:[United Energy]],0))*
INDEX(Input_Usage[[F-CurrentVDO_Input]:[F-NextVDO_Input]],MATCH(OP_CMAB!$L14&amp;" - Block 1",Input_Usage[Ref],0),MATCH(OP_CMAB!$D$24,Inputs!$I$131:$M$131,0))),0)+
IFERROR((INDEX(OP_TotalRates_SME_1[[Ausnet]:[United Energy]],MATCH("Balance",OP_TotalRates_SME_1[Rate name],0),MATCH(OP_CMAB!P$31,OP_TotalRates_SME_1[[#Headers],[Ausnet]:[United Energy]],0))*
INDEX(Input_Usage[[F-CurrentVDO_Input]:[F-NextVDO_Input]],MATCH(OP_CMAB!$L14&amp;" - Balance",Input_Usage[Ref],0),MATCH(OP_CMAB!$D$24,Inputs!$I$131:$M$131,0))),0)+
IFERROR((INDEX(OP_TotalRates_SME_1[[Ausnet]:[United Energy]],MATCH("Single rate",OP_TotalRates_SME_1[Rate name],0),MATCH(OP_CMAB!P$31,OP_TotalRates_SME_1[[#Headers],[Ausnet]:[United Energy]],0))*
INDEX(Input_Usage[[F-CurrentVDO_Input]:[F-NextVDO_Input]],MATCH(OP_CMAB!$L14&amp;" - Annual",Input_Usage[Ref],0),MATCH(OP_CMAB!$D$24,Inputs!$I$131:$M$131,0))),0)),0),0,1),
IF(P14=
ROUNDUP(
(INDEX(OP_TotalRates_SME_1[[Ausnet]:[United Energy]],MATCH("TOU - supply",OP_TotalRates_SME_1[Rate name],0),MATCH(OP_CMAB!P$31,OP_TotalRates_SME_1[[#Headers],[Ausnet]:[United Energy]],0))*DiY)+
(INDEX(OP_TotalRates_SME_1[[Ausnet]:[United Energy]],MATCH("Peak",OP_TotalRates_SME_1[Rate name],0),MATCH(OP_CMAB!P$31,OP_TotalRates_SME_1[[#Headers],[Ausnet]:[United Energy]],0))*
INDEX(Input_Usage[[F-CurrentVDO_Input]:[F-NextVDO_Input]],MATCH($L14&amp;" - Peak",Input_Usage[Ref],0),MATCH($D$24,Inputs!$I$131:$M$131,0)))+
IFERROR((INDEX(OP_TotalRates_SME_1[[Ausnet]:[United Energy]],MATCH("TOU - Shoulder",OP_TotalRates_SME_1[Rate name],0),MATCH(OP_CMAB!P$31,OP_TotalRates_SME_1[[#Headers],[Ausnet]:[United Energy]],0))*
INDEX(Input_Usage[[F-CurrentVDO_Input]:[F-NextVDO_Input]],MATCH($L14&amp;" - Shoulder",Input_Usage[Ref],0),MATCH($D$24,Inputs!$I$131:$M$131,0))),0)+
(INDEX(OP_TotalRates_SME_1[[Ausnet]:[United Energy]],MATCH("Off peak",OP_TotalRates_SME_1[Rate name],0),MATCH(OP_CMAB!P$31,OP_TotalRates_SME_1[[#Headers],[Ausnet]:[United Energy]],0))*
INDEX(Input_Usage[[F-CurrentVDO_Input]:[F-NextVDO_Input]],MATCH($L14&amp;" - Off peak",Input_Usage[Ref],0),MATCH($D$24,Inputs!$I$131:$M$131,0))),0),0,1))</f>
        <v>0</v>
      </c>
      <c r="Q18" s="79">
        <f>IF($D$24="VDO 2021 - Final",
IF(Q14=
ROUNDUP(
(INDEX(OP_TotalRates_SME_1[[Ausnet]:[United Energy]],MATCH("Anytime - supply",OP_TotalRates_SME_1[Rate name],0),MATCH(OP_CMAB!Q$31,OP_TotalRates_SME_1[[#Headers],[Ausnet]:[United Energy]],0))*DiY)+
(IFERROR((INDEX(OP_TotalRates_SME_1[[Ausnet]:[United Energy]],MATCH("Block 1",OP_TotalRates_SME_1[Rate name],0),MATCH(OP_CMAB!Q$31,OP_TotalRates_SME_1[[#Headers],[Ausnet]:[United Energy]],0))*
INDEX(Input_Usage[[F-CurrentVDO_Input]:[F-NextVDO_Input]],MATCH(OP_CMAB!$L14&amp;" - Block 1",Input_Usage[Ref],0),MATCH(OP_CMAB!$D$24,Inputs!$I$131:$M$131,0))),0)+
IFERROR((INDEX(OP_TotalRates_SME_1[[Ausnet]:[United Energy]],MATCH("Balance",OP_TotalRates_SME_1[Rate name],0),MATCH(OP_CMAB!Q$31,OP_TotalRates_SME_1[[#Headers],[Ausnet]:[United Energy]],0))*
INDEX(Input_Usage[[F-CurrentVDO_Input]:[F-NextVDO_Input]],MATCH(OP_CMAB!$L14&amp;" - Balance",Input_Usage[Ref],0),MATCH(OP_CMAB!$D$24,Inputs!$I$131:$M$131,0))),0)+
IFERROR((INDEX(OP_TotalRates_SME_1[[Ausnet]:[United Energy]],MATCH("Single rate",OP_TotalRates_SME_1[Rate name],0),MATCH(OP_CMAB!Q$31,OP_TotalRates_SME_1[[#Headers],[Ausnet]:[United Energy]],0))*
INDEX(Input_Usage[[F-CurrentVDO_Input]:[F-NextVDO_Input]],MATCH(OP_CMAB!$L14&amp;" - Annual",Input_Usage[Ref],0),MATCH(OP_CMAB!$D$24,Inputs!$I$131:$M$131,0))),0)),0),0,1),
IF(Q14=
ROUNDUP(
(INDEX(OP_TotalRates_SME_1[[Ausnet]:[United Energy]],MATCH("TOU - supply",OP_TotalRates_SME_1[Rate name],0),MATCH(OP_CMAB!Q$31,OP_TotalRates_SME_1[[#Headers],[Ausnet]:[United Energy]],0))*DiY)+
(INDEX(OP_TotalRates_SME_1[[Ausnet]:[United Energy]],MATCH("Peak",OP_TotalRates_SME_1[Rate name],0),MATCH(OP_CMAB!Q$31,OP_TotalRates_SME_1[[#Headers],[Ausnet]:[United Energy]],0))*
INDEX(Input_Usage[[F-CurrentVDO_Input]:[F-NextVDO_Input]],MATCH($L14&amp;" - Peak",Input_Usage[Ref],0),MATCH($D$24,Inputs!$I$131:$M$131,0)))+
IFERROR((INDEX(OP_TotalRates_SME_1[[Ausnet]:[United Energy]],MATCH("TOU - Shoulder",OP_TotalRates_SME_1[Rate name],0),MATCH(OP_CMAB!Q$31,OP_TotalRates_SME_1[[#Headers],[Ausnet]:[United Energy]],0))*
INDEX(Input_Usage[[F-CurrentVDO_Input]:[F-NextVDO_Input]],MATCH($L14&amp;" - Shoulder",Input_Usage[Ref],0),MATCH($D$24,Inputs!$I$131:$M$131,0))),0)+
(INDEX(OP_TotalRates_SME_1[[Ausnet]:[United Energy]],MATCH("Off peak",OP_TotalRates_SME_1[Rate name],0),MATCH(OP_CMAB!Q$31,OP_TotalRates_SME_1[[#Headers],[Ausnet]:[United Energy]],0))*
INDEX(Input_Usage[[F-CurrentVDO_Input]:[F-NextVDO_Input]],MATCH($L14&amp;" - Off peak",Input_Usage[Ref],0),MATCH($D$24,Inputs!$I$131:$M$131,0))),0),0,1))</f>
        <v>0</v>
      </c>
    </row>
    <row r="19" spans="1:18" ht="15.75" x14ac:dyDescent="0.25">
      <c r="E19" s="79">
        <f>IF($D$24="VDO 2021 - Final",
IF(E15=
ROUNDUP(
(INDEX(OP_TotalRates_RES_1[[Ausnet]:[United Energy]],MATCH("Anytime - supply",OP_TotalRates_RES_1[Rate name],0),MATCH(OP_CMAB!E$31,OP_TotalRates_RES_1[[#Headers],[Ausnet]:[United Energy]],0))*DiY)+
(IFERROR((INDEX(OP_TotalRates_RES_1[[Ausnet]:[United Energy]],MATCH("Block 1",OP_TotalRates_RES_1[Rate name],0),MATCH(OP_CMAB!E$31,OP_TotalRates_RES_1[[#Headers],[Ausnet]:[United Energy]],0))*
INDEX(Input_Usage[[F-CurrentVDO_Input]:[F-NextVDO_Input]],MATCH(OP_CMAB!$D15&amp;" - Block 1",Input_Usage[Ref],0),MATCH(OP_CMAB!$D$24,Inputs!$I$131:$M$131,0))),0)+
IFERROR((INDEX(OP_TotalRates_RES_1[[Ausnet]:[United Energy]],MATCH("Balance",OP_TotalRates_RES_1[Rate name],0),MATCH(OP_CMAB!E$31,OP_TotalRates_RES_1[[#Headers],[Ausnet]:[United Energy]],0))*
INDEX(Input_Usage[[F-CurrentVDO_Input]:[F-NextVDO_Input]],MATCH(OP_CMAB!$D15&amp;" - Balance",Input_Usage[Ref],0),MATCH(OP_CMAB!$D$24,Inputs!$I$131:$M$131,0))),0)+
IFERROR((INDEX(OP_TotalRates_RES_1[[Ausnet]:[United Energy]],MATCH("Single rate",OP_TotalRates_RES_1[Rate name],0),MATCH(OP_CMAB!E$31,OP_TotalRates_RES_1[[#Headers],[Ausnet]:[United Energy]],0))*
INDEX(Input_Usage[[F-CurrentVDO_Input]:[F-NextVDO_Input]],MATCH(OP_CMAB!$D15&amp;" - Annual",Input_Usage[Ref],0),MATCH(OP_CMAB!$D$24,Inputs!$I$131:$M$131,0))),0)),0),0,1),
IF(E15=
ROUNDUP(
(INDEX(OP_TotalRates_RES_1[[Ausnet]:[United Energy]],MATCH("TOU - supply",OP_TotalRates_RES_1[Rate name],0),MATCH(OP_CMAB!E$31,OP_TotalRates_RES_1[[#Headers],[Ausnet]:[United Energy]],0))*DiY)+
(INDEX(OP_TotalRates_RES_1[[Ausnet]:[United Energy]],MATCH("Peak",OP_TotalRates_RES_1[Rate name],0),MATCH(OP_CMAB!E$31,OP_TotalRates_RES_1[[#Headers],[Ausnet]:[United Energy]],0))*
INDEX(Input_Usage[[F-CurrentVDO_Input]:[F-NextVDO_Input]],MATCH($D15&amp;" - Peak",Input_Usage[Ref],0),MATCH($D$24,Inputs!$I$131:$M$131,0)))+
IFERROR((INDEX(OP_TotalRates_RES_1[[Ausnet]:[United Energy]],MATCH("TOU - Shoulder",OP_TotalRates_RES_1[Rate name],0),MATCH(OP_CMAB!E$31,OP_TotalRates_RES_1[[#Headers],[Ausnet]:[United Energy]],0))*
INDEX(Input_Usage[[F-CurrentVDO_Input]:[F-NextVDO_Input]],MATCH($D15&amp;" - Shoulder",Input_Usage[Ref],0),MATCH($D$24,Inputs!$I$131:$M$131,0))),0)+
(INDEX(OP_TotalRates_RES_1[[Ausnet]:[United Energy]],MATCH("Off peak",OP_TotalRates_RES_1[Rate name],0),MATCH(OP_CMAB!E$31,OP_TotalRates_RES_1[[#Headers],[Ausnet]:[United Energy]],0))*
INDEX(Input_Usage[[F-CurrentVDO_Input]:[F-NextVDO_Input]],MATCH($D15&amp;" - Off peak",Input_Usage[Ref],0),MATCH($D$24,Inputs!$I$131:$M$131,0))),0),0,1))</f>
        <v>0</v>
      </c>
      <c r="F19" s="79">
        <f>IF($D$24="VDO 2021 - Final",
IF(F15=
ROUNDUP(
(INDEX(OP_TotalRates_RES_1[[Ausnet]:[United Energy]],MATCH("Anytime - supply",OP_TotalRates_RES_1[Rate name],0),MATCH(OP_CMAB!F$31,OP_TotalRates_RES_1[[#Headers],[Ausnet]:[United Energy]],0))*DiY)+
(IFERROR((INDEX(OP_TotalRates_RES_1[[Ausnet]:[United Energy]],MATCH("Block 1",OP_TotalRates_RES_1[Rate name],0),MATCH(OP_CMAB!F$31,OP_TotalRates_RES_1[[#Headers],[Ausnet]:[United Energy]],0))*
INDEX(Input_Usage[[F-CurrentVDO_Input]:[F-NextVDO_Input]],MATCH(OP_CMAB!$D15&amp;" - Block 1",Input_Usage[Ref],0),MATCH(OP_CMAB!$D$24,Inputs!$I$131:$M$131,0))),0)+
IFERROR((INDEX(OP_TotalRates_RES_1[[Ausnet]:[United Energy]],MATCH("Balance",OP_TotalRates_RES_1[Rate name],0),MATCH(OP_CMAB!F$31,OP_TotalRates_RES_1[[#Headers],[Ausnet]:[United Energy]],0))*
INDEX(Input_Usage[[F-CurrentVDO_Input]:[F-NextVDO_Input]],MATCH(OP_CMAB!$D15&amp;" - Balance",Input_Usage[Ref],0),MATCH(OP_CMAB!$D$24,Inputs!$I$131:$M$131,0))),0)+
IFERROR((INDEX(OP_TotalRates_RES_1[[Ausnet]:[United Energy]],MATCH("Single rate",OP_TotalRates_RES_1[Rate name],0),MATCH(OP_CMAB!F$31,OP_TotalRates_RES_1[[#Headers],[Ausnet]:[United Energy]],0))*
INDEX(Input_Usage[[F-CurrentVDO_Input]:[F-NextVDO_Input]],MATCH(OP_CMAB!$D15&amp;" - Annual",Input_Usage[Ref],0),MATCH(OP_CMAB!$D$24,Inputs!$I$131:$M$131,0))),0)),0),0,1),
IF(F15=
ROUNDUP(
(INDEX(OP_TotalRates_RES_1[[Ausnet]:[United Energy]],MATCH("TOU - supply",OP_TotalRates_RES_1[Rate name],0),MATCH(OP_CMAB!F$31,OP_TotalRates_RES_1[[#Headers],[Ausnet]:[United Energy]],0))*DiY)+
(INDEX(OP_TotalRates_RES_1[[Ausnet]:[United Energy]],MATCH("Peak",OP_TotalRates_RES_1[Rate name],0),MATCH(OP_CMAB!F$31,OP_TotalRates_RES_1[[#Headers],[Ausnet]:[United Energy]],0))*
INDEX(Input_Usage[[F-CurrentVDO_Input]:[F-NextVDO_Input]],MATCH($D15&amp;" - Peak",Input_Usage[Ref],0),MATCH($D$24,Inputs!$I$131:$M$131,0)))+
IFERROR((INDEX(OP_TotalRates_RES_1[[Ausnet]:[United Energy]],MATCH("TOU - Shoulder",OP_TotalRates_RES_1[Rate name],0),MATCH(OP_CMAB!F$31,OP_TotalRates_RES_1[[#Headers],[Ausnet]:[United Energy]],0))*
INDEX(Input_Usage[[F-CurrentVDO_Input]:[F-NextVDO_Input]],MATCH($D15&amp;" - Shoulder",Input_Usage[Ref],0),MATCH($D$24,Inputs!$I$131:$M$131,0))),0)+
(INDEX(OP_TotalRates_RES_1[[Ausnet]:[United Energy]],MATCH("Off peak",OP_TotalRates_RES_1[Rate name],0),MATCH(OP_CMAB!F$31,OP_TotalRates_RES_1[[#Headers],[Ausnet]:[United Energy]],0))*
INDEX(Input_Usage[[F-CurrentVDO_Input]:[F-NextVDO_Input]],MATCH($D15&amp;" - Off peak",Input_Usage[Ref],0),MATCH($D$24,Inputs!$I$131:$M$131,0))),0),0,1))</f>
        <v>0</v>
      </c>
      <c r="G19" s="79">
        <f>IF($D$24="VDO 2021 - Final",
IF(G15=
ROUNDUP(
(INDEX(OP_TotalRates_RES_1[[Ausnet]:[United Energy]],MATCH("Anytime - supply",OP_TotalRates_RES_1[Rate name],0),MATCH(OP_CMAB!G$31,OP_TotalRates_RES_1[[#Headers],[Ausnet]:[United Energy]],0))*DiY)+
(IFERROR((INDEX(OP_TotalRates_RES_1[[Ausnet]:[United Energy]],MATCH("Block 1",OP_TotalRates_RES_1[Rate name],0),MATCH(OP_CMAB!G$31,OP_TotalRates_RES_1[[#Headers],[Ausnet]:[United Energy]],0))*
INDEX(Input_Usage[[F-CurrentVDO_Input]:[F-NextVDO_Input]],MATCH(OP_CMAB!$D15&amp;" - Block 1",Input_Usage[Ref],0),MATCH(OP_CMAB!$D$24,Inputs!$I$131:$M$131,0))),0)+
IFERROR((INDEX(OP_TotalRates_RES_1[[Ausnet]:[United Energy]],MATCH("Balance",OP_TotalRates_RES_1[Rate name],0),MATCH(OP_CMAB!G$31,OP_TotalRates_RES_1[[#Headers],[Ausnet]:[United Energy]],0))*
INDEX(Input_Usage[[F-CurrentVDO_Input]:[F-NextVDO_Input]],MATCH(OP_CMAB!$D15&amp;" - Balance",Input_Usage[Ref],0),MATCH(OP_CMAB!$D$24,Inputs!$I$131:$M$131,0))),0)+
IFERROR((INDEX(OP_TotalRates_RES_1[[Ausnet]:[United Energy]],MATCH("Single rate",OP_TotalRates_RES_1[Rate name],0),MATCH(OP_CMAB!G$31,OP_TotalRates_RES_1[[#Headers],[Ausnet]:[United Energy]],0))*
INDEX(Input_Usage[[F-CurrentVDO_Input]:[F-NextVDO_Input]],MATCH(OP_CMAB!$D15&amp;" - Annual",Input_Usage[Ref],0),MATCH(OP_CMAB!$D$24,Inputs!$I$131:$M$131,0))),0)),0),0,1),
IF(G15=
ROUNDUP(
(INDEX(OP_TotalRates_RES_1[[Ausnet]:[United Energy]],MATCH("TOU - supply",OP_TotalRates_RES_1[Rate name],0),MATCH(OP_CMAB!G$31,OP_TotalRates_RES_1[[#Headers],[Ausnet]:[United Energy]],0))*DiY)+
(INDEX(OP_TotalRates_RES_1[[Ausnet]:[United Energy]],MATCH("Peak",OP_TotalRates_RES_1[Rate name],0),MATCH(OP_CMAB!G$31,OP_TotalRates_RES_1[[#Headers],[Ausnet]:[United Energy]],0))*
INDEX(Input_Usage[[F-CurrentVDO_Input]:[F-NextVDO_Input]],MATCH($D15&amp;" - Peak",Input_Usage[Ref],0),MATCH($D$24,Inputs!$I$131:$M$131,0)))+
IFERROR((INDEX(OP_TotalRates_RES_1[[Ausnet]:[United Energy]],MATCH("TOU - Shoulder",OP_TotalRates_RES_1[Rate name],0),MATCH(OP_CMAB!G$31,OP_TotalRates_RES_1[[#Headers],[Ausnet]:[United Energy]],0))*
INDEX(Input_Usage[[F-CurrentVDO_Input]:[F-NextVDO_Input]],MATCH($D15&amp;" - Shoulder",Input_Usage[Ref],0),MATCH($D$24,Inputs!$I$131:$M$131,0))),0)+
(INDEX(OP_TotalRates_RES_1[[Ausnet]:[United Energy]],MATCH("Off peak",OP_TotalRates_RES_1[Rate name],0),MATCH(OP_CMAB!G$31,OP_TotalRates_RES_1[[#Headers],[Ausnet]:[United Energy]],0))*
INDEX(Input_Usage[[F-CurrentVDO_Input]:[F-NextVDO_Input]],MATCH($D15&amp;" - Off peak",Input_Usage[Ref],0),MATCH($D$24,Inputs!$I$131:$M$131,0))),0),0,1))</f>
        <v>0</v>
      </c>
      <c r="H19" s="79">
        <f>IF($D$24="VDO 2021 - Final",
IF(H15=
ROUNDUP(
(INDEX(OP_TotalRates_RES_1[[Ausnet]:[United Energy]],MATCH("Anytime - supply",OP_TotalRates_RES_1[Rate name],0),MATCH(OP_CMAB!H$31,OP_TotalRates_RES_1[[#Headers],[Ausnet]:[United Energy]],0))*DiY)+
(IFERROR((INDEX(OP_TotalRates_RES_1[[Ausnet]:[United Energy]],MATCH("Block 1",OP_TotalRates_RES_1[Rate name],0),MATCH(OP_CMAB!H$31,OP_TotalRates_RES_1[[#Headers],[Ausnet]:[United Energy]],0))*
INDEX(Input_Usage[[F-CurrentVDO_Input]:[F-NextVDO_Input]],MATCH(OP_CMAB!$D15&amp;" - Block 1",Input_Usage[Ref],0),MATCH(OP_CMAB!$D$24,Inputs!$I$131:$M$131,0))),0)+
IFERROR((INDEX(OP_TotalRates_RES_1[[Ausnet]:[United Energy]],MATCH("Balance",OP_TotalRates_RES_1[Rate name],0),MATCH(OP_CMAB!H$31,OP_TotalRates_RES_1[[#Headers],[Ausnet]:[United Energy]],0))*
INDEX(Input_Usage[[F-CurrentVDO_Input]:[F-NextVDO_Input]],MATCH(OP_CMAB!$D15&amp;" - Balance",Input_Usage[Ref],0),MATCH(OP_CMAB!$D$24,Inputs!$I$131:$M$131,0))),0)+
IFERROR((INDEX(OP_TotalRates_RES_1[[Ausnet]:[United Energy]],MATCH("Single rate",OP_TotalRates_RES_1[Rate name],0),MATCH(OP_CMAB!H$31,OP_TotalRates_RES_1[[#Headers],[Ausnet]:[United Energy]],0))*
INDEX(Input_Usage[[F-CurrentVDO_Input]:[F-NextVDO_Input]],MATCH(OP_CMAB!$D15&amp;" - Annual",Input_Usage[Ref],0),MATCH(OP_CMAB!$D$24,Inputs!$I$131:$M$131,0))),0)),0),0,1),
IF(H15=
ROUNDUP(
(INDEX(OP_TotalRates_RES_1[[Ausnet]:[United Energy]],MATCH("TOU - supply",OP_TotalRates_RES_1[Rate name],0),MATCH(OP_CMAB!H$31,OP_TotalRates_RES_1[[#Headers],[Ausnet]:[United Energy]],0))*DiY)+
(INDEX(OP_TotalRates_RES_1[[Ausnet]:[United Energy]],MATCH("Peak",OP_TotalRates_RES_1[Rate name],0),MATCH(OP_CMAB!H$31,OP_TotalRates_RES_1[[#Headers],[Ausnet]:[United Energy]],0))*
INDEX(Input_Usage[[F-CurrentVDO_Input]:[F-NextVDO_Input]],MATCH($D15&amp;" - Peak",Input_Usage[Ref],0),MATCH($D$24,Inputs!$I$131:$M$131,0)))+
IFERROR((INDEX(OP_TotalRates_RES_1[[Ausnet]:[United Energy]],MATCH("TOU - Shoulder",OP_TotalRates_RES_1[Rate name],0),MATCH(OP_CMAB!H$31,OP_TotalRates_RES_1[[#Headers],[Ausnet]:[United Energy]],0))*
INDEX(Input_Usage[[F-CurrentVDO_Input]:[F-NextVDO_Input]],MATCH($D15&amp;" - Shoulder",Input_Usage[Ref],0),MATCH($D$24,Inputs!$I$131:$M$131,0))),0)+
(INDEX(OP_TotalRates_RES_1[[Ausnet]:[United Energy]],MATCH("Off peak",OP_TotalRates_RES_1[Rate name],0),MATCH(OP_CMAB!H$31,OP_TotalRates_RES_1[[#Headers],[Ausnet]:[United Energy]],0))*
INDEX(Input_Usage[[F-CurrentVDO_Input]:[F-NextVDO_Input]],MATCH($D15&amp;" - Off peak",Input_Usage[Ref],0),MATCH($D$24,Inputs!$I$131:$M$131,0))),0),0,1))</f>
        <v>0</v>
      </c>
      <c r="I19" s="79">
        <f>IF($D$24="VDO 2021 - Final",
IF(I15=
ROUNDUP(
(INDEX(OP_TotalRates_RES_1[[Ausnet]:[United Energy]],MATCH("Anytime - supply",OP_TotalRates_RES_1[Rate name],0),MATCH(OP_CMAB!I$31,OP_TotalRates_RES_1[[#Headers],[Ausnet]:[United Energy]],0))*DiY)+
(IFERROR((INDEX(OP_TotalRates_RES_1[[Ausnet]:[United Energy]],MATCH("Block 1",OP_TotalRates_RES_1[Rate name],0),MATCH(OP_CMAB!I$31,OP_TotalRates_RES_1[[#Headers],[Ausnet]:[United Energy]],0))*
INDEX(Input_Usage[[F-CurrentVDO_Input]:[F-NextVDO_Input]],MATCH(OP_CMAB!$D15&amp;" - Block 1",Input_Usage[Ref],0),MATCH(OP_CMAB!$D$24,Inputs!$I$131:$M$131,0))),0)+
IFERROR((INDEX(OP_TotalRates_RES_1[[Ausnet]:[United Energy]],MATCH("Balance",OP_TotalRates_RES_1[Rate name],0),MATCH(OP_CMAB!I$31,OP_TotalRates_RES_1[[#Headers],[Ausnet]:[United Energy]],0))*
INDEX(Input_Usage[[F-CurrentVDO_Input]:[F-NextVDO_Input]],MATCH(OP_CMAB!$D15&amp;" - Balance",Input_Usage[Ref],0),MATCH(OP_CMAB!$D$24,Inputs!$I$131:$M$131,0))),0)+
IFERROR((INDEX(OP_TotalRates_RES_1[[Ausnet]:[United Energy]],MATCH("Single rate",OP_TotalRates_RES_1[Rate name],0),MATCH(OP_CMAB!I$31,OP_TotalRates_RES_1[[#Headers],[Ausnet]:[United Energy]],0))*
INDEX(Input_Usage[[F-CurrentVDO_Input]:[F-NextVDO_Input]],MATCH(OP_CMAB!$D15&amp;" - Annual",Input_Usage[Ref],0),MATCH(OP_CMAB!$D$24,Inputs!$I$131:$M$131,0))),0)),0),0,1),
IF(I15=
ROUNDUP(
(INDEX(OP_TotalRates_RES_1[[Ausnet]:[United Energy]],MATCH("TOU - supply",OP_TotalRates_RES_1[Rate name],0),MATCH(OP_CMAB!I$31,OP_TotalRates_RES_1[[#Headers],[Ausnet]:[United Energy]],0))*DiY)+
(INDEX(OP_TotalRates_RES_1[[Ausnet]:[United Energy]],MATCH("Peak",OP_TotalRates_RES_1[Rate name],0),MATCH(OP_CMAB!I$31,OP_TotalRates_RES_1[[#Headers],[Ausnet]:[United Energy]],0))*
INDEX(Input_Usage[[F-CurrentVDO_Input]:[F-NextVDO_Input]],MATCH($D15&amp;" - Peak",Input_Usage[Ref],0),MATCH($D$24,Inputs!$I$131:$M$131,0)))+
IFERROR((INDEX(OP_TotalRates_RES_1[[Ausnet]:[United Energy]],MATCH("TOU - Shoulder",OP_TotalRates_RES_1[Rate name],0),MATCH(OP_CMAB!I$31,OP_TotalRates_RES_1[[#Headers],[Ausnet]:[United Energy]],0))*
INDEX(Input_Usage[[F-CurrentVDO_Input]:[F-NextVDO_Input]],MATCH($D15&amp;" - Shoulder",Input_Usage[Ref],0),MATCH($D$24,Inputs!$I$131:$M$131,0))),0)+
(INDEX(OP_TotalRates_RES_1[[Ausnet]:[United Energy]],MATCH("Off peak",OP_TotalRates_RES_1[Rate name],0),MATCH(OP_CMAB!I$31,OP_TotalRates_RES_1[[#Headers],[Ausnet]:[United Energy]],0))*
INDEX(Input_Usage[[F-CurrentVDO_Input]:[F-NextVDO_Input]],MATCH($D15&amp;" - Off peak",Input_Usage[Ref],0),MATCH($D$24,Inputs!$I$131:$M$131,0))),0),0,1))</f>
        <v>0</v>
      </c>
      <c r="M19" s="79">
        <f>IF($D$24="VDO 2021 - Final",
IF(M15=
ROUNDUP(
(INDEX(OP_TotalRates_SME_1[[Ausnet]:[United Energy]],MATCH("Anytime - supply",OP_TotalRates_SME_1[Rate name],0),MATCH(OP_CMAB!M$31,OP_TotalRates_SME_1[[#Headers],[Ausnet]:[United Energy]],0))*DiY)+
(IFERROR((INDEX(OP_TotalRates_SME_1[[Ausnet]:[United Energy]],MATCH("Block 1",OP_TotalRates_SME_1[Rate name],0),MATCH(OP_CMAB!M$31,OP_TotalRates_SME_1[[#Headers],[Ausnet]:[United Energy]],0))*
INDEX(Input_Usage[[F-CurrentVDO_Input]:[F-NextVDO_Input]],MATCH(OP_CMAB!$L15&amp;" - Block 1",Input_Usage[Ref],0),MATCH(OP_CMAB!$D$24,Inputs!$I$131:$M$131,0))),0)+
IFERROR((INDEX(OP_TotalRates_SME_1[[Ausnet]:[United Energy]],MATCH("Balance",OP_TotalRates_SME_1[Rate name],0),MATCH(OP_CMAB!M$31,OP_TotalRates_SME_1[[#Headers],[Ausnet]:[United Energy]],0))*
INDEX(Input_Usage[[F-CurrentVDO_Input]:[F-NextVDO_Input]],MATCH(OP_CMAB!$L15&amp;" - Balance",Input_Usage[Ref],0),MATCH(OP_CMAB!$D$24,Inputs!$I$131:$M$131,0))),0)+
IFERROR((INDEX(OP_TotalRates_SME_1[[Ausnet]:[United Energy]],MATCH("Single rate",OP_TotalRates_SME_1[Rate name],0),MATCH(OP_CMAB!M$31,OP_TotalRates_SME_1[[#Headers],[Ausnet]:[United Energy]],0))*
INDEX(Input_Usage[[F-CurrentVDO_Input]:[F-NextVDO_Input]],MATCH(OP_CMAB!$L15&amp;" - Annual",Input_Usage[Ref],0),MATCH(OP_CMAB!$D$24,Inputs!$I$131:$M$131,0))),0)),0),0,1),
IF(M15=
ROUNDUP(
(INDEX(OP_TotalRates_SME_1[[Ausnet]:[United Energy]],MATCH("TOU - supply",OP_TotalRates_SME_1[Rate name],0),MATCH(OP_CMAB!M$31,OP_TotalRates_SME_1[[#Headers],[Ausnet]:[United Energy]],0))*DiY)+
(INDEX(OP_TotalRates_SME_1[[Ausnet]:[United Energy]],MATCH("Peak",OP_TotalRates_SME_1[Rate name],0),MATCH(OP_CMAB!M$31,OP_TotalRates_SME_1[[#Headers],[Ausnet]:[United Energy]],0))*
INDEX(Input_Usage[[F-CurrentVDO_Input]:[F-NextVDO_Input]],MATCH($L15&amp;" - Peak",Input_Usage[Ref],0),MATCH($D$24,Inputs!$I$131:$M$131,0)))+
IFERROR((INDEX(OP_TotalRates_SME_1[[Ausnet]:[United Energy]],MATCH("TOU - Shoulder",OP_TotalRates_SME_1[Rate name],0),MATCH(OP_CMAB!M$31,OP_TotalRates_SME_1[[#Headers],[Ausnet]:[United Energy]],0))*
INDEX(Input_Usage[[F-CurrentVDO_Input]:[F-NextVDO_Input]],MATCH($L15&amp;" - Shoulder",Input_Usage[Ref],0),MATCH($D$24,Inputs!$I$131:$M$131,0))),0)+
(INDEX(OP_TotalRates_SME_1[[Ausnet]:[United Energy]],MATCH("Off peak",OP_TotalRates_SME_1[Rate name],0),MATCH(OP_CMAB!M$31,OP_TotalRates_SME_1[[#Headers],[Ausnet]:[United Energy]],0))*
INDEX(Input_Usage[[F-CurrentVDO_Input]:[F-NextVDO_Input]],MATCH($L15&amp;" - Off peak",Input_Usage[Ref],0),MATCH($D$24,Inputs!$I$131:$M$131,0))),0),0,1))</f>
        <v>0</v>
      </c>
      <c r="N19" s="79">
        <f>IF($D$24="VDO 2021 - Final",
IF(N15=
ROUNDUP(
(INDEX(OP_TotalRates_SME_1[[Ausnet]:[United Energy]],MATCH("Anytime - supply",OP_TotalRates_SME_1[Rate name],0),MATCH(OP_CMAB!N$31,OP_TotalRates_SME_1[[#Headers],[Ausnet]:[United Energy]],0))*DiY)+
(IFERROR((INDEX(OP_TotalRates_SME_1[[Ausnet]:[United Energy]],MATCH("Block 1",OP_TotalRates_SME_1[Rate name],0),MATCH(OP_CMAB!N$31,OP_TotalRates_SME_1[[#Headers],[Ausnet]:[United Energy]],0))*
INDEX(Input_Usage[[F-CurrentVDO_Input]:[F-NextVDO_Input]],MATCH(OP_CMAB!$L15&amp;" - Block 1",Input_Usage[Ref],0),MATCH(OP_CMAB!$D$24,Inputs!$I$131:$M$131,0))),0)+
IFERROR((INDEX(OP_TotalRates_SME_1[[Ausnet]:[United Energy]],MATCH("Balance",OP_TotalRates_SME_1[Rate name],0),MATCH(OP_CMAB!N$31,OP_TotalRates_SME_1[[#Headers],[Ausnet]:[United Energy]],0))*
INDEX(Input_Usage[[F-CurrentVDO_Input]:[F-NextVDO_Input]],MATCH(OP_CMAB!$L15&amp;" - Balance",Input_Usage[Ref],0),MATCH(OP_CMAB!$D$24,Inputs!$I$131:$M$131,0))),0)+
IFERROR((INDEX(OP_TotalRates_SME_1[[Ausnet]:[United Energy]],MATCH("Single rate",OP_TotalRates_SME_1[Rate name],0),MATCH(OP_CMAB!N$31,OP_TotalRates_SME_1[[#Headers],[Ausnet]:[United Energy]],0))*
INDEX(Input_Usage[[F-CurrentVDO_Input]:[F-NextVDO_Input]],MATCH(OP_CMAB!$L15&amp;" - Annual",Input_Usage[Ref],0),MATCH(OP_CMAB!$D$24,Inputs!$I$131:$M$131,0))),0)),0),0,1),
IF(N15=
ROUNDUP(
(INDEX(OP_TotalRates_SME_1[[Ausnet]:[United Energy]],MATCH("TOU - supply",OP_TotalRates_SME_1[Rate name],0),MATCH(OP_CMAB!N$31,OP_TotalRates_SME_1[[#Headers],[Ausnet]:[United Energy]],0))*DiY)+
(INDEX(OP_TotalRates_SME_1[[Ausnet]:[United Energy]],MATCH("Peak",OP_TotalRates_SME_1[Rate name],0),MATCH(OP_CMAB!N$31,OP_TotalRates_SME_1[[#Headers],[Ausnet]:[United Energy]],0))*
INDEX(Input_Usage[[F-CurrentVDO_Input]:[F-NextVDO_Input]],MATCH($L15&amp;" - Peak",Input_Usage[Ref],0),MATCH($D$24,Inputs!$I$131:$M$131,0)))+
IFERROR((INDEX(OP_TotalRates_SME_1[[Ausnet]:[United Energy]],MATCH("TOU - Shoulder",OP_TotalRates_SME_1[Rate name],0),MATCH(OP_CMAB!N$31,OP_TotalRates_SME_1[[#Headers],[Ausnet]:[United Energy]],0))*
INDEX(Input_Usage[[F-CurrentVDO_Input]:[F-NextVDO_Input]],MATCH($L15&amp;" - Shoulder",Input_Usage[Ref],0),MATCH($D$24,Inputs!$I$131:$M$131,0))),0)+
(INDEX(OP_TotalRates_SME_1[[Ausnet]:[United Energy]],MATCH("Off peak",OP_TotalRates_SME_1[Rate name],0),MATCH(OP_CMAB!N$31,OP_TotalRates_SME_1[[#Headers],[Ausnet]:[United Energy]],0))*
INDEX(Input_Usage[[F-CurrentVDO_Input]:[F-NextVDO_Input]],MATCH($L15&amp;" - Off peak",Input_Usage[Ref],0),MATCH($D$24,Inputs!$I$131:$M$131,0))),0),0,1))</f>
        <v>0</v>
      </c>
      <c r="O19" s="79">
        <f>IF($D$24="VDO 2021 - Final",
IF(O15=
ROUNDUP(
(INDEX(OP_TotalRates_SME_1[[Ausnet]:[United Energy]],MATCH("Anytime - supply",OP_TotalRates_SME_1[Rate name],0),MATCH(OP_CMAB!O$31,OP_TotalRates_SME_1[[#Headers],[Ausnet]:[United Energy]],0))*DiY)+
(IFERROR((INDEX(OP_TotalRates_SME_1[[Ausnet]:[United Energy]],MATCH("Block 1",OP_TotalRates_SME_1[Rate name],0),MATCH(OP_CMAB!O$31,OP_TotalRates_SME_1[[#Headers],[Ausnet]:[United Energy]],0))*
INDEX(Input_Usage[[F-CurrentVDO_Input]:[F-NextVDO_Input]],MATCH(OP_CMAB!$L15&amp;" - Block 1",Input_Usage[Ref],0),MATCH(OP_CMAB!$D$24,Inputs!$I$131:$M$131,0))),0)+
IFERROR((INDEX(OP_TotalRates_SME_1[[Ausnet]:[United Energy]],MATCH("Balance",OP_TotalRates_SME_1[Rate name],0),MATCH(OP_CMAB!O$31,OP_TotalRates_SME_1[[#Headers],[Ausnet]:[United Energy]],0))*
INDEX(Input_Usage[[F-CurrentVDO_Input]:[F-NextVDO_Input]],MATCH(OP_CMAB!$L15&amp;" - Balance",Input_Usage[Ref],0),MATCH(OP_CMAB!$D$24,Inputs!$I$131:$M$131,0))),0)+
IFERROR((INDEX(OP_TotalRates_SME_1[[Ausnet]:[United Energy]],MATCH("Single rate",OP_TotalRates_SME_1[Rate name],0),MATCH(OP_CMAB!O$31,OP_TotalRates_SME_1[[#Headers],[Ausnet]:[United Energy]],0))*
INDEX(Input_Usage[[F-CurrentVDO_Input]:[F-NextVDO_Input]],MATCH(OP_CMAB!$L15&amp;" - Annual",Input_Usage[Ref],0),MATCH(OP_CMAB!$D$24,Inputs!$I$131:$M$131,0))),0)),0),0,1),
IF(O15=
ROUNDUP(
(INDEX(OP_TotalRates_SME_1[[Ausnet]:[United Energy]],MATCH("TOU - supply",OP_TotalRates_SME_1[Rate name],0),MATCH(OP_CMAB!O$31,OP_TotalRates_SME_1[[#Headers],[Ausnet]:[United Energy]],0))*DiY)+
(INDEX(OP_TotalRates_SME_1[[Ausnet]:[United Energy]],MATCH("Peak",OP_TotalRates_SME_1[Rate name],0),MATCH(OP_CMAB!O$31,OP_TotalRates_SME_1[[#Headers],[Ausnet]:[United Energy]],0))*
INDEX(Input_Usage[[F-CurrentVDO_Input]:[F-NextVDO_Input]],MATCH($L15&amp;" - Peak",Input_Usage[Ref],0),MATCH($D$24,Inputs!$I$131:$M$131,0)))+
IFERROR((INDEX(OP_TotalRates_SME_1[[Ausnet]:[United Energy]],MATCH("TOU - Shoulder",OP_TotalRates_SME_1[Rate name],0),MATCH(OP_CMAB!O$31,OP_TotalRates_SME_1[[#Headers],[Ausnet]:[United Energy]],0))*
INDEX(Input_Usage[[F-CurrentVDO_Input]:[F-NextVDO_Input]],MATCH($L15&amp;" - Shoulder",Input_Usage[Ref],0),MATCH($D$24,Inputs!$I$131:$M$131,0))),0)+
(INDEX(OP_TotalRates_SME_1[[Ausnet]:[United Energy]],MATCH("Off peak",OP_TotalRates_SME_1[Rate name],0),MATCH(OP_CMAB!O$31,OP_TotalRates_SME_1[[#Headers],[Ausnet]:[United Energy]],0))*
INDEX(Input_Usage[[F-CurrentVDO_Input]:[F-NextVDO_Input]],MATCH($L15&amp;" - Off peak",Input_Usage[Ref],0),MATCH($D$24,Inputs!$I$131:$M$131,0))),0),0,1))</f>
        <v>0</v>
      </c>
      <c r="P19" s="79">
        <f>IF($D$24="VDO 2021 - Final",
IF(P15=
ROUNDUP(
(INDEX(OP_TotalRates_SME_1[[Ausnet]:[United Energy]],MATCH("Anytime - supply",OP_TotalRates_SME_1[Rate name],0),MATCH(OP_CMAB!P$31,OP_TotalRates_SME_1[[#Headers],[Ausnet]:[United Energy]],0))*DiY)+
(IFERROR((INDEX(OP_TotalRates_SME_1[[Ausnet]:[United Energy]],MATCH("Block 1",OP_TotalRates_SME_1[Rate name],0),MATCH(OP_CMAB!P$31,OP_TotalRates_SME_1[[#Headers],[Ausnet]:[United Energy]],0))*
INDEX(Input_Usage[[F-CurrentVDO_Input]:[F-NextVDO_Input]],MATCH(OP_CMAB!$L15&amp;" - Block 1",Input_Usage[Ref],0),MATCH(OP_CMAB!$D$24,Inputs!$I$131:$M$131,0))),0)+
IFERROR((INDEX(OP_TotalRates_SME_1[[Ausnet]:[United Energy]],MATCH("Balance",OP_TotalRates_SME_1[Rate name],0),MATCH(OP_CMAB!P$31,OP_TotalRates_SME_1[[#Headers],[Ausnet]:[United Energy]],0))*
INDEX(Input_Usage[[F-CurrentVDO_Input]:[F-NextVDO_Input]],MATCH(OP_CMAB!$L15&amp;" - Balance",Input_Usage[Ref],0),MATCH(OP_CMAB!$D$24,Inputs!$I$131:$M$131,0))),0)+
IFERROR((INDEX(OP_TotalRates_SME_1[[Ausnet]:[United Energy]],MATCH("Single rate",OP_TotalRates_SME_1[Rate name],0),MATCH(OP_CMAB!P$31,OP_TotalRates_SME_1[[#Headers],[Ausnet]:[United Energy]],0))*
INDEX(Input_Usage[[F-CurrentVDO_Input]:[F-NextVDO_Input]],MATCH(OP_CMAB!$L15&amp;" - Annual",Input_Usage[Ref],0),MATCH(OP_CMAB!$D$24,Inputs!$I$131:$M$131,0))),0)),0),0,1),
IF(P15=
ROUNDUP(
(INDEX(OP_TotalRates_SME_1[[Ausnet]:[United Energy]],MATCH("TOU - supply",OP_TotalRates_SME_1[Rate name],0),MATCH(OP_CMAB!P$31,OP_TotalRates_SME_1[[#Headers],[Ausnet]:[United Energy]],0))*DiY)+
(INDEX(OP_TotalRates_SME_1[[Ausnet]:[United Energy]],MATCH("Peak",OP_TotalRates_SME_1[Rate name],0),MATCH(OP_CMAB!P$31,OP_TotalRates_SME_1[[#Headers],[Ausnet]:[United Energy]],0))*
INDEX(Input_Usage[[F-CurrentVDO_Input]:[F-NextVDO_Input]],MATCH($L15&amp;" - Peak",Input_Usage[Ref],0),MATCH($D$24,Inputs!$I$131:$M$131,0)))+
IFERROR((INDEX(OP_TotalRates_SME_1[[Ausnet]:[United Energy]],MATCH("TOU - Shoulder",OP_TotalRates_SME_1[Rate name],0),MATCH(OP_CMAB!P$31,OP_TotalRates_SME_1[[#Headers],[Ausnet]:[United Energy]],0))*
INDEX(Input_Usage[[F-CurrentVDO_Input]:[F-NextVDO_Input]],MATCH($L15&amp;" - Shoulder",Input_Usage[Ref],0),MATCH($D$24,Inputs!$I$131:$M$131,0))),0)+
(INDEX(OP_TotalRates_SME_1[[Ausnet]:[United Energy]],MATCH("Off peak",OP_TotalRates_SME_1[Rate name],0),MATCH(OP_CMAB!P$31,OP_TotalRates_SME_1[[#Headers],[Ausnet]:[United Energy]],0))*
INDEX(Input_Usage[[F-CurrentVDO_Input]:[F-NextVDO_Input]],MATCH($L15&amp;" - Off peak",Input_Usage[Ref],0),MATCH($D$24,Inputs!$I$131:$M$131,0))),0),0,1))</f>
        <v>0</v>
      </c>
      <c r="Q19" s="79">
        <f>IF($D$24="VDO 2021 - Final",
IF(Q15=
ROUNDUP(
(INDEX(OP_TotalRates_SME_1[[Ausnet]:[United Energy]],MATCH("Anytime - supply",OP_TotalRates_SME_1[Rate name],0),MATCH(OP_CMAB!Q$31,OP_TotalRates_SME_1[[#Headers],[Ausnet]:[United Energy]],0))*DiY)+
(IFERROR((INDEX(OP_TotalRates_SME_1[[Ausnet]:[United Energy]],MATCH("Block 1",OP_TotalRates_SME_1[Rate name],0),MATCH(OP_CMAB!Q$31,OP_TotalRates_SME_1[[#Headers],[Ausnet]:[United Energy]],0))*
INDEX(Input_Usage[[F-CurrentVDO_Input]:[F-NextVDO_Input]],MATCH(OP_CMAB!$L15&amp;" - Block 1",Input_Usage[Ref],0),MATCH(OP_CMAB!$D$24,Inputs!$I$131:$M$131,0))),0)+
IFERROR((INDEX(OP_TotalRates_SME_1[[Ausnet]:[United Energy]],MATCH("Balance",OP_TotalRates_SME_1[Rate name],0),MATCH(OP_CMAB!Q$31,OP_TotalRates_SME_1[[#Headers],[Ausnet]:[United Energy]],0))*
INDEX(Input_Usage[[F-CurrentVDO_Input]:[F-NextVDO_Input]],MATCH(OP_CMAB!$L15&amp;" - Balance",Input_Usage[Ref],0),MATCH(OP_CMAB!$D$24,Inputs!$I$131:$M$131,0))),0)+
IFERROR((INDEX(OP_TotalRates_SME_1[[Ausnet]:[United Energy]],MATCH("Single rate",OP_TotalRates_SME_1[Rate name],0),MATCH(OP_CMAB!Q$31,OP_TotalRates_SME_1[[#Headers],[Ausnet]:[United Energy]],0))*
INDEX(Input_Usage[[F-CurrentVDO_Input]:[F-NextVDO_Input]],MATCH(OP_CMAB!$L15&amp;" - Annual",Input_Usage[Ref],0),MATCH(OP_CMAB!$D$24,Inputs!$I$131:$M$131,0))),0)),0),0,1),
IF(Q15=
ROUNDUP(
(INDEX(OP_TotalRates_SME_1[[Ausnet]:[United Energy]],MATCH("TOU - supply",OP_TotalRates_SME_1[Rate name],0),MATCH(OP_CMAB!Q$31,OP_TotalRates_SME_1[[#Headers],[Ausnet]:[United Energy]],0))*DiY)+
(INDEX(OP_TotalRates_SME_1[[Ausnet]:[United Energy]],MATCH("Peak",OP_TotalRates_SME_1[Rate name],0),MATCH(OP_CMAB!Q$31,OP_TotalRates_SME_1[[#Headers],[Ausnet]:[United Energy]],0))*
INDEX(Input_Usage[[F-CurrentVDO_Input]:[F-NextVDO_Input]],MATCH($L15&amp;" - Peak",Input_Usage[Ref],0),MATCH($D$24,Inputs!$I$131:$M$131,0)))+
IFERROR((INDEX(OP_TotalRates_SME_1[[Ausnet]:[United Energy]],MATCH("TOU - Shoulder",OP_TotalRates_SME_1[Rate name],0),MATCH(OP_CMAB!Q$31,OP_TotalRates_SME_1[[#Headers],[Ausnet]:[United Energy]],0))*
INDEX(Input_Usage[[F-CurrentVDO_Input]:[F-NextVDO_Input]],MATCH($L15&amp;" - Shoulder",Input_Usage[Ref],0),MATCH($D$24,Inputs!$I$131:$M$131,0))),0)+
(INDEX(OP_TotalRates_SME_1[[Ausnet]:[United Energy]],MATCH("Off peak",OP_TotalRates_SME_1[Rate name],0),MATCH(OP_CMAB!Q$31,OP_TotalRates_SME_1[[#Headers],[Ausnet]:[United Energy]],0))*
INDEX(Input_Usage[[F-CurrentVDO_Input]:[F-NextVDO_Input]],MATCH($L15&amp;" - Off peak",Input_Usage[Ref],0),MATCH($D$24,Inputs!$I$131:$M$131,0))),0),0,1))</f>
        <v>0</v>
      </c>
    </row>
    <row r="20" spans="1:18" ht="15.75" x14ac:dyDescent="0.25">
      <c r="E20" s="79">
        <f>IF($D$24="VDO 2021 - Final",
IF(E16=
ROUNDUP(
(INDEX(OP_TotalRates_RES_1[[Ausnet]:[United Energy]],MATCH("Anytime - supply",OP_TotalRates_RES_1[Rate name],0),MATCH(OP_CMAB!E$31,OP_TotalRates_RES_1[[#Headers],[Ausnet]:[United Energy]],0))*DiY)+
(IFERROR((INDEX(OP_TotalRates_RES_1[[Ausnet]:[United Energy]],MATCH("Block 1",OP_TotalRates_RES_1[Rate name],0),MATCH(OP_CMAB!E$31,OP_TotalRates_RES_1[[#Headers],[Ausnet]:[United Energy]],0))*
INDEX(Input_Usage[[F-CurrentVDO_Input]:[F-NextVDO_Input]],MATCH(OP_CMAB!$D16&amp;" - Block 1",Input_Usage[Ref],0),MATCH(OP_CMAB!$D$24,Inputs!$I$131:$M$131,0))),0)+
IFERROR((INDEX(OP_TotalRates_RES_1[[Ausnet]:[United Energy]],MATCH("Balance",OP_TotalRates_RES_1[Rate name],0),MATCH(OP_CMAB!E$31,OP_TotalRates_RES_1[[#Headers],[Ausnet]:[United Energy]],0))*
INDEX(Input_Usage[[F-CurrentVDO_Input]:[F-NextVDO_Input]],MATCH(OP_CMAB!$D16&amp;" - Balance",Input_Usage[Ref],0),MATCH(OP_CMAB!$D$24,Inputs!$I$131:$M$131,0))),0)+
IFERROR((INDEX(OP_TotalRates_RES_1[[Ausnet]:[United Energy]],MATCH("Single rate",OP_TotalRates_RES_1[Rate name],0),MATCH(OP_CMAB!E$31,OP_TotalRates_RES_1[[#Headers],[Ausnet]:[United Energy]],0))*
INDEX(Input_Usage[[F-CurrentVDO_Input]:[F-NextVDO_Input]],MATCH(OP_CMAB!$D16&amp;" - Annual",Input_Usage[Ref],0),MATCH(OP_CMAB!$D$24,Inputs!$I$131:$M$131,0))),0)),0),0,1),
IF(E16=
ROUNDUP(
(INDEX(OP_TotalRates_RES_1[[Ausnet]:[United Energy]],MATCH("TOU - supply",OP_TotalRates_RES_1[Rate name],0),MATCH(OP_CMAB!E$31,OP_TotalRates_RES_1[[#Headers],[Ausnet]:[United Energy]],0))*DiY)+
(INDEX(OP_TotalRates_RES_1[[Ausnet]:[United Energy]],MATCH("Peak",OP_TotalRates_RES_1[Rate name],0),MATCH(OP_CMAB!E$31,OP_TotalRates_RES_1[[#Headers],[Ausnet]:[United Energy]],0))*
INDEX(Input_Usage[[F-CurrentVDO_Input]:[F-NextVDO_Input]],MATCH($D16&amp;" - Peak",Input_Usage[Ref],0),MATCH($D$24,Inputs!$I$131:$M$131,0)))+
IFERROR((INDEX(OP_TotalRates_RES_1[[Ausnet]:[United Energy]],MATCH("TOU - Shoulder",OP_TotalRates_RES_1[Rate name],0),MATCH(OP_CMAB!E$31,OP_TotalRates_RES_1[[#Headers],[Ausnet]:[United Energy]],0))*
INDEX(Input_Usage[[F-CurrentVDO_Input]:[F-NextVDO_Input]],MATCH($D16&amp;" - Shoulder",Input_Usage[Ref],0),MATCH($D$24,Inputs!$I$131:$M$131,0))),0)+
(INDEX(OP_TotalRates_RES_1[[Ausnet]:[United Energy]],MATCH("Off peak",OP_TotalRates_RES_1[Rate name],0),MATCH(OP_CMAB!E$31,OP_TotalRates_RES_1[[#Headers],[Ausnet]:[United Energy]],0))*
INDEX(Input_Usage[[F-CurrentVDO_Input]:[F-NextVDO_Input]],MATCH($D16&amp;" - Off peak",Input_Usage[Ref],0),MATCH($D$24,Inputs!$I$131:$M$131,0))),0),0,1))</f>
        <v>0</v>
      </c>
      <c r="F20" s="79">
        <f>IF($D$24="VDO 2021 - Final",
IF(F16=
ROUNDUP(
(INDEX(OP_TotalRates_RES_1[[Ausnet]:[United Energy]],MATCH("Anytime - supply",OP_TotalRates_RES_1[Rate name],0),MATCH(OP_CMAB!F$31,OP_TotalRates_RES_1[[#Headers],[Ausnet]:[United Energy]],0))*DiY)+
(IFERROR((INDEX(OP_TotalRates_RES_1[[Ausnet]:[United Energy]],MATCH("Block 1",OP_TotalRates_RES_1[Rate name],0),MATCH(OP_CMAB!F$31,OP_TotalRates_RES_1[[#Headers],[Ausnet]:[United Energy]],0))*
INDEX(Input_Usage[[F-CurrentVDO_Input]:[F-NextVDO_Input]],MATCH(OP_CMAB!$D16&amp;" - Block 1",Input_Usage[Ref],0),MATCH(OP_CMAB!$D$24,Inputs!$I$131:$M$131,0))),0)+
IFERROR((INDEX(OP_TotalRates_RES_1[[Ausnet]:[United Energy]],MATCH("Balance",OP_TotalRates_RES_1[Rate name],0),MATCH(OP_CMAB!F$31,OP_TotalRates_RES_1[[#Headers],[Ausnet]:[United Energy]],0))*
INDEX(Input_Usage[[F-CurrentVDO_Input]:[F-NextVDO_Input]],MATCH(OP_CMAB!$D16&amp;" - Balance",Input_Usage[Ref],0),MATCH(OP_CMAB!$D$24,Inputs!$I$131:$M$131,0))),0)+
IFERROR((INDEX(OP_TotalRates_RES_1[[Ausnet]:[United Energy]],MATCH("Single rate",OP_TotalRates_RES_1[Rate name],0),MATCH(OP_CMAB!F$31,OP_TotalRates_RES_1[[#Headers],[Ausnet]:[United Energy]],0))*
INDEX(Input_Usage[[F-CurrentVDO_Input]:[F-NextVDO_Input]],MATCH(OP_CMAB!$D16&amp;" - Annual",Input_Usage[Ref],0),MATCH(OP_CMAB!$D$24,Inputs!$I$131:$M$131,0))),0)),0),0,1),
IF(F16=
ROUNDUP(
(INDEX(OP_TotalRates_RES_1[[Ausnet]:[United Energy]],MATCH("TOU - supply",OP_TotalRates_RES_1[Rate name],0),MATCH(OP_CMAB!F$31,OP_TotalRates_RES_1[[#Headers],[Ausnet]:[United Energy]],0))*DiY)+
(INDEX(OP_TotalRates_RES_1[[Ausnet]:[United Energy]],MATCH("Peak",OP_TotalRates_RES_1[Rate name],0),MATCH(OP_CMAB!F$31,OP_TotalRates_RES_1[[#Headers],[Ausnet]:[United Energy]],0))*
INDEX(Input_Usage[[F-CurrentVDO_Input]:[F-NextVDO_Input]],MATCH($D16&amp;" - Peak",Input_Usage[Ref],0),MATCH($D$24,Inputs!$I$131:$M$131,0)))+
IFERROR((INDEX(OP_TotalRates_RES_1[[Ausnet]:[United Energy]],MATCH("TOU - Shoulder",OP_TotalRates_RES_1[Rate name],0),MATCH(OP_CMAB!F$31,OP_TotalRates_RES_1[[#Headers],[Ausnet]:[United Energy]],0))*
INDEX(Input_Usage[[F-CurrentVDO_Input]:[F-NextVDO_Input]],MATCH($D16&amp;" - Shoulder",Input_Usage[Ref],0),MATCH($D$24,Inputs!$I$131:$M$131,0))),0)+
(INDEX(OP_TotalRates_RES_1[[Ausnet]:[United Energy]],MATCH("Off peak",OP_TotalRates_RES_1[Rate name],0),MATCH(OP_CMAB!F$31,OP_TotalRates_RES_1[[#Headers],[Ausnet]:[United Energy]],0))*
INDEX(Input_Usage[[F-CurrentVDO_Input]:[F-NextVDO_Input]],MATCH($D16&amp;" - Off peak",Input_Usage[Ref],0),MATCH($D$24,Inputs!$I$131:$M$131,0))),0),0,1))</f>
        <v>0</v>
      </c>
      <c r="G20" s="79">
        <f>IF($D$24="VDO 2021 - Final",
IF(G16=
ROUNDUP(
(INDEX(OP_TotalRates_RES_1[[Ausnet]:[United Energy]],MATCH("Anytime - supply",OP_TotalRates_RES_1[Rate name],0),MATCH(OP_CMAB!G$31,OP_TotalRates_RES_1[[#Headers],[Ausnet]:[United Energy]],0))*DiY)+
(IFERROR((INDEX(OP_TotalRates_RES_1[[Ausnet]:[United Energy]],MATCH("Block 1",OP_TotalRates_RES_1[Rate name],0),MATCH(OP_CMAB!G$31,OP_TotalRates_RES_1[[#Headers],[Ausnet]:[United Energy]],0))*
INDEX(Input_Usage[[F-CurrentVDO_Input]:[F-NextVDO_Input]],MATCH(OP_CMAB!$D16&amp;" - Block 1",Input_Usage[Ref],0),MATCH(OP_CMAB!$D$24,Inputs!$I$131:$M$131,0))),0)+
IFERROR((INDEX(OP_TotalRates_RES_1[[Ausnet]:[United Energy]],MATCH("Balance",OP_TotalRates_RES_1[Rate name],0),MATCH(OP_CMAB!G$31,OP_TotalRates_RES_1[[#Headers],[Ausnet]:[United Energy]],0))*
INDEX(Input_Usage[[F-CurrentVDO_Input]:[F-NextVDO_Input]],MATCH(OP_CMAB!$D16&amp;" - Balance",Input_Usage[Ref],0),MATCH(OP_CMAB!$D$24,Inputs!$I$131:$M$131,0))),0)+
IFERROR((INDEX(OP_TotalRates_RES_1[[Ausnet]:[United Energy]],MATCH("Single rate",OP_TotalRates_RES_1[Rate name],0),MATCH(OP_CMAB!G$31,OP_TotalRates_RES_1[[#Headers],[Ausnet]:[United Energy]],0))*
INDEX(Input_Usage[[F-CurrentVDO_Input]:[F-NextVDO_Input]],MATCH(OP_CMAB!$D16&amp;" - Annual",Input_Usage[Ref],0),MATCH(OP_CMAB!$D$24,Inputs!$I$131:$M$131,0))),0)),0),0,1),
IF(G16=
ROUNDUP(
(INDEX(OP_TotalRates_RES_1[[Ausnet]:[United Energy]],MATCH("TOU - supply",OP_TotalRates_RES_1[Rate name],0),MATCH(OP_CMAB!G$31,OP_TotalRates_RES_1[[#Headers],[Ausnet]:[United Energy]],0))*DiY)+
(INDEX(OP_TotalRates_RES_1[[Ausnet]:[United Energy]],MATCH("Peak",OP_TotalRates_RES_1[Rate name],0),MATCH(OP_CMAB!G$31,OP_TotalRates_RES_1[[#Headers],[Ausnet]:[United Energy]],0))*
INDEX(Input_Usage[[F-CurrentVDO_Input]:[F-NextVDO_Input]],MATCH($D16&amp;" - Peak",Input_Usage[Ref],0),MATCH($D$24,Inputs!$I$131:$M$131,0)))+
IFERROR((INDEX(OP_TotalRates_RES_1[[Ausnet]:[United Energy]],MATCH("TOU - Shoulder",OP_TotalRates_RES_1[Rate name],0),MATCH(OP_CMAB!G$31,OP_TotalRates_RES_1[[#Headers],[Ausnet]:[United Energy]],0))*
INDEX(Input_Usage[[F-CurrentVDO_Input]:[F-NextVDO_Input]],MATCH($D16&amp;" - Shoulder",Input_Usage[Ref],0),MATCH($D$24,Inputs!$I$131:$M$131,0))),0)+
(INDEX(OP_TotalRates_RES_1[[Ausnet]:[United Energy]],MATCH("Off peak",OP_TotalRates_RES_1[Rate name],0),MATCH(OP_CMAB!G$31,OP_TotalRates_RES_1[[#Headers],[Ausnet]:[United Energy]],0))*
INDEX(Input_Usage[[F-CurrentVDO_Input]:[F-NextVDO_Input]],MATCH($D16&amp;" - Off peak",Input_Usage[Ref],0),MATCH($D$24,Inputs!$I$131:$M$131,0))),0),0,1))</f>
        <v>0</v>
      </c>
      <c r="H20" s="79">
        <f>IF($D$24="VDO 2021 - Final",
IF(H16=
ROUNDUP(
(INDEX(OP_TotalRates_RES_1[[Ausnet]:[United Energy]],MATCH("Anytime - supply",OP_TotalRates_RES_1[Rate name],0),MATCH(OP_CMAB!H$31,OP_TotalRates_RES_1[[#Headers],[Ausnet]:[United Energy]],0))*DiY)+
(IFERROR((INDEX(OP_TotalRates_RES_1[[Ausnet]:[United Energy]],MATCH("Block 1",OP_TotalRates_RES_1[Rate name],0),MATCH(OP_CMAB!H$31,OP_TotalRates_RES_1[[#Headers],[Ausnet]:[United Energy]],0))*
INDEX(Input_Usage[[F-CurrentVDO_Input]:[F-NextVDO_Input]],MATCH(OP_CMAB!$D16&amp;" - Block 1",Input_Usage[Ref],0),MATCH(OP_CMAB!$D$24,Inputs!$I$131:$M$131,0))),0)+
IFERROR((INDEX(OP_TotalRates_RES_1[[Ausnet]:[United Energy]],MATCH("Balance",OP_TotalRates_RES_1[Rate name],0),MATCH(OP_CMAB!H$31,OP_TotalRates_RES_1[[#Headers],[Ausnet]:[United Energy]],0))*
INDEX(Input_Usage[[F-CurrentVDO_Input]:[F-NextVDO_Input]],MATCH(OP_CMAB!$D16&amp;" - Balance",Input_Usage[Ref],0),MATCH(OP_CMAB!$D$24,Inputs!$I$131:$M$131,0))),0)+
IFERROR((INDEX(OP_TotalRates_RES_1[[Ausnet]:[United Energy]],MATCH("Single rate",OP_TotalRates_RES_1[Rate name],0),MATCH(OP_CMAB!H$31,OP_TotalRates_RES_1[[#Headers],[Ausnet]:[United Energy]],0))*
INDEX(Input_Usage[[F-CurrentVDO_Input]:[F-NextVDO_Input]],MATCH(OP_CMAB!$D16&amp;" - Annual",Input_Usage[Ref],0),MATCH(OP_CMAB!$D$24,Inputs!$I$131:$M$131,0))),0)),0),0,1),
IF(H16=
ROUNDUP(
(INDEX(OP_TotalRates_RES_1[[Ausnet]:[United Energy]],MATCH("TOU - supply",OP_TotalRates_RES_1[Rate name],0),MATCH(OP_CMAB!H$31,OP_TotalRates_RES_1[[#Headers],[Ausnet]:[United Energy]],0))*DiY)+
(INDEX(OP_TotalRates_RES_1[[Ausnet]:[United Energy]],MATCH("Peak",OP_TotalRates_RES_1[Rate name],0),MATCH(OP_CMAB!H$31,OP_TotalRates_RES_1[[#Headers],[Ausnet]:[United Energy]],0))*
INDEX(Input_Usage[[F-CurrentVDO_Input]:[F-NextVDO_Input]],MATCH($D16&amp;" - Peak",Input_Usage[Ref],0),MATCH($D$24,Inputs!$I$131:$M$131,0)))+
IFERROR((INDEX(OP_TotalRates_RES_1[[Ausnet]:[United Energy]],MATCH("TOU - Shoulder",OP_TotalRates_RES_1[Rate name],0),MATCH(OP_CMAB!H$31,OP_TotalRates_RES_1[[#Headers],[Ausnet]:[United Energy]],0))*
INDEX(Input_Usage[[F-CurrentVDO_Input]:[F-NextVDO_Input]],MATCH($D16&amp;" - Shoulder",Input_Usage[Ref],0),MATCH($D$24,Inputs!$I$131:$M$131,0))),0)+
(INDEX(OP_TotalRates_RES_1[[Ausnet]:[United Energy]],MATCH("Off peak",OP_TotalRates_RES_1[Rate name],0),MATCH(OP_CMAB!H$31,OP_TotalRates_RES_1[[#Headers],[Ausnet]:[United Energy]],0))*
INDEX(Input_Usage[[F-CurrentVDO_Input]:[F-NextVDO_Input]],MATCH($D16&amp;" - Off peak",Input_Usage[Ref],0),MATCH($D$24,Inputs!$I$131:$M$131,0))),0),0,1))</f>
        <v>0</v>
      </c>
      <c r="I20" s="79">
        <f>IF($D$24="VDO 2021 - Final",
IF(I16=
ROUNDUP(
(INDEX(OP_TotalRates_RES_1[[Ausnet]:[United Energy]],MATCH("Anytime - supply",OP_TotalRates_RES_1[Rate name],0),MATCH(OP_CMAB!I$31,OP_TotalRates_RES_1[[#Headers],[Ausnet]:[United Energy]],0))*DiY)+
(IFERROR((INDEX(OP_TotalRates_RES_1[[Ausnet]:[United Energy]],MATCH("Block 1",OP_TotalRates_RES_1[Rate name],0),MATCH(OP_CMAB!I$31,OP_TotalRates_RES_1[[#Headers],[Ausnet]:[United Energy]],0))*
INDEX(Input_Usage[[F-CurrentVDO_Input]:[F-NextVDO_Input]],MATCH(OP_CMAB!$D16&amp;" - Block 1",Input_Usage[Ref],0),MATCH(OP_CMAB!$D$24,Inputs!$I$131:$M$131,0))),0)+
IFERROR((INDEX(OP_TotalRates_RES_1[[Ausnet]:[United Energy]],MATCH("Balance",OP_TotalRates_RES_1[Rate name],0),MATCH(OP_CMAB!I$31,OP_TotalRates_RES_1[[#Headers],[Ausnet]:[United Energy]],0))*
INDEX(Input_Usage[[F-CurrentVDO_Input]:[F-NextVDO_Input]],MATCH(OP_CMAB!$D16&amp;" - Balance",Input_Usage[Ref],0),MATCH(OP_CMAB!$D$24,Inputs!$I$131:$M$131,0))),0)+
IFERROR((INDEX(OP_TotalRates_RES_1[[Ausnet]:[United Energy]],MATCH("Single rate",OP_TotalRates_RES_1[Rate name],0),MATCH(OP_CMAB!I$31,OP_TotalRates_RES_1[[#Headers],[Ausnet]:[United Energy]],0))*
INDEX(Input_Usage[[F-CurrentVDO_Input]:[F-NextVDO_Input]],MATCH(OP_CMAB!$D16&amp;" - Annual",Input_Usage[Ref],0),MATCH(OP_CMAB!$D$24,Inputs!$I$131:$M$131,0))),0)),0),0,1),
IF(I16=
ROUNDUP(
(INDEX(OP_TotalRates_RES_1[[Ausnet]:[United Energy]],MATCH("TOU - supply",OP_TotalRates_RES_1[Rate name],0),MATCH(OP_CMAB!I$31,OP_TotalRates_RES_1[[#Headers],[Ausnet]:[United Energy]],0))*DiY)+
(INDEX(OP_TotalRates_RES_1[[Ausnet]:[United Energy]],MATCH("Peak",OP_TotalRates_RES_1[Rate name],0),MATCH(OP_CMAB!I$31,OP_TotalRates_RES_1[[#Headers],[Ausnet]:[United Energy]],0))*
INDEX(Input_Usage[[F-CurrentVDO_Input]:[F-NextVDO_Input]],MATCH($D16&amp;" - Peak",Input_Usage[Ref],0),MATCH($D$24,Inputs!$I$131:$M$131,0)))+
IFERROR((INDEX(OP_TotalRates_RES_1[[Ausnet]:[United Energy]],MATCH("TOU - Shoulder",OP_TotalRates_RES_1[Rate name],0),MATCH(OP_CMAB!I$31,OP_TotalRates_RES_1[[#Headers],[Ausnet]:[United Energy]],0))*
INDEX(Input_Usage[[F-CurrentVDO_Input]:[F-NextVDO_Input]],MATCH($D16&amp;" - Shoulder",Input_Usage[Ref],0),MATCH($D$24,Inputs!$I$131:$M$131,0))),0)+
(INDEX(OP_TotalRates_RES_1[[Ausnet]:[United Energy]],MATCH("Off peak",OP_TotalRates_RES_1[Rate name],0),MATCH(OP_CMAB!I$31,OP_TotalRates_RES_1[[#Headers],[Ausnet]:[United Energy]],0))*
INDEX(Input_Usage[[F-CurrentVDO_Input]:[F-NextVDO_Input]],MATCH($D16&amp;" - Off peak",Input_Usage[Ref],0),MATCH($D$24,Inputs!$I$131:$M$131,0))),0),0,1))</f>
        <v>0</v>
      </c>
      <c r="M20" s="79">
        <f>IF($D$24="VDO 2021 - Final",
IF(M16=
ROUNDUP(
(INDEX(OP_TotalRates_SME_1[[Ausnet]:[United Energy]],MATCH("Anytime - supply",OP_TotalRates_SME_1[Rate name],0),MATCH(OP_CMAB!M$31,OP_TotalRates_SME_1[[#Headers],[Ausnet]:[United Energy]],0))*DiY)+
(IFERROR((INDEX(OP_TotalRates_SME_1[[Ausnet]:[United Energy]],MATCH("Block 1",OP_TotalRates_SME_1[Rate name],0),MATCH(OP_CMAB!M$31,OP_TotalRates_SME_1[[#Headers],[Ausnet]:[United Energy]],0))*
INDEX(Input_Usage[[F-CurrentVDO_Input]:[F-NextVDO_Input]],MATCH(OP_CMAB!$L16&amp;" - Block 1",Input_Usage[Ref],0),MATCH(OP_CMAB!$D$24,Inputs!$I$131:$M$131,0))),0)+
IFERROR((INDEX(OP_TotalRates_SME_1[[Ausnet]:[United Energy]],MATCH("Balance",OP_TotalRates_SME_1[Rate name],0),MATCH(OP_CMAB!M$31,OP_TotalRates_SME_1[[#Headers],[Ausnet]:[United Energy]],0))*
INDEX(Input_Usage[[F-CurrentVDO_Input]:[F-NextVDO_Input]],MATCH(OP_CMAB!$L16&amp;" - Balance",Input_Usage[Ref],0),MATCH(OP_CMAB!$D$24,Inputs!$I$131:$M$131,0))),0)+
IFERROR((INDEX(OP_TotalRates_SME_1[[Ausnet]:[United Energy]],MATCH("Single rate",OP_TotalRates_SME_1[Rate name],0),MATCH(OP_CMAB!M$31,OP_TotalRates_SME_1[[#Headers],[Ausnet]:[United Energy]],0))*
INDEX(Input_Usage[[F-CurrentVDO_Input]:[F-NextVDO_Input]],MATCH(OP_CMAB!$L16&amp;" - Annual",Input_Usage[Ref],0),MATCH(OP_CMAB!$D$24,Inputs!$I$131:$M$131,0))),0)),0),0,1),
IF(M16=
ROUNDUP(
(INDEX(OP_TotalRates_SME_1[[Ausnet]:[United Energy]],MATCH("TOU - supply",OP_TotalRates_SME_1[Rate name],0),MATCH(OP_CMAB!M$31,OP_TotalRates_SME_1[[#Headers],[Ausnet]:[United Energy]],0))*DiY)+
(INDEX(OP_TotalRates_SME_1[[Ausnet]:[United Energy]],MATCH("Peak",OP_TotalRates_SME_1[Rate name],0),MATCH(OP_CMAB!M$31,OP_TotalRates_SME_1[[#Headers],[Ausnet]:[United Energy]],0))*
INDEX(Input_Usage[[F-CurrentVDO_Input]:[F-NextVDO_Input]],MATCH($L16&amp;" - Peak",Input_Usage[Ref],0),MATCH($D$24,Inputs!$I$131:$M$131,0)))+
IFERROR((INDEX(OP_TotalRates_SME_1[[Ausnet]:[United Energy]],MATCH("TOU - Shoulder",OP_TotalRates_SME_1[Rate name],0),MATCH(OP_CMAB!M$31,OP_TotalRates_SME_1[[#Headers],[Ausnet]:[United Energy]],0))*
INDEX(Input_Usage[[F-CurrentVDO_Input]:[F-NextVDO_Input]],MATCH($L16&amp;" - Shoulder",Input_Usage[Ref],0),MATCH($D$24,Inputs!$I$131:$M$131,0))),0)+
(INDEX(OP_TotalRates_SME_1[[Ausnet]:[United Energy]],MATCH("Off peak",OP_TotalRates_SME_1[Rate name],0),MATCH(OP_CMAB!M$31,OP_TotalRates_SME_1[[#Headers],[Ausnet]:[United Energy]],0))*
INDEX(Input_Usage[[F-CurrentVDO_Input]:[F-NextVDO_Input]],MATCH($L16&amp;" - Off peak",Input_Usage[Ref],0),MATCH($D$24,Inputs!$I$131:$M$131,0))),0),0,1))</f>
        <v>0</v>
      </c>
      <c r="N20" s="79">
        <f>IF($D$24="VDO 2021 - Final",
IF(N16=
ROUNDUP(
(INDEX(OP_TotalRates_SME_1[[Ausnet]:[United Energy]],MATCH("Anytime - supply",OP_TotalRates_SME_1[Rate name],0),MATCH(OP_CMAB!N$31,OP_TotalRates_SME_1[[#Headers],[Ausnet]:[United Energy]],0))*DiY)+
(IFERROR((INDEX(OP_TotalRates_SME_1[[Ausnet]:[United Energy]],MATCH("Block 1",OP_TotalRates_SME_1[Rate name],0),MATCH(OP_CMAB!N$31,OP_TotalRates_SME_1[[#Headers],[Ausnet]:[United Energy]],0))*
INDEX(Input_Usage[[F-CurrentVDO_Input]:[F-NextVDO_Input]],MATCH(OP_CMAB!$L16&amp;" - Block 1",Input_Usage[Ref],0),MATCH(OP_CMAB!$D$24,Inputs!$I$131:$M$131,0))),0)+
IFERROR((INDEX(OP_TotalRates_SME_1[[Ausnet]:[United Energy]],MATCH("Balance",OP_TotalRates_SME_1[Rate name],0),MATCH(OP_CMAB!N$31,OP_TotalRates_SME_1[[#Headers],[Ausnet]:[United Energy]],0))*
INDEX(Input_Usage[[F-CurrentVDO_Input]:[F-NextVDO_Input]],MATCH(OP_CMAB!$L16&amp;" - Balance",Input_Usage[Ref],0),MATCH(OP_CMAB!$D$24,Inputs!$I$131:$M$131,0))),0)+
IFERROR((INDEX(OP_TotalRates_SME_1[[Ausnet]:[United Energy]],MATCH("Single rate",OP_TotalRates_SME_1[Rate name],0),MATCH(OP_CMAB!N$31,OP_TotalRates_SME_1[[#Headers],[Ausnet]:[United Energy]],0))*
INDEX(Input_Usage[[F-CurrentVDO_Input]:[F-NextVDO_Input]],MATCH(OP_CMAB!$L16&amp;" - Annual",Input_Usage[Ref],0),MATCH(OP_CMAB!$D$24,Inputs!$I$131:$M$131,0))),0)),0),0,1),
IF(N16=
ROUNDUP(
(INDEX(OP_TotalRates_SME_1[[Ausnet]:[United Energy]],MATCH("TOU - supply",OP_TotalRates_SME_1[Rate name],0),MATCH(OP_CMAB!N$31,OP_TotalRates_SME_1[[#Headers],[Ausnet]:[United Energy]],0))*DiY)+
(INDEX(OP_TotalRates_SME_1[[Ausnet]:[United Energy]],MATCH("Peak",OP_TotalRates_SME_1[Rate name],0),MATCH(OP_CMAB!N$31,OP_TotalRates_SME_1[[#Headers],[Ausnet]:[United Energy]],0))*
INDEX(Input_Usage[[F-CurrentVDO_Input]:[F-NextVDO_Input]],MATCH($L16&amp;" - Peak",Input_Usage[Ref],0),MATCH($D$24,Inputs!$I$131:$M$131,0)))+
IFERROR((INDEX(OP_TotalRates_SME_1[[Ausnet]:[United Energy]],MATCH("TOU - Shoulder",OP_TotalRates_SME_1[Rate name],0),MATCH(OP_CMAB!N$31,OP_TotalRates_SME_1[[#Headers],[Ausnet]:[United Energy]],0))*
INDEX(Input_Usage[[F-CurrentVDO_Input]:[F-NextVDO_Input]],MATCH($L16&amp;" - Shoulder",Input_Usage[Ref],0),MATCH($D$24,Inputs!$I$131:$M$131,0))),0)+
(INDEX(OP_TotalRates_SME_1[[Ausnet]:[United Energy]],MATCH("Off peak",OP_TotalRates_SME_1[Rate name],0),MATCH(OP_CMAB!N$31,OP_TotalRates_SME_1[[#Headers],[Ausnet]:[United Energy]],0))*
INDEX(Input_Usage[[F-CurrentVDO_Input]:[F-NextVDO_Input]],MATCH($L16&amp;" - Off peak",Input_Usage[Ref],0),MATCH($D$24,Inputs!$I$131:$M$131,0))),0),0,1))</f>
        <v>0</v>
      </c>
      <c r="O20" s="79">
        <f>IF($D$24="VDO 2021 - Final",
IF(O16=
ROUNDUP(
(INDEX(OP_TotalRates_SME_1[[Ausnet]:[United Energy]],MATCH("Anytime - supply",OP_TotalRates_SME_1[Rate name],0),MATCH(OP_CMAB!O$31,OP_TotalRates_SME_1[[#Headers],[Ausnet]:[United Energy]],0))*DiY)+
(IFERROR((INDEX(OP_TotalRates_SME_1[[Ausnet]:[United Energy]],MATCH("Block 1",OP_TotalRates_SME_1[Rate name],0),MATCH(OP_CMAB!O$31,OP_TotalRates_SME_1[[#Headers],[Ausnet]:[United Energy]],0))*
INDEX(Input_Usage[[F-CurrentVDO_Input]:[F-NextVDO_Input]],MATCH(OP_CMAB!$L16&amp;" - Block 1",Input_Usage[Ref],0),MATCH(OP_CMAB!$D$24,Inputs!$I$131:$M$131,0))),0)+
IFERROR((INDEX(OP_TotalRates_SME_1[[Ausnet]:[United Energy]],MATCH("Balance",OP_TotalRates_SME_1[Rate name],0),MATCH(OP_CMAB!O$31,OP_TotalRates_SME_1[[#Headers],[Ausnet]:[United Energy]],0))*
INDEX(Input_Usage[[F-CurrentVDO_Input]:[F-NextVDO_Input]],MATCH(OP_CMAB!$L16&amp;" - Balance",Input_Usage[Ref],0),MATCH(OP_CMAB!$D$24,Inputs!$I$131:$M$131,0))),0)+
IFERROR((INDEX(OP_TotalRates_SME_1[[Ausnet]:[United Energy]],MATCH("Single rate",OP_TotalRates_SME_1[Rate name],0),MATCH(OP_CMAB!O$31,OP_TotalRates_SME_1[[#Headers],[Ausnet]:[United Energy]],0))*
INDEX(Input_Usage[[F-CurrentVDO_Input]:[F-NextVDO_Input]],MATCH(OP_CMAB!$L16&amp;" - Annual",Input_Usage[Ref],0),MATCH(OP_CMAB!$D$24,Inputs!$I$131:$M$131,0))),0)),0),0,1),
IF(O16=
ROUNDUP(
(INDEX(OP_TotalRates_SME_1[[Ausnet]:[United Energy]],MATCH("TOU - supply",OP_TotalRates_SME_1[Rate name],0),MATCH(OP_CMAB!O$31,OP_TotalRates_SME_1[[#Headers],[Ausnet]:[United Energy]],0))*DiY)+
(INDEX(OP_TotalRates_SME_1[[Ausnet]:[United Energy]],MATCH("Peak",OP_TotalRates_SME_1[Rate name],0),MATCH(OP_CMAB!O$31,OP_TotalRates_SME_1[[#Headers],[Ausnet]:[United Energy]],0))*
INDEX(Input_Usage[[F-CurrentVDO_Input]:[F-NextVDO_Input]],MATCH($L16&amp;" - Peak",Input_Usage[Ref],0),MATCH($D$24,Inputs!$I$131:$M$131,0)))+
IFERROR((INDEX(OP_TotalRates_SME_1[[Ausnet]:[United Energy]],MATCH("TOU - Shoulder",OP_TotalRates_SME_1[Rate name],0),MATCH(OP_CMAB!O$31,OP_TotalRates_SME_1[[#Headers],[Ausnet]:[United Energy]],0))*
INDEX(Input_Usage[[F-CurrentVDO_Input]:[F-NextVDO_Input]],MATCH($L16&amp;" - Shoulder",Input_Usage[Ref],0),MATCH($D$24,Inputs!$I$131:$M$131,0))),0)+
(INDEX(OP_TotalRates_SME_1[[Ausnet]:[United Energy]],MATCH("Off peak",OP_TotalRates_SME_1[Rate name],0),MATCH(OP_CMAB!O$31,OP_TotalRates_SME_1[[#Headers],[Ausnet]:[United Energy]],0))*
INDEX(Input_Usage[[F-CurrentVDO_Input]:[F-NextVDO_Input]],MATCH($L16&amp;" - Off peak",Input_Usage[Ref],0),MATCH($D$24,Inputs!$I$131:$M$131,0))),0),0,1))</f>
        <v>0</v>
      </c>
      <c r="P20" s="79">
        <f>IF($D$24="VDO 2021 - Final",
IF(P16=
ROUNDUP(
(INDEX(OP_TotalRates_SME_1[[Ausnet]:[United Energy]],MATCH("Anytime - supply",OP_TotalRates_SME_1[Rate name],0),MATCH(OP_CMAB!P$31,OP_TotalRates_SME_1[[#Headers],[Ausnet]:[United Energy]],0))*DiY)+
(IFERROR((INDEX(OP_TotalRates_SME_1[[Ausnet]:[United Energy]],MATCH("Block 1",OP_TotalRates_SME_1[Rate name],0),MATCH(OP_CMAB!P$31,OP_TotalRates_SME_1[[#Headers],[Ausnet]:[United Energy]],0))*
INDEX(Input_Usage[[F-CurrentVDO_Input]:[F-NextVDO_Input]],MATCH(OP_CMAB!$L16&amp;" - Block 1",Input_Usage[Ref],0),MATCH(OP_CMAB!$D$24,Inputs!$I$131:$M$131,0))),0)+
IFERROR((INDEX(OP_TotalRates_SME_1[[Ausnet]:[United Energy]],MATCH("Balance",OP_TotalRates_SME_1[Rate name],0),MATCH(OP_CMAB!P$31,OP_TotalRates_SME_1[[#Headers],[Ausnet]:[United Energy]],0))*
INDEX(Input_Usage[[F-CurrentVDO_Input]:[F-NextVDO_Input]],MATCH(OP_CMAB!$L16&amp;" - Balance",Input_Usage[Ref],0),MATCH(OP_CMAB!$D$24,Inputs!$I$131:$M$131,0))),0)+
IFERROR((INDEX(OP_TotalRates_SME_1[[Ausnet]:[United Energy]],MATCH("Single rate",OP_TotalRates_SME_1[Rate name],0),MATCH(OP_CMAB!P$31,OP_TotalRates_SME_1[[#Headers],[Ausnet]:[United Energy]],0))*
INDEX(Input_Usage[[F-CurrentVDO_Input]:[F-NextVDO_Input]],MATCH(OP_CMAB!$L16&amp;" - Annual",Input_Usage[Ref],0),MATCH(OP_CMAB!$D$24,Inputs!$I$131:$M$131,0))),0)),0),0,1),
IF(P16=
ROUNDUP(
(INDEX(OP_TotalRates_SME_1[[Ausnet]:[United Energy]],MATCH("TOU - supply",OP_TotalRates_SME_1[Rate name],0),MATCH(OP_CMAB!P$31,OP_TotalRates_SME_1[[#Headers],[Ausnet]:[United Energy]],0))*DiY)+
(INDEX(OP_TotalRates_SME_1[[Ausnet]:[United Energy]],MATCH("Peak",OP_TotalRates_SME_1[Rate name],0),MATCH(OP_CMAB!P$31,OP_TotalRates_SME_1[[#Headers],[Ausnet]:[United Energy]],0))*
INDEX(Input_Usage[[F-CurrentVDO_Input]:[F-NextVDO_Input]],MATCH($L16&amp;" - Peak",Input_Usage[Ref],0),MATCH($D$24,Inputs!$I$131:$M$131,0)))+
IFERROR((INDEX(OP_TotalRates_SME_1[[Ausnet]:[United Energy]],MATCH("TOU - Shoulder",OP_TotalRates_SME_1[Rate name],0),MATCH(OP_CMAB!P$31,OP_TotalRates_SME_1[[#Headers],[Ausnet]:[United Energy]],0))*
INDEX(Input_Usage[[F-CurrentVDO_Input]:[F-NextVDO_Input]],MATCH($L16&amp;" - Shoulder",Input_Usage[Ref],0),MATCH($D$24,Inputs!$I$131:$M$131,0))),0)+
(INDEX(OP_TotalRates_SME_1[[Ausnet]:[United Energy]],MATCH("Off peak",OP_TotalRates_SME_1[Rate name],0),MATCH(OP_CMAB!P$31,OP_TotalRates_SME_1[[#Headers],[Ausnet]:[United Energy]],0))*
INDEX(Input_Usage[[F-CurrentVDO_Input]:[F-NextVDO_Input]],MATCH($L16&amp;" - Off peak",Input_Usage[Ref],0),MATCH($D$24,Inputs!$I$131:$M$131,0))),0),0,1))</f>
        <v>0</v>
      </c>
      <c r="Q20" s="79">
        <f>IF($D$24="VDO 2021 - Final",
IF(Q16=
ROUNDUP(
(INDEX(OP_TotalRates_SME_1[[Ausnet]:[United Energy]],MATCH("Anytime - supply",OP_TotalRates_SME_1[Rate name],0),MATCH(OP_CMAB!Q$31,OP_TotalRates_SME_1[[#Headers],[Ausnet]:[United Energy]],0))*DiY)+
(IFERROR((INDEX(OP_TotalRates_SME_1[[Ausnet]:[United Energy]],MATCH("Block 1",OP_TotalRates_SME_1[Rate name],0),MATCH(OP_CMAB!Q$31,OP_TotalRates_SME_1[[#Headers],[Ausnet]:[United Energy]],0))*
INDEX(Input_Usage[[F-CurrentVDO_Input]:[F-NextVDO_Input]],MATCH(OP_CMAB!$L16&amp;" - Block 1",Input_Usage[Ref],0),MATCH(OP_CMAB!$D$24,Inputs!$I$131:$M$131,0))),0)+
IFERROR((INDEX(OP_TotalRates_SME_1[[Ausnet]:[United Energy]],MATCH("Balance",OP_TotalRates_SME_1[Rate name],0),MATCH(OP_CMAB!Q$31,OP_TotalRates_SME_1[[#Headers],[Ausnet]:[United Energy]],0))*
INDEX(Input_Usage[[F-CurrentVDO_Input]:[F-NextVDO_Input]],MATCH(OP_CMAB!$L16&amp;" - Balance",Input_Usage[Ref],0),MATCH(OP_CMAB!$D$24,Inputs!$I$131:$M$131,0))),0)+
IFERROR((INDEX(OP_TotalRates_SME_1[[Ausnet]:[United Energy]],MATCH("Single rate",OP_TotalRates_SME_1[Rate name],0),MATCH(OP_CMAB!Q$31,OP_TotalRates_SME_1[[#Headers],[Ausnet]:[United Energy]],0))*
INDEX(Input_Usage[[F-CurrentVDO_Input]:[F-NextVDO_Input]],MATCH(OP_CMAB!$L16&amp;" - Annual",Input_Usage[Ref],0),MATCH(OP_CMAB!$D$24,Inputs!$I$131:$M$131,0))),0)),0),0,1),
IF(Q16=
ROUNDUP(
(INDEX(OP_TotalRates_SME_1[[Ausnet]:[United Energy]],MATCH("TOU - supply",OP_TotalRates_SME_1[Rate name],0),MATCH(OP_CMAB!Q$31,OP_TotalRates_SME_1[[#Headers],[Ausnet]:[United Energy]],0))*DiY)+
(INDEX(OP_TotalRates_SME_1[[Ausnet]:[United Energy]],MATCH("Peak",OP_TotalRates_SME_1[Rate name],0),MATCH(OP_CMAB!Q$31,OP_TotalRates_SME_1[[#Headers],[Ausnet]:[United Energy]],0))*
INDEX(Input_Usage[[F-CurrentVDO_Input]:[F-NextVDO_Input]],MATCH($L16&amp;" - Peak",Input_Usage[Ref],0),MATCH($D$24,Inputs!$I$131:$M$131,0)))+
IFERROR((INDEX(OP_TotalRates_SME_1[[Ausnet]:[United Energy]],MATCH("TOU - Shoulder",OP_TotalRates_SME_1[Rate name],0),MATCH(OP_CMAB!Q$31,OP_TotalRates_SME_1[[#Headers],[Ausnet]:[United Energy]],0))*
INDEX(Input_Usage[[F-CurrentVDO_Input]:[F-NextVDO_Input]],MATCH($L16&amp;" - Shoulder",Input_Usage[Ref],0),MATCH($D$24,Inputs!$I$131:$M$131,0))),0)+
(INDEX(OP_TotalRates_SME_1[[Ausnet]:[United Energy]],MATCH("Off peak",OP_TotalRates_SME_1[Rate name],0),MATCH(OP_CMAB!Q$31,OP_TotalRates_SME_1[[#Headers],[Ausnet]:[United Energy]],0))*
INDEX(Input_Usage[[F-CurrentVDO_Input]:[F-NextVDO_Input]],MATCH($L16&amp;" - Off peak",Input_Usage[Ref],0),MATCH($D$24,Inputs!$I$131:$M$131,0))),0),0,1))</f>
        <v>0</v>
      </c>
    </row>
    <row r="21" spans="1:18" x14ac:dyDescent="0.25">
      <c r="E21" s="8"/>
      <c r="F21" s="8"/>
      <c r="G21" s="8"/>
      <c r="H21" s="8"/>
      <c r="I21" s="8"/>
    </row>
    <row r="22" spans="1:18" ht="16.5" thickBot="1" x14ac:dyDescent="0.3">
      <c r="A22" s="1" t="s">
        <v>19</v>
      </c>
      <c r="B22" s="7">
        <f ca="1">MAX(B$3:B21)+0.1</f>
        <v>11.2</v>
      </c>
      <c r="C22" s="22" t="str">
        <f>"CMAB amounts - "&amp;Calc_Rates!$D$249</f>
        <v>CMAB amounts - VDO 2022 - Draft</v>
      </c>
      <c r="D22" s="22"/>
      <c r="E22" s="22"/>
      <c r="F22" s="22"/>
      <c r="G22" s="22"/>
      <c r="H22" s="22"/>
      <c r="I22" s="22"/>
      <c r="J22" s="22"/>
      <c r="K22" s="22"/>
      <c r="L22" s="22"/>
      <c r="M22" s="22"/>
      <c r="N22" s="22"/>
      <c r="O22" s="22"/>
      <c r="P22" s="22"/>
      <c r="Q22" s="22"/>
      <c r="R22" s="22"/>
    </row>
    <row r="24" spans="1:18" ht="15.75" x14ac:dyDescent="0.25">
      <c r="C24" s="43" t="s">
        <v>36</v>
      </c>
      <c r="D24" s="32" t="str">
        <f>Calc_Rates!$D$249</f>
        <v>VDO 2022 - Draft</v>
      </c>
      <c r="F24" s="43" t="s">
        <v>343</v>
      </c>
      <c r="G24" s="71" t="str">
        <f>INDEX(Inputs!$H$10:$Q$10,1,MATCH($D$24,Inputs!$H$8:$Q$8,0))</f>
        <v>D-NextVDO_Input</v>
      </c>
      <c r="H24" s="156">
        <f>INDEX(Input_TUNet_Dates[[F-CurrentVDO_Input]:[F-NextVDO_Input]],MATCH(F24,Input_TUNet_Dates[Item],0),MATCH(G24,Input_TUNet_Dates[[#Headers],[F-CurrentVDO_Input]:[F-NextVDO_Input]],0))</f>
        <v>44562</v>
      </c>
    </row>
    <row r="25" spans="1:18" ht="15.75" x14ac:dyDescent="0.25">
      <c r="F25" s="43" t="s">
        <v>344</v>
      </c>
      <c r="G25" s="71" t="str">
        <f>INDEX(Inputs!$H$10:$Q$10,1,MATCH($D$24,Inputs!$H$8:$Q$8,0))</f>
        <v>D-NextVDO_Input</v>
      </c>
      <c r="H25" s="156">
        <f>INDEX(Input_TUNet_Dates[[F-CurrentVDO_Input]:[F-NextVDO_Input]],MATCH(F25,Input_TUNet_Dates[Item],0),MATCH(G25,Input_TUNet_Dates[[#Headers],[F-CurrentVDO_Input]:[F-NextVDO_Input]],0))</f>
        <v>44742</v>
      </c>
    </row>
    <row r="26" spans="1:18" ht="15.75" x14ac:dyDescent="0.25">
      <c r="F26" s="23"/>
    </row>
    <row r="27" spans="1:18" ht="15.75" x14ac:dyDescent="0.25">
      <c r="F27" s="43" t="s">
        <v>399</v>
      </c>
      <c r="H27" s="176">
        <f>IFERROR(_xlfn.DAYS(H25,H24)+1,"-")</f>
        <v>181</v>
      </c>
    </row>
    <row r="30" spans="1:18" ht="15.75" x14ac:dyDescent="0.25">
      <c r="C30" s="23" t="s">
        <v>31</v>
      </c>
      <c r="K30" s="23" t="s">
        <v>32</v>
      </c>
    </row>
    <row r="31" spans="1:18" ht="15.75" x14ac:dyDescent="0.25">
      <c r="C31" s="34" t="s">
        <v>30</v>
      </c>
      <c r="D31" s="34" t="s">
        <v>29</v>
      </c>
      <c r="E31" s="49" t="s">
        <v>204</v>
      </c>
      <c r="F31" s="49" t="s">
        <v>205</v>
      </c>
      <c r="G31" s="49" t="s">
        <v>206</v>
      </c>
      <c r="H31" s="49" t="s">
        <v>207</v>
      </c>
      <c r="I31" s="49" t="s">
        <v>208</v>
      </c>
      <c r="K31" s="34" t="s">
        <v>30</v>
      </c>
      <c r="L31" s="34" t="s">
        <v>29</v>
      </c>
      <c r="M31" s="49" t="s">
        <v>204</v>
      </c>
      <c r="N31" s="49" t="s">
        <v>205</v>
      </c>
      <c r="O31" s="49" t="s">
        <v>206</v>
      </c>
      <c r="P31" s="49" t="s">
        <v>207</v>
      </c>
      <c r="Q31" s="49" t="s">
        <v>208</v>
      </c>
    </row>
    <row r="32" spans="1:18" hidden="1" x14ac:dyDescent="0.25">
      <c r="C32" s="18" t="s">
        <v>31</v>
      </c>
      <c r="D32" s="18" t="s">
        <v>156</v>
      </c>
      <c r="E32" s="97">
        <f>IFERROR(
IF($D$24="VDO 2021 - Final",
ROUNDUP(
(INDEX(OP_Rates_RES_2[[Ausnet]:[United Energy]],MATCH("Anytime - supply",OP_Rates_RES_2[[Rate name]:[Rate name]],0),MATCH(OP_CMAB!E$31,OP_Rates_RES_2[[#Headers],[Ausnet]:[United Energy]],0))*DiY)+
(INDEX(OP_RatesTU_RES_2[[Ausnet]:[United Energy]],MATCH("Anytime",OP_RatesTU_RES_2[[Rate name]:[Rate name]],0),MATCH(OP_CMAB!E$31,OP_RatesTU_RES_2[[#Headers],[Ausnet]:[United Energy]],0))*$H$27)+
(IFERROR((INDEX(OP_TotalRates_RES_2[[Ausnet]:[United Energy]],MATCH("Block 1",OP_TotalRates_RES_2[[Rate name]:[Rate name]],0),MATCH(OP_CMAB!E$31,OP_TotalRates_RES_2[[#Headers],[Ausnet]:[United Energy]],0))*
INDEX(Input_Usage[[F-CurrentVDO_Input]:[F-NextVDO_Input]],MATCH(OP_CMAB!$D32&amp;" - Block 1",Input_Usage[[Ref]:[Ref]],0),MATCH(OP_CMAB!$D$24,Inputs!$I$131:$M$131,0))),0)+
IFERROR((INDEX(OP_TotalRates_RES_2[[Ausnet]:[United Energy]],MATCH("Balance",OP_TotalRates_RES_2[[Rate name]:[Rate name]],0),MATCH(OP_CMAB!E$31,OP_TotalRates_RES_2[[#Headers],[Ausnet]:[United Energy]],0))*
INDEX(Input_Usage[[F-CurrentVDO_Input]:[F-NextVDO_Input]],MATCH(OP_CMAB!$D32&amp;" - Balance",Input_Usage[[Ref]:[Ref]],0),MATCH(OP_CMAB!$D$24,Inputs!$I$131:$M$131,0))),0)+
IFERROR((INDEX(OP_TotalRates_RES_2[[Ausnet]:[United Energy]],MATCH("Single rate",OP_TotalRates_RES_2[[Rate name]:[Rate name]],0),MATCH(OP_CMAB!E$31,OP_TotalRates_RES_2[[#Headers],[Ausnet]:[United Energy]],0))*
INDEX(Input_Usage[[F-CurrentVDO_Input]:[F-NextVDO_Input]],MATCH(OP_CMAB!$D32&amp;" - Annual",Input_Usage[[Ref]:[Ref]],0),MATCH(OP_CMAB!$D$24,Inputs!$I$131:$M$131,0))),0)),0),
ROUNDUP(
(INDEX(OP_Rates_RES_2[[Ausnet]:[United Energy]],MATCH("TOU - supply",OP_Rates_RES_2[[Rate name]:[Rate name]],0),MATCH(OP_CMAB!E$31,OP_Rates_RES_2[[#Headers],[Ausnet]:[United Energy]],0))*DiY)+
(INDEX(OP_RatesTU_RES_2[[Ausnet]:[United Energy]],MATCH("TOU",OP_RatesTU_RES_2[[Rate name]:[Rate name]],0),MATCH(OP_CMAB!E$31,OP_RatesTU_RES_2[[#Headers],[Ausnet]:[United Energy]],0))*$H$27)+
(INDEX(OP_TotalRates_RES_2[[Ausnet]:[United Energy]],MATCH("Peak",OP_TotalRates_RES_2[[Rate name]:[Rate name]],0),MATCH(OP_CMAB!E$31,OP_TotalRates_RES_2[[#Headers],[Ausnet]:[United Energy]],0))*
INDEX(Input_Usage[[F-CurrentVDO_Input]:[F-NextVDO_Input]],MATCH($D32&amp;" - Peak",Input_Usage[[Ref]:[Ref]],0),MATCH($D$24,Inputs!$I$131:$M$131,0)))+
IFERROR((INDEX(OP_TotalRates_RES_2[[Ausnet]:[United Energy]],MATCH("TOU - Shoulder",OP_TotalRates_RES_2[[Rate name]:[Rate name]],0),MATCH(OP_CMAB!E$31,OP_TotalRates_RES_2[[#Headers],[Ausnet]:[United Energy]],0))*
INDEX(Input_Usage[[F-CurrentVDO_Input]:[F-NextVDO_Input]],MATCH($D32&amp;" - Shoulder",Input_Usage[[Ref]:[Ref]],0),MATCH($D$24,Inputs!$I$131:$M$131,0))),0)+
(INDEX(OP_TotalRates_RES_2[[Ausnet]:[United Energy]],MATCH("Off peak",OP_TotalRates_RES_2[[Rate name]:[Rate name]],0),MATCH(OP_CMAB!E$31,OP_TotalRates_RES_2[[#Headers],[Ausnet]:[United Energy]],0))*
INDEX(Input_Usage[[F-CurrentVDO_Input]:[F-NextVDO_Input]],MATCH($D32&amp;" - Off peak",Input_Usage[[Ref]:[Ref]],0),MATCH($D$24,Inputs!$I$131:$M$131,0))),0)),"-")</f>
        <v>912</v>
      </c>
      <c r="F32" s="97">
        <f>IFERROR(
IF($D$24="VDO 2021 - Final",
ROUNDUP(
(INDEX(OP_Rates_RES_2[[Ausnet]:[United Energy]],MATCH("Anytime - supply",OP_Rates_RES_2[[Rate name]:[Rate name]],0),MATCH(OP_CMAB!F$31,OP_Rates_RES_2[[#Headers],[Ausnet]:[United Energy]],0))*DiY)+
(INDEX(OP_RatesTU_RES_2[[Ausnet]:[United Energy]],MATCH("Anytime",OP_RatesTU_RES_2[[Rate name]:[Rate name]],0),MATCH(OP_CMAB!F$31,OP_RatesTU_RES_2[[#Headers],[Ausnet]:[United Energy]],0))*$H$27)+
(IFERROR((INDEX(OP_TotalRates_RES_2[[Ausnet]:[United Energy]],MATCH("Block 1",OP_TotalRates_RES_2[[Rate name]:[Rate name]],0),MATCH(OP_CMAB!F$31,OP_TotalRates_RES_2[[#Headers],[Ausnet]:[United Energy]],0))*
INDEX(Input_Usage[[F-CurrentVDO_Input]:[F-NextVDO_Input]],MATCH(OP_CMAB!$D32&amp;" - Block 1",Input_Usage[[Ref]:[Ref]],0),MATCH(OP_CMAB!$D$24,Inputs!$I$131:$M$131,0))),0)+
IFERROR((INDEX(OP_TotalRates_RES_2[[Ausnet]:[United Energy]],MATCH("Balance",OP_TotalRates_RES_2[[Rate name]:[Rate name]],0),MATCH(OP_CMAB!F$31,OP_TotalRates_RES_2[[#Headers],[Ausnet]:[United Energy]],0))*
INDEX(Input_Usage[[F-CurrentVDO_Input]:[F-NextVDO_Input]],MATCH(OP_CMAB!$D32&amp;" - Balance",Input_Usage[[Ref]:[Ref]],0),MATCH(OP_CMAB!$D$24,Inputs!$I$131:$M$131,0))),0)+
IFERROR((INDEX(OP_TotalRates_RES_2[[Ausnet]:[United Energy]],MATCH("Single rate",OP_TotalRates_RES_2[[Rate name]:[Rate name]],0),MATCH(OP_CMAB!F$31,OP_TotalRates_RES_2[[#Headers],[Ausnet]:[United Energy]],0))*
INDEX(Input_Usage[[F-CurrentVDO_Input]:[F-NextVDO_Input]],MATCH(OP_CMAB!$D32&amp;" - Annual",Input_Usage[[Ref]:[Ref]],0),MATCH(OP_CMAB!$D$24,Inputs!$I$131:$M$131,0))),0)),0),
ROUNDUP(
(INDEX(OP_Rates_RES_2[[Ausnet]:[United Energy]],MATCH("TOU - supply",OP_Rates_RES_2[[Rate name]:[Rate name]],0),MATCH(OP_CMAB!F$31,OP_Rates_RES_2[[#Headers],[Ausnet]:[United Energy]],0))*DiY)+
(INDEX(OP_RatesTU_RES_2[[Ausnet]:[United Energy]],MATCH("TOU",OP_RatesTU_RES_2[[Rate name]:[Rate name]],0),MATCH(OP_CMAB!F$31,OP_RatesTU_RES_2[[#Headers],[Ausnet]:[United Energy]],0))*$H$27)+
(INDEX(OP_TotalRates_RES_2[[Ausnet]:[United Energy]],MATCH("Peak",OP_TotalRates_RES_2[[Rate name]:[Rate name]],0),MATCH(OP_CMAB!F$31,OP_TotalRates_RES_2[[#Headers],[Ausnet]:[United Energy]],0))*
INDEX(Input_Usage[[F-CurrentVDO_Input]:[F-NextVDO_Input]],MATCH($D32&amp;" - Peak",Input_Usage[[Ref]:[Ref]],0),MATCH($D$24,Inputs!$I$131:$M$131,0)))+
IFERROR((INDEX(OP_TotalRates_RES_2[[Ausnet]:[United Energy]],MATCH("TOU - Shoulder",OP_TotalRates_RES_2[[Rate name]:[Rate name]],0),MATCH(OP_CMAB!F$31,OP_TotalRates_RES_2[[#Headers],[Ausnet]:[United Energy]],0))*
INDEX(Input_Usage[[F-CurrentVDO_Input]:[F-NextVDO_Input]],MATCH($D32&amp;" - Shoulder",Input_Usage[[Ref]:[Ref]],0),MATCH($D$24,Inputs!$I$131:$M$131,0))),0)+
(INDEX(OP_TotalRates_RES_2[[Ausnet]:[United Energy]],MATCH("Off peak",OP_TotalRates_RES_2[[Rate name]:[Rate name]],0),MATCH(OP_CMAB!F$31,OP_TotalRates_RES_2[[#Headers],[Ausnet]:[United Energy]],0))*
INDEX(Input_Usage[[F-CurrentVDO_Input]:[F-NextVDO_Input]],MATCH($D32&amp;" - Off peak",Input_Usage[[Ref]:[Ref]],0),MATCH($D$24,Inputs!$I$131:$M$131,0))),0)),"-")</f>
        <v>847</v>
      </c>
      <c r="G32" s="97">
        <f>IFERROR(
IF($D$24="VDO 2021 - Final",
ROUNDUP(
(INDEX(OP_Rates_RES_2[[Ausnet]:[United Energy]],MATCH("Anytime - supply",OP_Rates_RES_2[[Rate name]:[Rate name]],0),MATCH(OP_CMAB!G$31,OP_Rates_RES_2[[#Headers],[Ausnet]:[United Energy]],0))*DiY)+
(INDEX(OP_RatesTU_RES_2[[Ausnet]:[United Energy]],MATCH("Anytime",OP_RatesTU_RES_2[[Rate name]:[Rate name]],0),MATCH(OP_CMAB!G$31,OP_RatesTU_RES_2[[#Headers],[Ausnet]:[United Energy]],0))*$H$27)+
(IFERROR((INDEX(OP_TotalRates_RES_2[[Ausnet]:[United Energy]],MATCH("Block 1",OP_TotalRates_RES_2[[Rate name]:[Rate name]],0),MATCH(OP_CMAB!G$31,OP_TotalRates_RES_2[[#Headers],[Ausnet]:[United Energy]],0))*
INDEX(Input_Usage[[F-CurrentVDO_Input]:[F-NextVDO_Input]],MATCH(OP_CMAB!$D32&amp;" - Block 1",Input_Usage[[Ref]:[Ref]],0),MATCH(OP_CMAB!$D$24,Inputs!$I$131:$M$131,0))),0)+
IFERROR((INDEX(OP_TotalRates_RES_2[[Ausnet]:[United Energy]],MATCH("Balance",OP_TotalRates_RES_2[[Rate name]:[Rate name]],0),MATCH(OP_CMAB!G$31,OP_TotalRates_RES_2[[#Headers],[Ausnet]:[United Energy]],0))*
INDEX(Input_Usage[[F-CurrentVDO_Input]:[F-NextVDO_Input]],MATCH(OP_CMAB!$D32&amp;" - Balance",Input_Usage[[Ref]:[Ref]],0),MATCH(OP_CMAB!$D$24,Inputs!$I$131:$M$131,0))),0)+
IFERROR((INDEX(OP_TotalRates_RES_2[[Ausnet]:[United Energy]],MATCH("Single rate",OP_TotalRates_RES_2[[Rate name]:[Rate name]],0),MATCH(OP_CMAB!G$31,OP_TotalRates_RES_2[[#Headers],[Ausnet]:[United Energy]],0))*
INDEX(Input_Usage[[F-CurrentVDO_Input]:[F-NextVDO_Input]],MATCH(OP_CMAB!$D32&amp;" - Annual",Input_Usage[[Ref]:[Ref]],0),MATCH(OP_CMAB!$D$24,Inputs!$I$131:$M$131,0))),0)),0),
ROUNDUP(
(INDEX(OP_Rates_RES_2[[Ausnet]:[United Energy]],MATCH("TOU - supply",OP_Rates_RES_2[[Rate name]:[Rate name]],0),MATCH(OP_CMAB!G$31,OP_Rates_RES_2[[#Headers],[Ausnet]:[United Energy]],0))*DiY)+
(INDEX(OP_RatesTU_RES_2[[Ausnet]:[United Energy]],MATCH("TOU",OP_RatesTU_RES_2[[Rate name]:[Rate name]],0),MATCH(OP_CMAB!G$31,OP_RatesTU_RES_2[[#Headers],[Ausnet]:[United Energy]],0))*$H$27)+
(INDEX(OP_TotalRates_RES_2[[Ausnet]:[United Energy]],MATCH("Peak",OP_TotalRates_RES_2[[Rate name]:[Rate name]],0),MATCH(OP_CMAB!G$31,OP_TotalRates_RES_2[[#Headers],[Ausnet]:[United Energy]],0))*
INDEX(Input_Usage[[F-CurrentVDO_Input]:[F-NextVDO_Input]],MATCH($D32&amp;" - Peak",Input_Usage[[Ref]:[Ref]],0),MATCH($D$24,Inputs!$I$131:$M$131,0)))+
IFERROR((INDEX(OP_TotalRates_RES_2[[Ausnet]:[United Energy]],MATCH("TOU - Shoulder",OP_TotalRates_RES_2[[Rate name]:[Rate name]],0),MATCH(OP_CMAB!G$31,OP_TotalRates_RES_2[[#Headers],[Ausnet]:[United Energy]],0))*
INDEX(Input_Usage[[F-CurrentVDO_Input]:[F-NextVDO_Input]],MATCH($D32&amp;" - Shoulder",Input_Usage[[Ref]:[Ref]],0),MATCH($D$24,Inputs!$I$131:$M$131,0))),0)+
(INDEX(OP_TotalRates_RES_2[[Ausnet]:[United Energy]],MATCH("Off peak",OP_TotalRates_RES_2[[Rate name]:[Rate name]],0),MATCH(OP_CMAB!G$31,OP_TotalRates_RES_2[[#Headers],[Ausnet]:[United Energy]],0))*
INDEX(Input_Usage[[F-CurrentVDO_Input]:[F-NextVDO_Input]],MATCH($D32&amp;" - Off peak",Input_Usage[[Ref]:[Ref]],0),MATCH($D$24,Inputs!$I$131:$M$131,0))),0)),"-")</f>
        <v>805</v>
      </c>
      <c r="H32" s="97">
        <f>IFERROR(
IF($D$24="VDO 2021 - Final",
ROUNDUP(
(INDEX(OP_Rates_RES_2[[Ausnet]:[United Energy]],MATCH("Anytime - supply",OP_Rates_RES_2[[Rate name]:[Rate name]],0),MATCH(OP_CMAB!H$31,OP_Rates_RES_2[[#Headers],[Ausnet]:[United Energy]],0))*DiY)+
(INDEX(OP_RatesTU_RES_2[[Ausnet]:[United Energy]],MATCH("Anytime",OP_RatesTU_RES_2[[Rate name]:[Rate name]],0),MATCH(OP_CMAB!H$31,OP_RatesTU_RES_2[[#Headers],[Ausnet]:[United Energy]],0))*$H$27)+
(IFERROR((INDEX(OP_TotalRates_RES_2[[Ausnet]:[United Energy]],MATCH("Block 1",OP_TotalRates_RES_2[[Rate name]:[Rate name]],0),MATCH(OP_CMAB!H$31,OP_TotalRates_RES_2[[#Headers],[Ausnet]:[United Energy]],0))*
INDEX(Input_Usage[[F-CurrentVDO_Input]:[F-NextVDO_Input]],MATCH(OP_CMAB!$D32&amp;" - Block 1",Input_Usage[[Ref]:[Ref]],0),MATCH(OP_CMAB!$D$24,Inputs!$I$131:$M$131,0))),0)+
IFERROR((INDEX(OP_TotalRates_RES_2[[Ausnet]:[United Energy]],MATCH("Balance",OP_TotalRates_RES_2[[Rate name]:[Rate name]],0),MATCH(OP_CMAB!H$31,OP_TotalRates_RES_2[[#Headers],[Ausnet]:[United Energy]],0))*
INDEX(Input_Usage[[F-CurrentVDO_Input]:[F-NextVDO_Input]],MATCH(OP_CMAB!$D32&amp;" - Balance",Input_Usage[[Ref]:[Ref]],0),MATCH(OP_CMAB!$D$24,Inputs!$I$131:$M$131,0))),0)+
IFERROR((INDEX(OP_TotalRates_RES_2[[Ausnet]:[United Energy]],MATCH("Single rate",OP_TotalRates_RES_2[[Rate name]:[Rate name]],0),MATCH(OP_CMAB!H$31,OP_TotalRates_RES_2[[#Headers],[Ausnet]:[United Energy]],0))*
INDEX(Input_Usage[[F-CurrentVDO_Input]:[F-NextVDO_Input]],MATCH(OP_CMAB!$D32&amp;" - Annual",Input_Usage[[Ref]:[Ref]],0),MATCH(OP_CMAB!$D$24,Inputs!$I$131:$M$131,0))),0)),0),
ROUNDUP(
(INDEX(OP_Rates_RES_2[[Ausnet]:[United Energy]],MATCH("TOU - supply",OP_Rates_RES_2[[Rate name]:[Rate name]],0),MATCH(OP_CMAB!H$31,OP_Rates_RES_2[[#Headers],[Ausnet]:[United Energy]],0))*DiY)+
(INDEX(OP_RatesTU_RES_2[[Ausnet]:[United Energy]],MATCH("TOU",OP_RatesTU_RES_2[[Rate name]:[Rate name]],0),MATCH(OP_CMAB!H$31,OP_RatesTU_RES_2[[#Headers],[Ausnet]:[United Energy]],0))*$H$27)+
(INDEX(OP_TotalRates_RES_2[[Ausnet]:[United Energy]],MATCH("Peak",OP_TotalRates_RES_2[[Rate name]:[Rate name]],0),MATCH(OP_CMAB!H$31,OP_TotalRates_RES_2[[#Headers],[Ausnet]:[United Energy]],0))*
INDEX(Input_Usage[[F-CurrentVDO_Input]:[F-NextVDO_Input]],MATCH($D32&amp;" - Peak",Input_Usage[[Ref]:[Ref]],0),MATCH($D$24,Inputs!$I$131:$M$131,0)))+
IFERROR((INDEX(OP_TotalRates_RES_2[[Ausnet]:[United Energy]],MATCH("TOU - Shoulder",OP_TotalRates_RES_2[[Rate name]:[Rate name]],0),MATCH(OP_CMAB!H$31,OP_TotalRates_RES_2[[#Headers],[Ausnet]:[United Energy]],0))*
INDEX(Input_Usage[[F-CurrentVDO_Input]:[F-NextVDO_Input]],MATCH($D32&amp;" - Shoulder",Input_Usage[[Ref]:[Ref]],0),MATCH($D$24,Inputs!$I$131:$M$131,0))),0)+
(INDEX(OP_TotalRates_RES_2[[Ausnet]:[United Energy]],MATCH("Off peak",OP_TotalRates_RES_2[[Rate name]:[Rate name]],0),MATCH(OP_CMAB!H$31,OP_TotalRates_RES_2[[#Headers],[Ausnet]:[United Energy]],0))*
INDEX(Input_Usage[[F-CurrentVDO_Input]:[F-NextVDO_Input]],MATCH($D32&amp;" - Off peak",Input_Usage[[Ref]:[Ref]],0),MATCH($D$24,Inputs!$I$131:$M$131,0))),0)),"-")</f>
        <v>910</v>
      </c>
      <c r="I32" s="97">
        <f>IFERROR(
IF($D$24="VDO 2021 - Final",
ROUNDUP(
(INDEX(OP_Rates_RES_2[[Ausnet]:[United Energy]],MATCH("Anytime - supply",OP_Rates_RES_2[[Rate name]:[Rate name]],0),MATCH(OP_CMAB!I$31,OP_Rates_RES_2[[#Headers],[Ausnet]:[United Energy]],0))*DiY)+
(INDEX(OP_RatesTU_RES_2[[Ausnet]:[United Energy]],MATCH("Anytime",OP_RatesTU_RES_2[[Rate name]:[Rate name]],0),MATCH(OP_CMAB!I$31,OP_RatesTU_RES_2[[#Headers],[Ausnet]:[United Energy]],0))*$H$27)+
(IFERROR((INDEX(OP_TotalRates_RES_2[[Ausnet]:[United Energy]],MATCH("Block 1",OP_TotalRates_RES_2[[Rate name]:[Rate name]],0),MATCH(OP_CMAB!I$31,OP_TotalRates_RES_2[[#Headers],[Ausnet]:[United Energy]],0))*
INDEX(Input_Usage[[F-CurrentVDO_Input]:[F-NextVDO_Input]],MATCH(OP_CMAB!$D32&amp;" - Block 1",Input_Usage[[Ref]:[Ref]],0),MATCH(OP_CMAB!$D$24,Inputs!$I$131:$M$131,0))),0)+
IFERROR((INDEX(OP_TotalRates_RES_2[[Ausnet]:[United Energy]],MATCH("Balance",OP_TotalRates_RES_2[[Rate name]:[Rate name]],0),MATCH(OP_CMAB!I$31,OP_TotalRates_RES_2[[#Headers],[Ausnet]:[United Energy]],0))*
INDEX(Input_Usage[[F-CurrentVDO_Input]:[F-NextVDO_Input]],MATCH(OP_CMAB!$D32&amp;" - Balance",Input_Usage[[Ref]:[Ref]],0),MATCH(OP_CMAB!$D$24,Inputs!$I$131:$M$131,0))),0)+
IFERROR((INDEX(OP_TotalRates_RES_2[[Ausnet]:[United Energy]],MATCH("Single rate",OP_TotalRates_RES_2[[Rate name]:[Rate name]],0),MATCH(OP_CMAB!I$31,OP_TotalRates_RES_2[[#Headers],[Ausnet]:[United Energy]],0))*
INDEX(Input_Usage[[F-CurrentVDO_Input]:[F-NextVDO_Input]],MATCH(OP_CMAB!$D32&amp;" - Annual",Input_Usage[[Ref]:[Ref]],0),MATCH(OP_CMAB!$D$24,Inputs!$I$131:$M$131,0))),0)),0),
ROUNDUP(
(INDEX(OP_Rates_RES_2[[Ausnet]:[United Energy]],MATCH("TOU - supply",OP_Rates_RES_2[[Rate name]:[Rate name]],0),MATCH(OP_CMAB!I$31,OP_Rates_RES_2[[#Headers],[Ausnet]:[United Energy]],0))*DiY)+
(INDEX(OP_RatesTU_RES_2[[Ausnet]:[United Energy]],MATCH("TOU",OP_RatesTU_RES_2[[Rate name]:[Rate name]],0),MATCH(OP_CMAB!I$31,OP_RatesTU_RES_2[[#Headers],[Ausnet]:[United Energy]],0))*$H$27)+
(INDEX(OP_TotalRates_RES_2[[Ausnet]:[United Energy]],MATCH("Peak",OP_TotalRates_RES_2[[Rate name]:[Rate name]],0),MATCH(OP_CMAB!I$31,OP_TotalRates_RES_2[[#Headers],[Ausnet]:[United Energy]],0))*
INDEX(Input_Usage[[F-CurrentVDO_Input]:[F-NextVDO_Input]],MATCH($D32&amp;" - Peak",Input_Usage[[Ref]:[Ref]],0),MATCH($D$24,Inputs!$I$131:$M$131,0)))+
IFERROR((INDEX(OP_TotalRates_RES_2[[Ausnet]:[United Energy]],MATCH("TOU - Shoulder",OP_TotalRates_RES_2[[Rate name]:[Rate name]],0),MATCH(OP_CMAB!I$31,OP_TotalRates_RES_2[[#Headers],[Ausnet]:[United Energy]],0))*
INDEX(Input_Usage[[F-CurrentVDO_Input]:[F-NextVDO_Input]],MATCH($D32&amp;" - Shoulder",Input_Usage[[Ref]:[Ref]],0),MATCH($D$24,Inputs!$I$131:$M$131,0))),0)+
(INDEX(OP_TotalRates_RES_2[[Ausnet]:[United Energy]],MATCH("Off peak",OP_TotalRates_RES_2[[Rate name]:[Rate name]],0),MATCH(OP_CMAB!I$31,OP_TotalRates_RES_2[[#Headers],[Ausnet]:[United Energy]],0))*
INDEX(Input_Usage[[F-CurrentVDO_Input]:[F-NextVDO_Input]],MATCH($D32&amp;" - Off peak",Input_Usage[[Ref]:[Ref]],0),MATCH($D$24,Inputs!$I$131:$M$131,0))),0)),"-")</f>
        <v>820</v>
      </c>
      <c r="K32" s="18" t="s">
        <v>32</v>
      </c>
      <c r="L32" s="18" t="s">
        <v>161</v>
      </c>
      <c r="M32" s="97">
        <f>IFERROR(
IF($D$24="VDO 2021 - Final",
ROUNDUP(
(INDEX(OP_Rates_SME_2[[Ausnet]:[United Energy]],MATCH("Anytime - supply",OP_Rates_SME_2[[Rate name]:[Rate name]],0),MATCH(OP_CMAB!M$31,OP_Rates_SME_2[[#Headers],[Ausnet]:[United Energy]],0))*DiY)+
(INDEX(OP_RatesTU_SME_2[[Ausnet]:[United Energy]],MATCH("Anytime",OP_RatesTU_SME_2[[Rate name]:[Rate name]],0),MATCH(OP_CMAB!M$31,OP_RatesTU_SME_2[[#Headers],[Ausnet]:[United Energy]],0))*$H$27)+
(IFERROR((INDEX(OP_TotalRates_SME_2[[Ausnet]:[United Energy]],MATCH("Block 1",OP_TotalRates_SME_2[[Rate name]:[Rate name]],0),MATCH(OP_CMAB!M$31,OP_TotalRates_SME_2[[#Headers],[Ausnet]:[United Energy]],0))*
INDEX(Input_Usage[[F-CurrentVDO_Input]:[F-NextVDO_Input]],MATCH(OP_CMAB!$L32&amp;" - Block 1",Input_Usage[[Ref]:[Ref]],0),MATCH(OP_CMAB!$D$24,Inputs!$I$131:$M$131,0))),0)+
IFERROR((INDEX(OP_TotalRates_SME_2[[Ausnet]:[United Energy]],MATCH("Balance",OP_TotalRates_SME_2[[Rate name]:[Rate name]],0),MATCH(OP_CMAB!M$31,OP_TotalRates_SME_2[[#Headers],[Ausnet]:[United Energy]],0))*
INDEX(Input_Usage[[F-CurrentVDO_Input]:[F-NextVDO_Input]],MATCH(OP_CMAB!$L32&amp;" - Balance",Input_Usage[[Ref]:[Ref]],0),MATCH(OP_CMAB!$D$24,Inputs!$I$131:$M$131,0))),0)+
IFERROR((INDEX(OP_TotalRates_SME_2[[Ausnet]:[United Energy]],MATCH("Single rate",OP_TotalRates_SME_2[[Rate name]:[Rate name]],0),MATCH(OP_CMAB!M$31,OP_TotalRates_SME_2[[#Headers],[Ausnet]:[United Energy]],0))*
INDEX(Input_Usage[[F-CurrentVDO_Input]:[F-NextVDO_Input]],MATCH(OP_CMAB!$L32&amp;" - Annual",Input_Usage[[Ref]:[Ref]],0),MATCH(OP_CMAB!$D$24,Inputs!$I$131:$M$131,0))),0)),0),
ROUNDUP(
(INDEX(OP_Rates_SME_2[[Ausnet]:[United Energy]],MATCH("TOU - supply",OP_Rates_SME_2[[Rate name]:[Rate name]],0),MATCH(OP_CMAB!M$31,OP_Rates_SME_2[[#Headers],[Ausnet]:[United Energy]],0))*DiY)+
(INDEX(OP_RatesTU_SME_2[[Ausnet]:[United Energy]],MATCH("TOU",OP_RatesTU_SME_2[[Rate name]:[Rate name]],0),MATCH(OP_CMAB!M$31,OP_RatesTU_SME_2[[#Headers],[Ausnet]:[United Energy]],0))*$H$27)+
(INDEX(OP_TotalRates_SME_2[[Ausnet]:[United Energy]],MATCH("Peak",OP_TotalRates_SME_2[[Rate name]:[Rate name]],0),MATCH(OP_CMAB!M$31,OP_TotalRates_SME_2[[#Headers],[Ausnet]:[United Energy]],0))*
INDEX(Input_Usage[[F-CurrentVDO_Input]:[F-NextVDO_Input]],MATCH($L32&amp;" - Peak",Input_Usage[[Ref]:[Ref]],0),MATCH($D$24,Inputs!$I$131:$M$131,0)))+
IFERROR((INDEX(OP_TotalRates_SME_2[[Ausnet]:[United Energy]],MATCH("TOU - Shoulder",OP_TotalRates_SME_2[[Rate name]:[Rate name]],0),MATCH(OP_CMAB!M$31,OP_TotalRates_SME_2[[#Headers],[Ausnet]:[United Energy]],0))*
INDEX(Input_Usage[[F-CurrentVDO_Input]:[F-NextVDO_Input]],MATCH($L32&amp;" - Shoulder",Input_Usage[[Ref]:[Ref]],0),MATCH($D$24,Inputs!$I$131:$M$131,0))),0)+
(INDEX(OP_TotalRates_SME_2[[Ausnet]:[United Energy]],MATCH("Off peak",OP_TotalRates_SME_2[[Rate name]:[Rate name]],0),MATCH(OP_CMAB!M$31,OP_TotalRates_SME_2[[#Headers],[Ausnet]:[United Energy]],0))*
INDEX(Input_Usage[[F-CurrentVDO_Input]:[F-NextVDO_Input]],MATCH($L32&amp;" - Off peak",Input_Usage[[Ref]:[Ref]],0),MATCH($D$24,Inputs!$I$131:$M$131,0))),0)),"-")</f>
        <v>3266</v>
      </c>
      <c r="N32" s="97">
        <f>IFERROR(
IF($D$24="VDO 2021 - Final",
ROUNDUP(
(INDEX(OP_Rates_SME_2[[Ausnet]:[United Energy]],MATCH("Anytime - supply",OP_Rates_SME_2[[Rate name]:[Rate name]],0),MATCH(OP_CMAB!N$31,OP_Rates_SME_2[[#Headers],[Ausnet]:[United Energy]],0))*DiY)+
(INDEX(OP_RatesTU_SME_2[[Ausnet]:[United Energy]],MATCH("Anytime",OP_RatesTU_SME_2[[Rate name]:[Rate name]],0),MATCH(OP_CMAB!N$31,OP_RatesTU_SME_2[[#Headers],[Ausnet]:[United Energy]],0))*$H$27)+
(IFERROR((INDEX(OP_TotalRates_SME_2[[Ausnet]:[United Energy]],MATCH("Block 1",OP_TotalRates_SME_2[[Rate name]:[Rate name]],0),MATCH(OP_CMAB!N$31,OP_TotalRates_SME_2[[#Headers],[Ausnet]:[United Energy]],0))*
INDEX(Input_Usage[[F-CurrentVDO_Input]:[F-NextVDO_Input]],MATCH(OP_CMAB!$L32&amp;" - Block 1",Input_Usage[[Ref]:[Ref]],0),MATCH(OP_CMAB!$D$24,Inputs!$I$131:$M$131,0))),0)+
IFERROR((INDEX(OP_TotalRates_SME_2[[Ausnet]:[United Energy]],MATCH("Balance",OP_TotalRates_SME_2[[Rate name]:[Rate name]],0),MATCH(OP_CMAB!N$31,OP_TotalRates_SME_2[[#Headers],[Ausnet]:[United Energy]],0))*
INDEX(Input_Usage[[F-CurrentVDO_Input]:[F-NextVDO_Input]],MATCH(OP_CMAB!$L32&amp;" - Balance",Input_Usage[[Ref]:[Ref]],0),MATCH(OP_CMAB!$D$24,Inputs!$I$131:$M$131,0))),0)+
IFERROR((INDEX(OP_TotalRates_SME_2[[Ausnet]:[United Energy]],MATCH("Single rate",OP_TotalRates_SME_2[[Rate name]:[Rate name]],0),MATCH(OP_CMAB!N$31,OP_TotalRates_SME_2[[#Headers],[Ausnet]:[United Energy]],0))*
INDEX(Input_Usage[[F-CurrentVDO_Input]:[F-NextVDO_Input]],MATCH(OP_CMAB!$L32&amp;" - Annual",Input_Usage[[Ref]:[Ref]],0),MATCH(OP_CMAB!$D$24,Inputs!$I$131:$M$131,0))),0)),0),
ROUNDUP(
(INDEX(OP_Rates_SME_2[[Ausnet]:[United Energy]],MATCH("TOU - supply",OP_Rates_SME_2[[Rate name]:[Rate name]],0),MATCH(OP_CMAB!N$31,OP_Rates_SME_2[[#Headers],[Ausnet]:[United Energy]],0))*DiY)+
(INDEX(OP_RatesTU_SME_2[[Ausnet]:[United Energy]],MATCH("TOU",OP_RatesTU_SME_2[[Rate name]:[Rate name]],0),MATCH(OP_CMAB!N$31,OP_RatesTU_SME_2[[#Headers],[Ausnet]:[United Energy]],0))*$H$27)+
(INDEX(OP_TotalRates_SME_2[[Ausnet]:[United Energy]],MATCH("Peak",OP_TotalRates_SME_2[[Rate name]:[Rate name]],0),MATCH(OP_CMAB!N$31,OP_TotalRates_SME_2[[#Headers],[Ausnet]:[United Energy]],0))*
INDEX(Input_Usage[[F-CurrentVDO_Input]:[F-NextVDO_Input]],MATCH($L32&amp;" - Peak",Input_Usage[[Ref]:[Ref]],0),MATCH($D$24,Inputs!$I$131:$M$131,0)))+
IFERROR((INDEX(OP_TotalRates_SME_2[[Ausnet]:[United Energy]],MATCH("TOU - Shoulder",OP_TotalRates_SME_2[[Rate name]:[Rate name]],0),MATCH(OP_CMAB!N$31,OP_TotalRates_SME_2[[#Headers],[Ausnet]:[United Energy]],0))*
INDEX(Input_Usage[[F-CurrentVDO_Input]:[F-NextVDO_Input]],MATCH($L32&amp;" - Shoulder",Input_Usage[[Ref]:[Ref]],0),MATCH($D$24,Inputs!$I$131:$M$131,0))),0)+
(INDEX(OP_TotalRates_SME_2[[Ausnet]:[United Energy]],MATCH("Off peak",OP_TotalRates_SME_2[[Rate name]:[Rate name]],0),MATCH(OP_CMAB!N$31,OP_TotalRates_SME_2[[#Headers],[Ausnet]:[United Energy]],0))*
INDEX(Input_Usage[[F-CurrentVDO_Input]:[F-NextVDO_Input]],MATCH($L32&amp;" - Off peak",Input_Usage[[Ref]:[Ref]],0),MATCH($D$24,Inputs!$I$131:$M$131,0))),0)),"-")</f>
        <v>2957</v>
      </c>
      <c r="O32" s="97">
        <f>IFERROR(
IF($D$24="VDO 2021 - Final",
ROUNDUP(
(INDEX(OP_Rates_SME_2[[Ausnet]:[United Energy]],MATCH("Anytime - supply",OP_Rates_SME_2[[Rate name]:[Rate name]],0),MATCH(OP_CMAB!O$31,OP_Rates_SME_2[[#Headers],[Ausnet]:[United Energy]],0))*DiY)+
(INDEX(OP_RatesTU_SME_2[[Ausnet]:[United Energy]],MATCH("Anytime",OP_RatesTU_SME_2[[Rate name]:[Rate name]],0),MATCH(OP_CMAB!O$31,OP_RatesTU_SME_2[[#Headers],[Ausnet]:[United Energy]],0))*$H$27)+
(IFERROR((INDEX(OP_TotalRates_SME_2[[Ausnet]:[United Energy]],MATCH("Block 1",OP_TotalRates_SME_2[[Rate name]:[Rate name]],0),MATCH(OP_CMAB!O$31,OP_TotalRates_SME_2[[#Headers],[Ausnet]:[United Energy]],0))*
INDEX(Input_Usage[[F-CurrentVDO_Input]:[F-NextVDO_Input]],MATCH(OP_CMAB!$L32&amp;" - Block 1",Input_Usage[[Ref]:[Ref]],0),MATCH(OP_CMAB!$D$24,Inputs!$I$131:$M$131,0))),0)+
IFERROR((INDEX(OP_TotalRates_SME_2[[Ausnet]:[United Energy]],MATCH("Balance",OP_TotalRates_SME_2[[Rate name]:[Rate name]],0),MATCH(OP_CMAB!O$31,OP_TotalRates_SME_2[[#Headers],[Ausnet]:[United Energy]],0))*
INDEX(Input_Usage[[F-CurrentVDO_Input]:[F-NextVDO_Input]],MATCH(OP_CMAB!$L32&amp;" - Balance",Input_Usage[[Ref]:[Ref]],0),MATCH(OP_CMAB!$D$24,Inputs!$I$131:$M$131,0))),0)+
IFERROR((INDEX(OP_TotalRates_SME_2[[Ausnet]:[United Energy]],MATCH("Single rate",OP_TotalRates_SME_2[[Rate name]:[Rate name]],0),MATCH(OP_CMAB!O$31,OP_TotalRates_SME_2[[#Headers],[Ausnet]:[United Energy]],0))*
INDEX(Input_Usage[[F-CurrentVDO_Input]:[F-NextVDO_Input]],MATCH(OP_CMAB!$L32&amp;" - Annual",Input_Usage[[Ref]:[Ref]],0),MATCH(OP_CMAB!$D$24,Inputs!$I$131:$M$131,0))),0)),0),
ROUNDUP(
(INDEX(OP_Rates_SME_2[[Ausnet]:[United Energy]],MATCH("TOU - supply",OP_Rates_SME_2[[Rate name]:[Rate name]],0),MATCH(OP_CMAB!O$31,OP_Rates_SME_2[[#Headers],[Ausnet]:[United Energy]],0))*DiY)+
(INDEX(OP_RatesTU_SME_2[[Ausnet]:[United Energy]],MATCH("TOU",OP_RatesTU_SME_2[[Rate name]:[Rate name]],0),MATCH(OP_CMAB!O$31,OP_RatesTU_SME_2[[#Headers],[Ausnet]:[United Energy]],0))*$H$27)+
(INDEX(OP_TotalRates_SME_2[[Ausnet]:[United Energy]],MATCH("Peak",OP_TotalRates_SME_2[[Rate name]:[Rate name]],0),MATCH(OP_CMAB!O$31,OP_TotalRates_SME_2[[#Headers],[Ausnet]:[United Energy]],0))*
INDEX(Input_Usage[[F-CurrentVDO_Input]:[F-NextVDO_Input]],MATCH($L32&amp;" - Peak",Input_Usage[[Ref]:[Ref]],0),MATCH($D$24,Inputs!$I$131:$M$131,0)))+
IFERROR((INDEX(OP_TotalRates_SME_2[[Ausnet]:[United Energy]],MATCH("TOU - Shoulder",OP_TotalRates_SME_2[[Rate name]:[Rate name]],0),MATCH(OP_CMAB!O$31,OP_TotalRates_SME_2[[#Headers],[Ausnet]:[United Energy]],0))*
INDEX(Input_Usage[[F-CurrentVDO_Input]:[F-NextVDO_Input]],MATCH($L32&amp;" - Shoulder",Input_Usage[[Ref]:[Ref]],0),MATCH($D$24,Inputs!$I$131:$M$131,0))),0)+
(INDEX(OP_TotalRates_SME_2[[Ausnet]:[United Energy]],MATCH("Off peak",OP_TotalRates_SME_2[[Rate name]:[Rate name]],0),MATCH(OP_CMAB!O$31,OP_TotalRates_SME_2[[#Headers],[Ausnet]:[United Energy]],0))*
INDEX(Input_Usage[[F-CurrentVDO_Input]:[F-NextVDO_Input]],MATCH($L32&amp;" - Off peak",Input_Usage[[Ref]:[Ref]],0),MATCH($D$24,Inputs!$I$131:$M$131,0))),0)),"-")</f>
        <v>3147</v>
      </c>
      <c r="P32" s="97">
        <f>IFERROR(
IF($D$24="VDO 2021 - Final",
ROUNDUP(
(INDEX(OP_Rates_SME_2[[Ausnet]:[United Energy]],MATCH("Anytime - supply",OP_Rates_SME_2[[Rate name]:[Rate name]],0),MATCH(OP_CMAB!P$31,OP_Rates_SME_2[[#Headers],[Ausnet]:[United Energy]],0))*DiY)+
(INDEX(OP_RatesTU_SME_2[[Ausnet]:[United Energy]],MATCH("Anytime",OP_RatesTU_SME_2[[Rate name]:[Rate name]],0),MATCH(OP_CMAB!P$31,OP_RatesTU_SME_2[[#Headers],[Ausnet]:[United Energy]],0))*$H$27)+
(IFERROR((INDEX(OP_TotalRates_SME_2[[Ausnet]:[United Energy]],MATCH("Block 1",OP_TotalRates_SME_2[[Rate name]:[Rate name]],0),MATCH(OP_CMAB!P$31,OP_TotalRates_SME_2[[#Headers],[Ausnet]:[United Energy]],0))*
INDEX(Input_Usage[[F-CurrentVDO_Input]:[F-NextVDO_Input]],MATCH(OP_CMAB!$L32&amp;" - Block 1",Input_Usage[[Ref]:[Ref]],0),MATCH(OP_CMAB!$D$24,Inputs!$I$131:$M$131,0))),0)+
IFERROR((INDEX(OP_TotalRates_SME_2[[Ausnet]:[United Energy]],MATCH("Balance",OP_TotalRates_SME_2[[Rate name]:[Rate name]],0),MATCH(OP_CMAB!P$31,OP_TotalRates_SME_2[[#Headers],[Ausnet]:[United Energy]],0))*
INDEX(Input_Usage[[F-CurrentVDO_Input]:[F-NextVDO_Input]],MATCH(OP_CMAB!$L32&amp;" - Balance",Input_Usage[[Ref]:[Ref]],0),MATCH(OP_CMAB!$D$24,Inputs!$I$131:$M$131,0))),0)+
IFERROR((INDEX(OP_TotalRates_SME_2[[Ausnet]:[United Energy]],MATCH("Single rate",OP_TotalRates_SME_2[[Rate name]:[Rate name]],0),MATCH(OP_CMAB!P$31,OP_TotalRates_SME_2[[#Headers],[Ausnet]:[United Energy]],0))*
INDEX(Input_Usage[[F-CurrentVDO_Input]:[F-NextVDO_Input]],MATCH(OP_CMAB!$L32&amp;" - Annual",Input_Usage[[Ref]:[Ref]],0),MATCH(OP_CMAB!$D$24,Inputs!$I$131:$M$131,0))),0)),0),
ROUNDUP(
(INDEX(OP_Rates_SME_2[[Ausnet]:[United Energy]],MATCH("TOU - supply",OP_Rates_SME_2[[Rate name]:[Rate name]],0),MATCH(OP_CMAB!P$31,OP_Rates_SME_2[[#Headers],[Ausnet]:[United Energy]],0))*DiY)+
(INDEX(OP_RatesTU_SME_2[[Ausnet]:[United Energy]],MATCH("TOU",OP_RatesTU_SME_2[[Rate name]:[Rate name]],0),MATCH(OP_CMAB!P$31,OP_RatesTU_SME_2[[#Headers],[Ausnet]:[United Energy]],0))*$H$27)+
(INDEX(OP_TotalRates_SME_2[[Ausnet]:[United Energy]],MATCH("Peak",OP_TotalRates_SME_2[[Rate name]:[Rate name]],0),MATCH(OP_CMAB!P$31,OP_TotalRates_SME_2[[#Headers],[Ausnet]:[United Energy]],0))*
INDEX(Input_Usage[[F-CurrentVDO_Input]:[F-NextVDO_Input]],MATCH($L32&amp;" - Peak",Input_Usage[[Ref]:[Ref]],0),MATCH($D$24,Inputs!$I$131:$M$131,0)))+
IFERROR((INDEX(OP_TotalRates_SME_2[[Ausnet]:[United Energy]],MATCH("TOU - Shoulder",OP_TotalRates_SME_2[[Rate name]:[Rate name]],0),MATCH(OP_CMAB!P$31,OP_TotalRates_SME_2[[#Headers],[Ausnet]:[United Energy]],0))*
INDEX(Input_Usage[[F-CurrentVDO_Input]:[F-NextVDO_Input]],MATCH($L32&amp;" - Shoulder",Input_Usage[[Ref]:[Ref]],0),MATCH($D$24,Inputs!$I$131:$M$131,0))),0)+
(INDEX(OP_TotalRates_SME_2[[Ausnet]:[United Energy]],MATCH("Off peak",OP_TotalRates_SME_2[[Rate name]:[Rate name]],0),MATCH(OP_CMAB!P$31,OP_TotalRates_SME_2[[#Headers],[Ausnet]:[United Energy]],0))*
INDEX(Input_Usage[[F-CurrentVDO_Input]:[F-NextVDO_Input]],MATCH($L32&amp;" - Off peak",Input_Usage[[Ref]:[Ref]],0),MATCH($D$24,Inputs!$I$131:$M$131,0))),0)),"-")</f>
        <v>3113</v>
      </c>
      <c r="Q32" s="97">
        <f>IFERROR(
IF($D$24="VDO 2021 - Final",
ROUNDUP(
(INDEX(OP_Rates_SME_2[[Ausnet]:[United Energy]],MATCH("Anytime - supply",OP_Rates_SME_2[[Rate name]:[Rate name]],0),MATCH(OP_CMAB!Q$31,OP_Rates_SME_2[[#Headers],[Ausnet]:[United Energy]],0))*DiY)+
(INDEX(OP_RatesTU_SME_2[[Ausnet]:[United Energy]],MATCH("Anytime",OP_RatesTU_SME_2[[Rate name]:[Rate name]],0),MATCH(OP_CMAB!Q$31,OP_RatesTU_SME_2[[#Headers],[Ausnet]:[United Energy]],0))*$H$27)+
(IFERROR((INDEX(OP_TotalRates_SME_2[[Ausnet]:[United Energy]],MATCH("Block 1",OP_TotalRates_SME_2[[Rate name]:[Rate name]],0),MATCH(OP_CMAB!Q$31,OP_TotalRates_SME_2[[#Headers],[Ausnet]:[United Energy]],0))*
INDEX(Input_Usage[[F-CurrentVDO_Input]:[F-NextVDO_Input]],MATCH(OP_CMAB!$L32&amp;" - Block 1",Input_Usage[[Ref]:[Ref]],0),MATCH(OP_CMAB!$D$24,Inputs!$I$131:$M$131,0))),0)+
IFERROR((INDEX(OP_TotalRates_SME_2[[Ausnet]:[United Energy]],MATCH("Balance",OP_TotalRates_SME_2[[Rate name]:[Rate name]],0),MATCH(OP_CMAB!Q$31,OP_TotalRates_SME_2[[#Headers],[Ausnet]:[United Energy]],0))*
INDEX(Input_Usage[[F-CurrentVDO_Input]:[F-NextVDO_Input]],MATCH(OP_CMAB!$L32&amp;" - Balance",Input_Usage[[Ref]:[Ref]],0),MATCH(OP_CMAB!$D$24,Inputs!$I$131:$M$131,0))),0)+
IFERROR((INDEX(OP_TotalRates_SME_2[[Ausnet]:[United Energy]],MATCH("Single rate",OP_TotalRates_SME_2[[Rate name]:[Rate name]],0),MATCH(OP_CMAB!Q$31,OP_TotalRates_SME_2[[#Headers],[Ausnet]:[United Energy]],0))*
INDEX(Input_Usage[[F-CurrentVDO_Input]:[F-NextVDO_Input]],MATCH(OP_CMAB!$L32&amp;" - Annual",Input_Usage[[Ref]:[Ref]],0),MATCH(OP_CMAB!$D$24,Inputs!$I$131:$M$131,0))),0)),0),
ROUNDUP(
(INDEX(OP_Rates_SME_2[[Ausnet]:[United Energy]],MATCH("TOU - supply",OP_Rates_SME_2[[Rate name]:[Rate name]],0),MATCH(OP_CMAB!Q$31,OP_Rates_SME_2[[#Headers],[Ausnet]:[United Energy]],0))*DiY)+
(INDEX(OP_RatesTU_SME_2[[Ausnet]:[United Energy]],MATCH("TOU",OP_RatesTU_SME_2[[Rate name]:[Rate name]],0),MATCH(OP_CMAB!Q$31,OP_RatesTU_SME_2[[#Headers],[Ausnet]:[United Energy]],0))*$H$27)+
(INDEX(OP_TotalRates_SME_2[[Ausnet]:[United Energy]],MATCH("Peak",OP_TotalRates_SME_2[[Rate name]:[Rate name]],0),MATCH(OP_CMAB!Q$31,OP_TotalRates_SME_2[[#Headers],[Ausnet]:[United Energy]],0))*
INDEX(Input_Usage[[F-CurrentVDO_Input]:[F-NextVDO_Input]],MATCH($L32&amp;" - Peak",Input_Usage[[Ref]:[Ref]],0),MATCH($D$24,Inputs!$I$131:$M$131,0)))+
IFERROR((INDEX(OP_TotalRates_SME_2[[Ausnet]:[United Energy]],MATCH("TOU - Shoulder",OP_TotalRates_SME_2[[Rate name]:[Rate name]],0),MATCH(OP_CMAB!Q$31,OP_TotalRates_SME_2[[#Headers],[Ausnet]:[United Energy]],0))*
INDEX(Input_Usage[[F-CurrentVDO_Input]:[F-NextVDO_Input]],MATCH($L32&amp;" - Shoulder",Input_Usage[[Ref]:[Ref]],0),MATCH($D$24,Inputs!$I$131:$M$131,0))),0)+
(INDEX(OP_TotalRates_SME_2[[Ausnet]:[United Energy]],MATCH("Off peak",OP_TotalRates_SME_2[[Rate name]:[Rate name]],0),MATCH(OP_CMAB!Q$31,OP_TotalRates_SME_2[[#Headers],[Ausnet]:[United Energy]],0))*
INDEX(Input_Usage[[F-CurrentVDO_Input]:[F-NextVDO_Input]],MATCH($L32&amp;" - Off peak",Input_Usage[[Ref]:[Ref]],0),MATCH($D$24,Inputs!$I$131:$M$131,0))),0)),"-")</f>
        <v>2983</v>
      </c>
    </row>
    <row r="33" spans="1:18" x14ac:dyDescent="0.25">
      <c r="C33" s="18" t="s">
        <v>31</v>
      </c>
      <c r="D33" s="18" t="s">
        <v>159</v>
      </c>
      <c r="E33" s="97">
        <f>IFERROR(
IF($D$24="VDO 2021 - Final",
ROUNDUP(
(INDEX(OP_Rates_RES_2[[Ausnet]:[United Energy]],MATCH("Anytime - supply",OP_Rates_RES_2[[Rate name]:[Rate name]],0),MATCH(OP_CMAB!E$31,OP_Rates_RES_2[[#Headers],[Ausnet]:[United Energy]],0))*DiY)+
(INDEX(OP_RatesTU_RES_2[[Ausnet]:[United Energy]],MATCH("Anytime",OP_RatesTU_RES_2[[Rate name]:[Rate name]],0),MATCH(OP_CMAB!E$31,OP_RatesTU_RES_2[[#Headers],[Ausnet]:[United Energy]],0))*$H$27)+
(IFERROR((INDEX(OP_TotalRates_RES_2[[Ausnet]:[United Energy]],MATCH("Block 1",OP_TotalRates_RES_2[[Rate name]:[Rate name]],0),MATCH(OP_CMAB!E$31,OP_TotalRates_RES_2[[#Headers],[Ausnet]:[United Energy]],0))*
INDEX(Input_Usage[[F-CurrentVDO_Input]:[F-NextVDO_Input]],MATCH(OP_CMAB!$D33&amp;" - Block 1",Input_Usage[[Ref]:[Ref]],0),MATCH(OP_CMAB!$D$24,Inputs!$I$131:$M$131,0))),0)+
IFERROR((INDEX(OP_TotalRates_RES_2[[Ausnet]:[United Energy]],MATCH("Balance",OP_TotalRates_RES_2[[Rate name]:[Rate name]],0),MATCH(OP_CMAB!E$31,OP_TotalRates_RES_2[[#Headers],[Ausnet]:[United Energy]],0))*
INDEX(Input_Usage[[F-CurrentVDO_Input]:[F-NextVDO_Input]],MATCH(OP_CMAB!$D33&amp;" - Balance",Input_Usage[[Ref]:[Ref]],0),MATCH(OP_CMAB!$D$24,Inputs!$I$131:$M$131,0))),0)+
IFERROR((INDEX(OP_TotalRates_RES_2[[Ausnet]:[United Energy]],MATCH("Single rate",OP_TotalRates_RES_2[[Rate name]:[Rate name]],0),MATCH(OP_CMAB!E$31,OP_TotalRates_RES_2[[#Headers],[Ausnet]:[United Energy]],0))*
INDEX(Input_Usage[[F-CurrentVDO_Input]:[F-NextVDO_Input]],MATCH(OP_CMAB!$D33&amp;" - Annual",Input_Usage[[Ref]:[Ref]],0),MATCH(OP_CMAB!$D$24,Inputs!$I$131:$M$131,0))),0)),0),
ROUNDUP(
(INDEX(OP_Rates_RES_2[[Ausnet]:[United Energy]],MATCH("TOU - supply",OP_Rates_RES_2[[Rate name]:[Rate name]],0),MATCH(OP_CMAB!E$31,OP_Rates_RES_2[[#Headers],[Ausnet]:[United Energy]],0))*DiY)+
(INDEX(OP_RatesTU_RES_2[[Ausnet]:[United Energy]],MATCH("TOU",OP_RatesTU_RES_2[[Rate name]:[Rate name]],0),MATCH(OP_CMAB!E$31,OP_RatesTU_RES_2[[#Headers],[Ausnet]:[United Energy]],0))*$H$27)+
(INDEX(OP_TotalRates_RES_2[[Ausnet]:[United Energy]],MATCH("Peak",OP_TotalRates_RES_2[[Rate name]:[Rate name]],0),MATCH(OP_CMAB!E$31,OP_TotalRates_RES_2[[#Headers],[Ausnet]:[United Energy]],0))*
INDEX(Input_Usage[[F-CurrentVDO_Input]:[F-NextVDO_Input]],MATCH($D33&amp;" - Peak",Input_Usage[[Ref]:[Ref]],0),MATCH($D$24,Inputs!$I$131:$M$131,0)))+
IFERROR((INDEX(OP_TotalRates_RES_2[[Ausnet]:[United Energy]],MATCH("TOU - Shoulder",OP_TotalRates_RES_2[[Rate name]:[Rate name]],0),MATCH(OP_CMAB!E$31,OP_TotalRates_RES_2[[#Headers],[Ausnet]:[United Energy]],0))*
INDEX(Input_Usage[[F-CurrentVDO_Input]:[F-NextVDO_Input]],MATCH($D33&amp;" - Shoulder",Input_Usage[[Ref]:[Ref]],0),MATCH($D$24,Inputs!$I$131:$M$131,0))),0)+
(INDEX(OP_TotalRates_RES_2[[Ausnet]:[United Energy]],MATCH("Off peak",OP_TotalRates_RES_2[[Rate name]:[Rate name]],0),MATCH(OP_CMAB!E$31,OP_TotalRates_RES_2[[#Headers],[Ausnet]:[United Energy]],0))*
INDEX(Input_Usage[[F-CurrentVDO_Input]:[F-NextVDO_Input]],MATCH($D33&amp;" - Off peak",Input_Usage[[Ref]:[Ref]],0),MATCH($D$24,Inputs!$I$131:$M$131,0))),0)),"-")</f>
        <v>1389</v>
      </c>
      <c r="F33" s="97">
        <f>IFERROR(
IF($D$24="VDO 2021 - Final",
ROUNDUP(
(INDEX(OP_Rates_RES_2[[Ausnet]:[United Energy]],MATCH("Anytime - supply",OP_Rates_RES_2[[Rate name]:[Rate name]],0),MATCH(OP_CMAB!F$31,OP_Rates_RES_2[[#Headers],[Ausnet]:[United Energy]],0))*DiY)+
(INDEX(OP_RatesTU_RES_2[[Ausnet]:[United Energy]],MATCH("Anytime",OP_RatesTU_RES_2[[Rate name]:[Rate name]],0),MATCH(OP_CMAB!F$31,OP_RatesTU_RES_2[[#Headers],[Ausnet]:[United Energy]],0))*$H$27)+
(IFERROR((INDEX(OP_TotalRates_RES_2[[Ausnet]:[United Energy]],MATCH("Block 1",OP_TotalRates_RES_2[[Rate name]:[Rate name]],0),MATCH(OP_CMAB!F$31,OP_TotalRates_RES_2[[#Headers],[Ausnet]:[United Energy]],0))*
INDEX(Input_Usage[[F-CurrentVDO_Input]:[F-NextVDO_Input]],MATCH(OP_CMAB!$D33&amp;" - Block 1",Input_Usage[[Ref]:[Ref]],0),MATCH(OP_CMAB!$D$24,Inputs!$I$131:$M$131,0))),0)+
IFERROR((INDEX(OP_TotalRates_RES_2[[Ausnet]:[United Energy]],MATCH("Balance",OP_TotalRates_RES_2[[Rate name]:[Rate name]],0),MATCH(OP_CMAB!F$31,OP_TotalRates_RES_2[[#Headers],[Ausnet]:[United Energy]],0))*
INDEX(Input_Usage[[F-CurrentVDO_Input]:[F-NextVDO_Input]],MATCH(OP_CMAB!$D33&amp;" - Balance",Input_Usage[[Ref]:[Ref]],0),MATCH(OP_CMAB!$D$24,Inputs!$I$131:$M$131,0))),0)+
IFERROR((INDEX(OP_TotalRates_RES_2[[Ausnet]:[United Energy]],MATCH("Single rate",OP_TotalRates_RES_2[[Rate name]:[Rate name]],0),MATCH(OP_CMAB!F$31,OP_TotalRates_RES_2[[#Headers],[Ausnet]:[United Energy]],0))*
INDEX(Input_Usage[[F-CurrentVDO_Input]:[F-NextVDO_Input]],MATCH(OP_CMAB!$D33&amp;" - Annual",Input_Usage[[Ref]:[Ref]],0),MATCH(OP_CMAB!$D$24,Inputs!$I$131:$M$131,0))),0)),0),
ROUNDUP(
(INDEX(OP_Rates_RES_2[[Ausnet]:[United Energy]],MATCH("TOU - supply",OP_Rates_RES_2[[Rate name]:[Rate name]],0),MATCH(OP_CMAB!F$31,OP_Rates_RES_2[[#Headers],[Ausnet]:[United Energy]],0))*DiY)+
(INDEX(OP_RatesTU_RES_2[[Ausnet]:[United Energy]],MATCH("TOU",OP_RatesTU_RES_2[[Rate name]:[Rate name]],0),MATCH(OP_CMAB!F$31,OP_RatesTU_RES_2[[#Headers],[Ausnet]:[United Energy]],0))*$H$27)+
(INDEX(OP_TotalRates_RES_2[[Ausnet]:[United Energy]],MATCH("Peak",OP_TotalRates_RES_2[[Rate name]:[Rate name]],0),MATCH(OP_CMAB!F$31,OP_TotalRates_RES_2[[#Headers],[Ausnet]:[United Energy]],0))*
INDEX(Input_Usage[[F-CurrentVDO_Input]:[F-NextVDO_Input]],MATCH($D33&amp;" - Peak",Input_Usage[[Ref]:[Ref]],0),MATCH($D$24,Inputs!$I$131:$M$131,0)))+
IFERROR((INDEX(OP_TotalRates_RES_2[[Ausnet]:[United Energy]],MATCH("TOU - Shoulder",OP_TotalRates_RES_2[[Rate name]:[Rate name]],0),MATCH(OP_CMAB!F$31,OP_TotalRates_RES_2[[#Headers],[Ausnet]:[United Energy]],0))*
INDEX(Input_Usage[[F-CurrentVDO_Input]:[F-NextVDO_Input]],MATCH($D33&amp;" - Shoulder",Input_Usage[[Ref]:[Ref]],0),MATCH($D$24,Inputs!$I$131:$M$131,0))),0)+
(INDEX(OP_TotalRates_RES_2[[Ausnet]:[United Energy]],MATCH("Off peak",OP_TotalRates_RES_2[[Rate name]:[Rate name]],0),MATCH(OP_CMAB!F$31,OP_TotalRates_RES_2[[#Headers],[Ausnet]:[United Energy]],0))*
INDEX(Input_Usage[[F-CurrentVDO_Input]:[F-NextVDO_Input]],MATCH($D33&amp;" - Off peak",Input_Usage[[Ref]:[Ref]],0),MATCH($D$24,Inputs!$I$131:$M$131,0))),0)),"-")</f>
        <v>1267</v>
      </c>
      <c r="G33" s="97">
        <f>IFERROR(
IF($D$24="VDO 2021 - Final",
ROUNDUP(
(INDEX(OP_Rates_RES_2[[Ausnet]:[United Energy]],MATCH("Anytime - supply",OP_Rates_RES_2[[Rate name]:[Rate name]],0),MATCH(OP_CMAB!G$31,OP_Rates_RES_2[[#Headers],[Ausnet]:[United Energy]],0))*DiY)+
(INDEX(OP_RatesTU_RES_2[[Ausnet]:[United Energy]],MATCH("Anytime",OP_RatesTU_RES_2[[Rate name]:[Rate name]],0),MATCH(OP_CMAB!G$31,OP_RatesTU_RES_2[[#Headers],[Ausnet]:[United Energy]],0))*$H$27)+
(IFERROR((INDEX(OP_TotalRates_RES_2[[Ausnet]:[United Energy]],MATCH("Block 1",OP_TotalRates_RES_2[[Rate name]:[Rate name]],0),MATCH(OP_CMAB!G$31,OP_TotalRates_RES_2[[#Headers],[Ausnet]:[United Energy]],0))*
INDEX(Input_Usage[[F-CurrentVDO_Input]:[F-NextVDO_Input]],MATCH(OP_CMAB!$D33&amp;" - Block 1",Input_Usage[[Ref]:[Ref]],0),MATCH(OP_CMAB!$D$24,Inputs!$I$131:$M$131,0))),0)+
IFERROR((INDEX(OP_TotalRates_RES_2[[Ausnet]:[United Energy]],MATCH("Balance",OP_TotalRates_RES_2[[Rate name]:[Rate name]],0),MATCH(OP_CMAB!G$31,OP_TotalRates_RES_2[[#Headers],[Ausnet]:[United Energy]],0))*
INDEX(Input_Usage[[F-CurrentVDO_Input]:[F-NextVDO_Input]],MATCH(OP_CMAB!$D33&amp;" - Balance",Input_Usage[[Ref]:[Ref]],0),MATCH(OP_CMAB!$D$24,Inputs!$I$131:$M$131,0))),0)+
IFERROR((INDEX(OP_TotalRates_RES_2[[Ausnet]:[United Energy]],MATCH("Single rate",OP_TotalRates_RES_2[[Rate name]:[Rate name]],0),MATCH(OP_CMAB!G$31,OP_TotalRates_RES_2[[#Headers],[Ausnet]:[United Energy]],0))*
INDEX(Input_Usage[[F-CurrentVDO_Input]:[F-NextVDO_Input]],MATCH(OP_CMAB!$D33&amp;" - Annual",Input_Usage[[Ref]:[Ref]],0),MATCH(OP_CMAB!$D$24,Inputs!$I$131:$M$131,0))),0)),0),
ROUNDUP(
(INDEX(OP_Rates_RES_2[[Ausnet]:[United Energy]],MATCH("TOU - supply",OP_Rates_RES_2[[Rate name]:[Rate name]],0),MATCH(OP_CMAB!G$31,OP_Rates_RES_2[[#Headers],[Ausnet]:[United Energy]],0))*DiY)+
(INDEX(OP_RatesTU_RES_2[[Ausnet]:[United Energy]],MATCH("TOU",OP_RatesTU_RES_2[[Rate name]:[Rate name]],0),MATCH(OP_CMAB!G$31,OP_RatesTU_RES_2[[#Headers],[Ausnet]:[United Energy]],0))*$H$27)+
(INDEX(OP_TotalRates_RES_2[[Ausnet]:[United Energy]],MATCH("Peak",OP_TotalRates_RES_2[[Rate name]:[Rate name]],0),MATCH(OP_CMAB!G$31,OP_TotalRates_RES_2[[#Headers],[Ausnet]:[United Energy]],0))*
INDEX(Input_Usage[[F-CurrentVDO_Input]:[F-NextVDO_Input]],MATCH($D33&amp;" - Peak",Input_Usage[[Ref]:[Ref]],0),MATCH($D$24,Inputs!$I$131:$M$131,0)))+
IFERROR((INDEX(OP_TotalRates_RES_2[[Ausnet]:[United Energy]],MATCH("TOU - Shoulder",OP_TotalRates_RES_2[[Rate name]:[Rate name]],0),MATCH(OP_CMAB!G$31,OP_TotalRates_RES_2[[#Headers],[Ausnet]:[United Energy]],0))*
INDEX(Input_Usage[[F-CurrentVDO_Input]:[F-NextVDO_Input]],MATCH($D33&amp;" - Shoulder",Input_Usage[[Ref]:[Ref]],0),MATCH($D$24,Inputs!$I$131:$M$131,0))),0)+
(INDEX(OP_TotalRates_RES_2[[Ausnet]:[United Energy]],MATCH("Off peak",OP_TotalRates_RES_2[[Rate name]:[Rate name]],0),MATCH(OP_CMAB!G$31,OP_TotalRates_RES_2[[#Headers],[Ausnet]:[United Energy]],0))*
INDEX(Input_Usage[[F-CurrentVDO_Input]:[F-NextVDO_Input]],MATCH($D33&amp;" - Off peak",Input_Usage[[Ref]:[Ref]],0),MATCH($D$24,Inputs!$I$131:$M$131,0))),0)),"-")</f>
        <v>1218</v>
      </c>
      <c r="H33" s="97">
        <f>IFERROR(
IF($D$24="VDO 2021 - Final",
ROUNDUP(
(INDEX(OP_Rates_RES_2[[Ausnet]:[United Energy]],MATCH("Anytime - supply",OP_Rates_RES_2[[Rate name]:[Rate name]],0),MATCH(OP_CMAB!H$31,OP_Rates_RES_2[[#Headers],[Ausnet]:[United Energy]],0))*DiY)+
(INDEX(OP_RatesTU_RES_2[[Ausnet]:[United Energy]],MATCH("Anytime",OP_RatesTU_RES_2[[Rate name]:[Rate name]],0),MATCH(OP_CMAB!H$31,OP_RatesTU_RES_2[[#Headers],[Ausnet]:[United Energy]],0))*$H$27)+
(IFERROR((INDEX(OP_TotalRates_RES_2[[Ausnet]:[United Energy]],MATCH("Block 1",OP_TotalRates_RES_2[[Rate name]:[Rate name]],0),MATCH(OP_CMAB!H$31,OP_TotalRates_RES_2[[#Headers],[Ausnet]:[United Energy]],0))*
INDEX(Input_Usage[[F-CurrentVDO_Input]:[F-NextVDO_Input]],MATCH(OP_CMAB!$D33&amp;" - Block 1",Input_Usage[[Ref]:[Ref]],0),MATCH(OP_CMAB!$D$24,Inputs!$I$131:$M$131,0))),0)+
IFERROR((INDEX(OP_TotalRates_RES_2[[Ausnet]:[United Energy]],MATCH("Balance",OP_TotalRates_RES_2[[Rate name]:[Rate name]],0),MATCH(OP_CMAB!H$31,OP_TotalRates_RES_2[[#Headers],[Ausnet]:[United Energy]],0))*
INDEX(Input_Usage[[F-CurrentVDO_Input]:[F-NextVDO_Input]],MATCH(OP_CMAB!$D33&amp;" - Balance",Input_Usage[[Ref]:[Ref]],0),MATCH(OP_CMAB!$D$24,Inputs!$I$131:$M$131,0))),0)+
IFERROR((INDEX(OP_TotalRates_RES_2[[Ausnet]:[United Energy]],MATCH("Single rate",OP_TotalRates_RES_2[[Rate name]:[Rate name]],0),MATCH(OP_CMAB!H$31,OP_TotalRates_RES_2[[#Headers],[Ausnet]:[United Energy]],0))*
INDEX(Input_Usage[[F-CurrentVDO_Input]:[F-NextVDO_Input]],MATCH(OP_CMAB!$D33&amp;" - Annual",Input_Usage[[Ref]:[Ref]],0),MATCH(OP_CMAB!$D$24,Inputs!$I$131:$M$131,0))),0)),0),
ROUNDUP(
(INDEX(OP_Rates_RES_2[[Ausnet]:[United Energy]],MATCH("TOU - supply",OP_Rates_RES_2[[Rate name]:[Rate name]],0),MATCH(OP_CMAB!H$31,OP_Rates_RES_2[[#Headers],[Ausnet]:[United Energy]],0))*DiY)+
(INDEX(OP_RatesTU_RES_2[[Ausnet]:[United Energy]],MATCH("TOU",OP_RatesTU_RES_2[[Rate name]:[Rate name]],0),MATCH(OP_CMAB!H$31,OP_RatesTU_RES_2[[#Headers],[Ausnet]:[United Energy]],0))*$H$27)+
(INDEX(OP_TotalRates_RES_2[[Ausnet]:[United Energy]],MATCH("Peak",OP_TotalRates_RES_2[[Rate name]:[Rate name]],0),MATCH(OP_CMAB!H$31,OP_TotalRates_RES_2[[#Headers],[Ausnet]:[United Energy]],0))*
INDEX(Input_Usage[[F-CurrentVDO_Input]:[F-NextVDO_Input]],MATCH($D33&amp;" - Peak",Input_Usage[[Ref]:[Ref]],0),MATCH($D$24,Inputs!$I$131:$M$131,0)))+
IFERROR((INDEX(OP_TotalRates_RES_2[[Ausnet]:[United Energy]],MATCH("TOU - Shoulder",OP_TotalRates_RES_2[[Rate name]:[Rate name]],0),MATCH(OP_CMAB!H$31,OP_TotalRates_RES_2[[#Headers],[Ausnet]:[United Energy]],0))*
INDEX(Input_Usage[[F-CurrentVDO_Input]:[F-NextVDO_Input]],MATCH($D33&amp;" - Shoulder",Input_Usage[[Ref]:[Ref]],0),MATCH($D$24,Inputs!$I$131:$M$131,0))),0)+
(INDEX(OP_TotalRates_RES_2[[Ausnet]:[United Energy]],MATCH("Off peak",OP_TotalRates_RES_2[[Rate name]:[Rate name]],0),MATCH(OP_CMAB!H$31,OP_TotalRates_RES_2[[#Headers],[Ausnet]:[United Energy]],0))*
INDEX(Input_Usage[[F-CurrentVDO_Input]:[F-NextVDO_Input]],MATCH($D33&amp;" - Off peak",Input_Usage[[Ref]:[Ref]],0),MATCH($D$24,Inputs!$I$131:$M$131,0))),0)),"-")</f>
        <v>1339</v>
      </c>
      <c r="I33" s="97">
        <f>IFERROR(
IF($D$24="VDO 2021 - Final",
ROUNDUP(
(INDEX(OP_Rates_RES_2[[Ausnet]:[United Energy]],MATCH("Anytime - supply",OP_Rates_RES_2[[Rate name]:[Rate name]],0),MATCH(OP_CMAB!I$31,OP_Rates_RES_2[[#Headers],[Ausnet]:[United Energy]],0))*DiY)+
(INDEX(OP_RatesTU_RES_2[[Ausnet]:[United Energy]],MATCH("Anytime",OP_RatesTU_RES_2[[Rate name]:[Rate name]],0),MATCH(OP_CMAB!I$31,OP_RatesTU_RES_2[[#Headers],[Ausnet]:[United Energy]],0))*$H$27)+
(IFERROR((INDEX(OP_TotalRates_RES_2[[Ausnet]:[United Energy]],MATCH("Block 1",OP_TotalRates_RES_2[[Rate name]:[Rate name]],0),MATCH(OP_CMAB!I$31,OP_TotalRates_RES_2[[#Headers],[Ausnet]:[United Energy]],0))*
INDEX(Input_Usage[[F-CurrentVDO_Input]:[F-NextVDO_Input]],MATCH(OP_CMAB!$D33&amp;" - Block 1",Input_Usage[[Ref]:[Ref]],0),MATCH(OP_CMAB!$D$24,Inputs!$I$131:$M$131,0))),0)+
IFERROR((INDEX(OP_TotalRates_RES_2[[Ausnet]:[United Energy]],MATCH("Balance",OP_TotalRates_RES_2[[Rate name]:[Rate name]],0),MATCH(OP_CMAB!I$31,OP_TotalRates_RES_2[[#Headers],[Ausnet]:[United Energy]],0))*
INDEX(Input_Usage[[F-CurrentVDO_Input]:[F-NextVDO_Input]],MATCH(OP_CMAB!$D33&amp;" - Balance",Input_Usage[[Ref]:[Ref]],0),MATCH(OP_CMAB!$D$24,Inputs!$I$131:$M$131,0))),0)+
IFERROR((INDEX(OP_TotalRates_RES_2[[Ausnet]:[United Energy]],MATCH("Single rate",OP_TotalRates_RES_2[[Rate name]:[Rate name]],0),MATCH(OP_CMAB!I$31,OP_TotalRates_RES_2[[#Headers],[Ausnet]:[United Energy]],0))*
INDEX(Input_Usage[[F-CurrentVDO_Input]:[F-NextVDO_Input]],MATCH(OP_CMAB!$D33&amp;" - Annual",Input_Usage[[Ref]:[Ref]],0),MATCH(OP_CMAB!$D$24,Inputs!$I$131:$M$131,0))),0)),0),
ROUNDUP(
(INDEX(OP_Rates_RES_2[[Ausnet]:[United Energy]],MATCH("TOU - supply",OP_Rates_RES_2[[Rate name]:[Rate name]],0),MATCH(OP_CMAB!I$31,OP_Rates_RES_2[[#Headers],[Ausnet]:[United Energy]],0))*DiY)+
(INDEX(OP_RatesTU_RES_2[[Ausnet]:[United Energy]],MATCH("TOU",OP_RatesTU_RES_2[[Rate name]:[Rate name]],0),MATCH(OP_CMAB!I$31,OP_RatesTU_RES_2[[#Headers],[Ausnet]:[United Energy]],0))*$H$27)+
(INDEX(OP_TotalRates_RES_2[[Ausnet]:[United Energy]],MATCH("Peak",OP_TotalRates_RES_2[[Rate name]:[Rate name]],0),MATCH(OP_CMAB!I$31,OP_TotalRates_RES_2[[#Headers],[Ausnet]:[United Energy]],0))*
INDEX(Input_Usage[[F-CurrentVDO_Input]:[F-NextVDO_Input]],MATCH($D33&amp;" - Peak",Input_Usage[[Ref]:[Ref]],0),MATCH($D$24,Inputs!$I$131:$M$131,0)))+
IFERROR((INDEX(OP_TotalRates_RES_2[[Ausnet]:[United Energy]],MATCH("TOU - Shoulder",OP_TotalRates_RES_2[[Rate name]:[Rate name]],0),MATCH(OP_CMAB!I$31,OP_TotalRates_RES_2[[#Headers],[Ausnet]:[United Energy]],0))*
INDEX(Input_Usage[[F-CurrentVDO_Input]:[F-NextVDO_Input]],MATCH($D33&amp;" - Shoulder",Input_Usage[[Ref]:[Ref]],0),MATCH($D$24,Inputs!$I$131:$M$131,0))),0)+
(INDEX(OP_TotalRates_RES_2[[Ausnet]:[United Energy]],MATCH("Off peak",OP_TotalRates_RES_2[[Rate name]:[Rate name]],0),MATCH(OP_CMAB!I$31,OP_TotalRates_RES_2[[#Headers],[Ausnet]:[United Energy]],0))*
INDEX(Input_Usage[[F-CurrentVDO_Input]:[F-NextVDO_Input]],MATCH($D33&amp;" - Off peak",Input_Usage[[Ref]:[Ref]],0),MATCH($D$24,Inputs!$I$131:$M$131,0))),0)),"-")</f>
        <v>1254</v>
      </c>
      <c r="K33" s="18" t="s">
        <v>32</v>
      </c>
      <c r="L33" s="18" t="s">
        <v>162</v>
      </c>
      <c r="M33" s="97">
        <f>IFERROR(
IF($D$24="VDO 2021 - Final",
ROUNDUP(
(INDEX(OP_Rates_SME_2[[Ausnet]:[United Energy]],MATCH("Anytime - supply",OP_Rates_SME_2[[Rate name]:[Rate name]],0),MATCH(OP_CMAB!M$31,OP_Rates_SME_2[[#Headers],[Ausnet]:[United Energy]],0))*DiY)+
(INDEX(OP_RatesTU_SME_2[[Ausnet]:[United Energy]],MATCH("Anytime",OP_RatesTU_SME_2[[Rate name]:[Rate name]],0),MATCH(OP_CMAB!M$31,OP_RatesTU_SME_2[[#Headers],[Ausnet]:[United Energy]],0))*$H$27)+
(IFERROR((INDEX(OP_TotalRates_SME_2[[Ausnet]:[United Energy]],MATCH("Block 1",OP_TotalRates_SME_2[[Rate name]:[Rate name]],0),MATCH(OP_CMAB!M$31,OP_TotalRates_SME_2[[#Headers],[Ausnet]:[United Energy]],0))*
INDEX(Input_Usage[[F-CurrentVDO_Input]:[F-NextVDO_Input]],MATCH(OP_CMAB!$L33&amp;" - Block 1",Input_Usage[[Ref]:[Ref]],0),MATCH(OP_CMAB!$D$24,Inputs!$I$131:$M$131,0))),0)+
IFERROR((INDEX(OP_TotalRates_SME_2[[Ausnet]:[United Energy]],MATCH("Balance",OP_TotalRates_SME_2[[Rate name]:[Rate name]],0),MATCH(OP_CMAB!M$31,OP_TotalRates_SME_2[[#Headers],[Ausnet]:[United Energy]],0))*
INDEX(Input_Usage[[F-CurrentVDO_Input]:[F-NextVDO_Input]],MATCH(OP_CMAB!$L33&amp;" - Balance",Input_Usage[[Ref]:[Ref]],0),MATCH(OP_CMAB!$D$24,Inputs!$I$131:$M$131,0))),0)+
IFERROR((INDEX(OP_TotalRates_SME_2[[Ausnet]:[United Energy]],MATCH("Single rate",OP_TotalRates_SME_2[[Rate name]:[Rate name]],0),MATCH(OP_CMAB!M$31,OP_TotalRates_SME_2[[#Headers],[Ausnet]:[United Energy]],0))*
INDEX(Input_Usage[[F-CurrentVDO_Input]:[F-NextVDO_Input]],MATCH(OP_CMAB!$L33&amp;" - Annual",Input_Usage[[Ref]:[Ref]],0),MATCH(OP_CMAB!$D$24,Inputs!$I$131:$M$131,0))),0)),0),
ROUNDUP(
(INDEX(OP_Rates_SME_2[[Ausnet]:[United Energy]],MATCH("TOU - supply",OP_Rates_SME_2[[Rate name]:[Rate name]],0),MATCH(OP_CMAB!M$31,OP_Rates_SME_2[[#Headers],[Ausnet]:[United Energy]],0))*DiY)+
(INDEX(OP_RatesTU_SME_2[[Ausnet]:[United Energy]],MATCH("TOU",OP_RatesTU_SME_2[[Rate name]:[Rate name]],0),MATCH(OP_CMAB!M$31,OP_RatesTU_SME_2[[#Headers],[Ausnet]:[United Energy]],0))*$H$27)+
(INDEX(OP_TotalRates_SME_2[[Ausnet]:[United Energy]],MATCH("Peak",OP_TotalRates_SME_2[[Rate name]:[Rate name]],0),MATCH(OP_CMAB!M$31,OP_TotalRates_SME_2[[#Headers],[Ausnet]:[United Energy]],0))*
INDEX(Input_Usage[[F-CurrentVDO_Input]:[F-NextVDO_Input]],MATCH($L33&amp;" - Peak",Input_Usage[[Ref]:[Ref]],0),MATCH($D$24,Inputs!$I$131:$M$131,0)))+
IFERROR((INDEX(OP_TotalRates_SME_2[[Ausnet]:[United Energy]],MATCH("TOU - Shoulder",OP_TotalRates_SME_2[[Rate name]:[Rate name]],0),MATCH(OP_CMAB!M$31,OP_TotalRates_SME_2[[#Headers],[Ausnet]:[United Energy]],0))*
INDEX(Input_Usage[[F-CurrentVDO_Input]:[F-NextVDO_Input]],MATCH($L33&amp;" - Shoulder",Input_Usage[[Ref]:[Ref]],0),MATCH($D$24,Inputs!$I$131:$M$131,0))),0)+
(INDEX(OP_TotalRates_SME_2[[Ausnet]:[United Energy]],MATCH("Off peak",OP_TotalRates_SME_2[[Rate name]:[Rate name]],0),MATCH(OP_CMAB!M$31,OP_TotalRates_SME_2[[#Headers],[Ausnet]:[United Energy]],0))*
INDEX(Input_Usage[[F-CurrentVDO_Input]:[F-NextVDO_Input]],MATCH($L33&amp;" - Off peak",Input_Usage[[Ref]:[Ref]],0),MATCH($D$24,Inputs!$I$131:$M$131,0))),0)),"-")</f>
        <v>5182</v>
      </c>
      <c r="N33" s="97">
        <f>IFERROR(
IF($D$24="VDO 2021 - Final",
ROUNDUP(
(INDEX(OP_Rates_SME_2[[Ausnet]:[United Energy]],MATCH("Anytime - supply",OP_Rates_SME_2[[Rate name]:[Rate name]],0),MATCH(OP_CMAB!N$31,OP_Rates_SME_2[[#Headers],[Ausnet]:[United Energy]],0))*DiY)+
(INDEX(OP_RatesTU_SME_2[[Ausnet]:[United Energy]],MATCH("Anytime",OP_RatesTU_SME_2[[Rate name]:[Rate name]],0),MATCH(OP_CMAB!N$31,OP_RatesTU_SME_2[[#Headers],[Ausnet]:[United Energy]],0))*$H$27)+
(IFERROR((INDEX(OP_TotalRates_SME_2[[Ausnet]:[United Energy]],MATCH("Block 1",OP_TotalRates_SME_2[[Rate name]:[Rate name]],0),MATCH(OP_CMAB!N$31,OP_TotalRates_SME_2[[#Headers],[Ausnet]:[United Energy]],0))*
INDEX(Input_Usage[[F-CurrentVDO_Input]:[F-NextVDO_Input]],MATCH(OP_CMAB!$L33&amp;" - Block 1",Input_Usage[[Ref]:[Ref]],0),MATCH(OP_CMAB!$D$24,Inputs!$I$131:$M$131,0))),0)+
IFERROR((INDEX(OP_TotalRates_SME_2[[Ausnet]:[United Energy]],MATCH("Balance",OP_TotalRates_SME_2[[Rate name]:[Rate name]],0),MATCH(OP_CMAB!N$31,OP_TotalRates_SME_2[[#Headers],[Ausnet]:[United Energy]],0))*
INDEX(Input_Usage[[F-CurrentVDO_Input]:[F-NextVDO_Input]],MATCH(OP_CMAB!$L33&amp;" - Balance",Input_Usage[[Ref]:[Ref]],0),MATCH(OP_CMAB!$D$24,Inputs!$I$131:$M$131,0))),0)+
IFERROR((INDEX(OP_TotalRates_SME_2[[Ausnet]:[United Energy]],MATCH("Single rate",OP_TotalRates_SME_2[[Rate name]:[Rate name]],0),MATCH(OP_CMAB!N$31,OP_TotalRates_SME_2[[#Headers],[Ausnet]:[United Energy]],0))*
INDEX(Input_Usage[[F-CurrentVDO_Input]:[F-NextVDO_Input]],MATCH(OP_CMAB!$L33&amp;" - Annual",Input_Usage[[Ref]:[Ref]],0),MATCH(OP_CMAB!$D$24,Inputs!$I$131:$M$131,0))),0)),0),
ROUNDUP(
(INDEX(OP_Rates_SME_2[[Ausnet]:[United Energy]],MATCH("TOU - supply",OP_Rates_SME_2[[Rate name]:[Rate name]],0),MATCH(OP_CMAB!N$31,OP_Rates_SME_2[[#Headers],[Ausnet]:[United Energy]],0))*DiY)+
(INDEX(OP_RatesTU_SME_2[[Ausnet]:[United Energy]],MATCH("TOU",OP_RatesTU_SME_2[[Rate name]:[Rate name]],0),MATCH(OP_CMAB!N$31,OP_RatesTU_SME_2[[#Headers],[Ausnet]:[United Energy]],0))*$H$27)+
(INDEX(OP_TotalRates_SME_2[[Ausnet]:[United Energy]],MATCH("Peak",OP_TotalRates_SME_2[[Rate name]:[Rate name]],0),MATCH(OP_CMAB!N$31,OP_TotalRates_SME_2[[#Headers],[Ausnet]:[United Energy]],0))*
INDEX(Input_Usage[[F-CurrentVDO_Input]:[F-NextVDO_Input]],MATCH($L33&amp;" - Peak",Input_Usage[[Ref]:[Ref]],0),MATCH($D$24,Inputs!$I$131:$M$131,0)))+
IFERROR((INDEX(OP_TotalRates_SME_2[[Ausnet]:[United Energy]],MATCH("TOU - Shoulder",OP_TotalRates_SME_2[[Rate name]:[Rate name]],0),MATCH(OP_CMAB!N$31,OP_TotalRates_SME_2[[#Headers],[Ausnet]:[United Energy]],0))*
INDEX(Input_Usage[[F-CurrentVDO_Input]:[F-NextVDO_Input]],MATCH($L33&amp;" - Shoulder",Input_Usage[[Ref]:[Ref]],0),MATCH($D$24,Inputs!$I$131:$M$131,0))),0)+
(INDEX(OP_TotalRates_SME_2[[Ausnet]:[United Energy]],MATCH("Off peak",OP_TotalRates_SME_2[[Rate name]:[Rate name]],0),MATCH(OP_CMAB!N$31,OP_TotalRates_SME_2[[#Headers],[Ausnet]:[United Energy]],0))*
INDEX(Input_Usage[[F-CurrentVDO_Input]:[F-NextVDO_Input]],MATCH($L33&amp;" - Off peak",Input_Usage[[Ref]:[Ref]],0),MATCH($D$24,Inputs!$I$131:$M$131,0))),0)),"-")</f>
        <v>4597</v>
      </c>
      <c r="O33" s="97">
        <f>IFERROR(
IF($D$24="VDO 2021 - Final",
ROUNDUP(
(INDEX(OP_Rates_SME_2[[Ausnet]:[United Energy]],MATCH("Anytime - supply",OP_Rates_SME_2[[Rate name]:[Rate name]],0),MATCH(OP_CMAB!O$31,OP_Rates_SME_2[[#Headers],[Ausnet]:[United Energy]],0))*DiY)+
(INDEX(OP_RatesTU_SME_2[[Ausnet]:[United Energy]],MATCH("Anytime",OP_RatesTU_SME_2[[Rate name]:[Rate name]],0),MATCH(OP_CMAB!O$31,OP_RatesTU_SME_2[[#Headers],[Ausnet]:[United Energy]],0))*$H$27)+
(IFERROR((INDEX(OP_TotalRates_SME_2[[Ausnet]:[United Energy]],MATCH("Block 1",OP_TotalRates_SME_2[[Rate name]:[Rate name]],0),MATCH(OP_CMAB!O$31,OP_TotalRates_SME_2[[#Headers],[Ausnet]:[United Energy]],0))*
INDEX(Input_Usage[[F-CurrentVDO_Input]:[F-NextVDO_Input]],MATCH(OP_CMAB!$L33&amp;" - Block 1",Input_Usage[[Ref]:[Ref]],0),MATCH(OP_CMAB!$D$24,Inputs!$I$131:$M$131,0))),0)+
IFERROR((INDEX(OP_TotalRates_SME_2[[Ausnet]:[United Energy]],MATCH("Balance",OP_TotalRates_SME_2[[Rate name]:[Rate name]],0),MATCH(OP_CMAB!O$31,OP_TotalRates_SME_2[[#Headers],[Ausnet]:[United Energy]],0))*
INDEX(Input_Usage[[F-CurrentVDO_Input]:[F-NextVDO_Input]],MATCH(OP_CMAB!$L33&amp;" - Balance",Input_Usage[[Ref]:[Ref]],0),MATCH(OP_CMAB!$D$24,Inputs!$I$131:$M$131,0))),0)+
IFERROR((INDEX(OP_TotalRates_SME_2[[Ausnet]:[United Energy]],MATCH("Single rate",OP_TotalRates_SME_2[[Rate name]:[Rate name]],0),MATCH(OP_CMAB!O$31,OP_TotalRates_SME_2[[#Headers],[Ausnet]:[United Energy]],0))*
INDEX(Input_Usage[[F-CurrentVDO_Input]:[F-NextVDO_Input]],MATCH(OP_CMAB!$L33&amp;" - Annual",Input_Usage[[Ref]:[Ref]],0),MATCH(OP_CMAB!$D$24,Inputs!$I$131:$M$131,0))),0)),0),
ROUNDUP(
(INDEX(OP_Rates_SME_2[[Ausnet]:[United Energy]],MATCH("TOU - supply",OP_Rates_SME_2[[Rate name]:[Rate name]],0),MATCH(OP_CMAB!O$31,OP_Rates_SME_2[[#Headers],[Ausnet]:[United Energy]],0))*DiY)+
(INDEX(OP_RatesTU_SME_2[[Ausnet]:[United Energy]],MATCH("TOU",OP_RatesTU_SME_2[[Rate name]:[Rate name]],0),MATCH(OP_CMAB!O$31,OP_RatesTU_SME_2[[#Headers],[Ausnet]:[United Energy]],0))*$H$27)+
(INDEX(OP_TotalRates_SME_2[[Ausnet]:[United Energy]],MATCH("Peak",OP_TotalRates_SME_2[[Rate name]:[Rate name]],0),MATCH(OP_CMAB!O$31,OP_TotalRates_SME_2[[#Headers],[Ausnet]:[United Energy]],0))*
INDEX(Input_Usage[[F-CurrentVDO_Input]:[F-NextVDO_Input]],MATCH($L33&amp;" - Peak",Input_Usage[[Ref]:[Ref]],0),MATCH($D$24,Inputs!$I$131:$M$131,0)))+
IFERROR((INDEX(OP_TotalRates_SME_2[[Ausnet]:[United Energy]],MATCH("TOU - Shoulder",OP_TotalRates_SME_2[[Rate name]:[Rate name]],0),MATCH(OP_CMAB!O$31,OP_TotalRates_SME_2[[#Headers],[Ausnet]:[United Energy]],0))*
INDEX(Input_Usage[[F-CurrentVDO_Input]:[F-NextVDO_Input]],MATCH($L33&amp;" - Shoulder",Input_Usage[[Ref]:[Ref]],0),MATCH($D$24,Inputs!$I$131:$M$131,0))),0)+
(INDEX(OP_TotalRates_SME_2[[Ausnet]:[United Energy]],MATCH("Off peak",OP_TotalRates_SME_2[[Rate name]:[Rate name]],0),MATCH(OP_CMAB!O$31,OP_TotalRates_SME_2[[#Headers],[Ausnet]:[United Energy]],0))*
INDEX(Input_Usage[[F-CurrentVDO_Input]:[F-NextVDO_Input]],MATCH($L33&amp;" - Off peak",Input_Usage[[Ref]:[Ref]],0),MATCH($D$24,Inputs!$I$131:$M$131,0))),0)),"-")</f>
        <v>4848</v>
      </c>
      <c r="P33" s="97">
        <f>IFERROR(
IF($D$24="VDO 2021 - Final",
ROUNDUP(
(INDEX(OP_Rates_SME_2[[Ausnet]:[United Energy]],MATCH("Anytime - supply",OP_Rates_SME_2[[Rate name]:[Rate name]],0),MATCH(OP_CMAB!P$31,OP_Rates_SME_2[[#Headers],[Ausnet]:[United Energy]],0))*DiY)+
(INDEX(OP_RatesTU_SME_2[[Ausnet]:[United Energy]],MATCH("Anytime",OP_RatesTU_SME_2[[Rate name]:[Rate name]],0),MATCH(OP_CMAB!P$31,OP_RatesTU_SME_2[[#Headers],[Ausnet]:[United Energy]],0))*$H$27)+
(IFERROR((INDEX(OP_TotalRates_SME_2[[Ausnet]:[United Energy]],MATCH("Block 1",OP_TotalRates_SME_2[[Rate name]:[Rate name]],0),MATCH(OP_CMAB!P$31,OP_TotalRates_SME_2[[#Headers],[Ausnet]:[United Energy]],0))*
INDEX(Input_Usage[[F-CurrentVDO_Input]:[F-NextVDO_Input]],MATCH(OP_CMAB!$L33&amp;" - Block 1",Input_Usage[[Ref]:[Ref]],0),MATCH(OP_CMAB!$D$24,Inputs!$I$131:$M$131,0))),0)+
IFERROR((INDEX(OP_TotalRates_SME_2[[Ausnet]:[United Energy]],MATCH("Balance",OP_TotalRates_SME_2[[Rate name]:[Rate name]],0),MATCH(OP_CMAB!P$31,OP_TotalRates_SME_2[[#Headers],[Ausnet]:[United Energy]],0))*
INDEX(Input_Usage[[F-CurrentVDO_Input]:[F-NextVDO_Input]],MATCH(OP_CMAB!$L33&amp;" - Balance",Input_Usage[[Ref]:[Ref]],0),MATCH(OP_CMAB!$D$24,Inputs!$I$131:$M$131,0))),0)+
IFERROR((INDEX(OP_TotalRates_SME_2[[Ausnet]:[United Energy]],MATCH("Single rate",OP_TotalRates_SME_2[[Rate name]:[Rate name]],0),MATCH(OP_CMAB!P$31,OP_TotalRates_SME_2[[#Headers],[Ausnet]:[United Energy]],0))*
INDEX(Input_Usage[[F-CurrentVDO_Input]:[F-NextVDO_Input]],MATCH(OP_CMAB!$L33&amp;" - Annual",Input_Usage[[Ref]:[Ref]],0),MATCH(OP_CMAB!$D$24,Inputs!$I$131:$M$131,0))),0)),0),
ROUNDUP(
(INDEX(OP_Rates_SME_2[[Ausnet]:[United Energy]],MATCH("TOU - supply",OP_Rates_SME_2[[Rate name]:[Rate name]],0),MATCH(OP_CMAB!P$31,OP_Rates_SME_2[[#Headers],[Ausnet]:[United Energy]],0))*DiY)+
(INDEX(OP_RatesTU_SME_2[[Ausnet]:[United Energy]],MATCH("TOU",OP_RatesTU_SME_2[[Rate name]:[Rate name]],0),MATCH(OP_CMAB!P$31,OP_RatesTU_SME_2[[#Headers],[Ausnet]:[United Energy]],0))*$H$27)+
(INDEX(OP_TotalRates_SME_2[[Ausnet]:[United Energy]],MATCH("Peak",OP_TotalRates_SME_2[[Rate name]:[Rate name]],0),MATCH(OP_CMAB!P$31,OP_TotalRates_SME_2[[#Headers],[Ausnet]:[United Energy]],0))*
INDEX(Input_Usage[[F-CurrentVDO_Input]:[F-NextVDO_Input]],MATCH($L33&amp;" - Peak",Input_Usage[[Ref]:[Ref]],0),MATCH($D$24,Inputs!$I$131:$M$131,0)))+
IFERROR((INDEX(OP_TotalRates_SME_2[[Ausnet]:[United Energy]],MATCH("TOU - Shoulder",OP_TotalRates_SME_2[[Rate name]:[Rate name]],0),MATCH(OP_CMAB!P$31,OP_TotalRates_SME_2[[#Headers],[Ausnet]:[United Energy]],0))*
INDEX(Input_Usage[[F-CurrentVDO_Input]:[F-NextVDO_Input]],MATCH($L33&amp;" - Shoulder",Input_Usage[[Ref]:[Ref]],0),MATCH($D$24,Inputs!$I$131:$M$131,0))),0)+
(INDEX(OP_TotalRates_SME_2[[Ausnet]:[United Energy]],MATCH("Off peak",OP_TotalRates_SME_2[[Rate name]:[Rate name]],0),MATCH(OP_CMAB!P$31,OP_TotalRates_SME_2[[#Headers],[Ausnet]:[United Energy]],0))*
INDEX(Input_Usage[[F-CurrentVDO_Input]:[F-NextVDO_Input]],MATCH($L33&amp;" - Off peak",Input_Usage[[Ref]:[Ref]],0),MATCH($D$24,Inputs!$I$131:$M$131,0))),0)),"-")</f>
        <v>4841</v>
      </c>
      <c r="Q33" s="97">
        <f>IFERROR(
IF($D$24="VDO 2021 - Final",
ROUNDUP(
(INDEX(OP_Rates_SME_2[[Ausnet]:[United Energy]],MATCH("Anytime - supply",OP_Rates_SME_2[[Rate name]:[Rate name]],0),MATCH(OP_CMAB!Q$31,OP_Rates_SME_2[[#Headers],[Ausnet]:[United Energy]],0))*DiY)+
(INDEX(OP_RatesTU_SME_2[[Ausnet]:[United Energy]],MATCH("Anytime",OP_RatesTU_SME_2[[Rate name]:[Rate name]],0),MATCH(OP_CMAB!Q$31,OP_RatesTU_SME_2[[#Headers],[Ausnet]:[United Energy]],0))*$H$27)+
(IFERROR((INDEX(OP_TotalRates_SME_2[[Ausnet]:[United Energy]],MATCH("Block 1",OP_TotalRates_SME_2[[Rate name]:[Rate name]],0),MATCH(OP_CMAB!Q$31,OP_TotalRates_SME_2[[#Headers],[Ausnet]:[United Energy]],0))*
INDEX(Input_Usage[[F-CurrentVDO_Input]:[F-NextVDO_Input]],MATCH(OP_CMAB!$L33&amp;" - Block 1",Input_Usage[[Ref]:[Ref]],0),MATCH(OP_CMAB!$D$24,Inputs!$I$131:$M$131,0))),0)+
IFERROR((INDEX(OP_TotalRates_SME_2[[Ausnet]:[United Energy]],MATCH("Balance",OP_TotalRates_SME_2[[Rate name]:[Rate name]],0),MATCH(OP_CMAB!Q$31,OP_TotalRates_SME_2[[#Headers],[Ausnet]:[United Energy]],0))*
INDEX(Input_Usage[[F-CurrentVDO_Input]:[F-NextVDO_Input]],MATCH(OP_CMAB!$L33&amp;" - Balance",Input_Usage[[Ref]:[Ref]],0),MATCH(OP_CMAB!$D$24,Inputs!$I$131:$M$131,0))),0)+
IFERROR((INDEX(OP_TotalRates_SME_2[[Ausnet]:[United Energy]],MATCH("Single rate",OP_TotalRates_SME_2[[Rate name]:[Rate name]],0),MATCH(OP_CMAB!Q$31,OP_TotalRates_SME_2[[#Headers],[Ausnet]:[United Energy]],0))*
INDEX(Input_Usage[[F-CurrentVDO_Input]:[F-NextVDO_Input]],MATCH(OP_CMAB!$L33&amp;" - Annual",Input_Usage[[Ref]:[Ref]],0),MATCH(OP_CMAB!$D$24,Inputs!$I$131:$M$131,0))),0)),0),
ROUNDUP(
(INDEX(OP_Rates_SME_2[[Ausnet]:[United Energy]],MATCH("TOU - supply",OP_Rates_SME_2[[Rate name]:[Rate name]],0),MATCH(OP_CMAB!Q$31,OP_Rates_SME_2[[#Headers],[Ausnet]:[United Energy]],0))*DiY)+
(INDEX(OP_RatesTU_SME_2[[Ausnet]:[United Energy]],MATCH("TOU",OP_RatesTU_SME_2[[Rate name]:[Rate name]],0),MATCH(OP_CMAB!Q$31,OP_RatesTU_SME_2[[#Headers],[Ausnet]:[United Energy]],0))*$H$27)+
(INDEX(OP_TotalRates_SME_2[[Ausnet]:[United Energy]],MATCH("Peak",OP_TotalRates_SME_2[[Rate name]:[Rate name]],0),MATCH(OP_CMAB!Q$31,OP_TotalRates_SME_2[[#Headers],[Ausnet]:[United Energy]],0))*
INDEX(Input_Usage[[F-CurrentVDO_Input]:[F-NextVDO_Input]],MATCH($L33&amp;" - Peak",Input_Usage[[Ref]:[Ref]],0),MATCH($D$24,Inputs!$I$131:$M$131,0)))+
IFERROR((INDEX(OP_TotalRates_SME_2[[Ausnet]:[United Energy]],MATCH("TOU - Shoulder",OP_TotalRates_SME_2[[Rate name]:[Rate name]],0),MATCH(OP_CMAB!Q$31,OP_TotalRates_SME_2[[#Headers],[Ausnet]:[United Energy]],0))*
INDEX(Input_Usage[[F-CurrentVDO_Input]:[F-NextVDO_Input]],MATCH($L33&amp;" - Shoulder",Input_Usage[[Ref]:[Ref]],0),MATCH($D$24,Inputs!$I$131:$M$131,0))),0)+
(INDEX(OP_TotalRates_SME_2[[Ausnet]:[United Energy]],MATCH("Off peak",OP_TotalRates_SME_2[[Rate name]:[Rate name]],0),MATCH(OP_CMAB!Q$31,OP_TotalRates_SME_2[[#Headers],[Ausnet]:[United Energy]],0))*
INDEX(Input_Usage[[F-CurrentVDO_Input]:[F-NextVDO_Input]],MATCH($L33&amp;" - Off peak",Input_Usage[[Ref]:[Ref]],0),MATCH($D$24,Inputs!$I$131:$M$131,0))),0)),"-")</f>
        <v>4690</v>
      </c>
    </row>
    <row r="34" spans="1:18" hidden="1" x14ac:dyDescent="0.25">
      <c r="C34" s="35" t="s">
        <v>31</v>
      </c>
      <c r="D34" s="35" t="s">
        <v>160</v>
      </c>
      <c r="E34" s="97">
        <f>IFERROR(
IF($D$24="VDO 2021 - Final",
ROUNDUP(
(INDEX(OP_Rates_RES_2[[Ausnet]:[United Energy]],MATCH("Anytime - supply",OP_Rates_RES_2[[Rate name]:[Rate name]],0),MATCH(OP_CMAB!E$31,OP_Rates_RES_2[[#Headers],[Ausnet]:[United Energy]],0))*DiY)+
(INDEX(OP_RatesTU_RES_2[[Ausnet]:[United Energy]],MATCH("Anytime",OP_RatesTU_RES_2[[Rate name]:[Rate name]],0),MATCH(OP_CMAB!E$31,OP_RatesTU_RES_2[[#Headers],[Ausnet]:[United Energy]],0))*$H$27)+
(IFERROR((INDEX(OP_TotalRates_RES_2[[Ausnet]:[United Energy]],MATCH("Block 1",OP_TotalRates_RES_2[[Rate name]:[Rate name]],0),MATCH(OP_CMAB!E$31,OP_TotalRates_RES_2[[#Headers],[Ausnet]:[United Energy]],0))*
INDEX(Input_Usage[[F-CurrentVDO_Input]:[F-NextVDO_Input]],MATCH(OP_CMAB!$D34&amp;" - Block 1",Input_Usage[[Ref]:[Ref]],0),MATCH(OP_CMAB!$D$24,Inputs!$I$131:$M$131,0))),0)+
IFERROR((INDEX(OP_TotalRates_RES_2[[Ausnet]:[United Energy]],MATCH("Balance",OP_TotalRates_RES_2[[Rate name]:[Rate name]],0),MATCH(OP_CMAB!E$31,OP_TotalRates_RES_2[[#Headers],[Ausnet]:[United Energy]],0))*
INDEX(Input_Usage[[F-CurrentVDO_Input]:[F-NextVDO_Input]],MATCH(OP_CMAB!$D34&amp;" - Balance",Input_Usage[[Ref]:[Ref]],0),MATCH(OP_CMAB!$D$24,Inputs!$I$131:$M$131,0))),0)+
IFERROR((INDEX(OP_TotalRates_RES_2[[Ausnet]:[United Energy]],MATCH("Single rate",OP_TotalRates_RES_2[[Rate name]:[Rate name]],0),MATCH(OP_CMAB!E$31,OP_TotalRates_RES_2[[#Headers],[Ausnet]:[United Energy]],0))*
INDEX(Input_Usage[[F-CurrentVDO_Input]:[F-NextVDO_Input]],MATCH(OP_CMAB!$D34&amp;" - Annual",Input_Usage[[Ref]:[Ref]],0),MATCH(OP_CMAB!$D$24,Inputs!$I$131:$M$131,0))),0)),0),
ROUNDUP(
(INDEX(OP_Rates_RES_2[[Ausnet]:[United Energy]],MATCH("TOU - supply",OP_Rates_RES_2[[Rate name]:[Rate name]],0),MATCH(OP_CMAB!E$31,OP_Rates_RES_2[[#Headers],[Ausnet]:[United Energy]],0))*DiY)+
(INDEX(OP_RatesTU_RES_2[[Ausnet]:[United Energy]],MATCH("TOU",OP_RatesTU_RES_2[[Rate name]:[Rate name]],0),MATCH(OP_CMAB!E$31,OP_RatesTU_RES_2[[#Headers],[Ausnet]:[United Energy]],0))*$H$27)+
(INDEX(OP_TotalRates_RES_2[[Ausnet]:[United Energy]],MATCH("Peak",OP_TotalRates_RES_2[[Rate name]:[Rate name]],0),MATCH(OP_CMAB!E$31,OP_TotalRates_RES_2[[#Headers],[Ausnet]:[United Energy]],0))*
INDEX(Input_Usage[[F-CurrentVDO_Input]:[F-NextVDO_Input]],MATCH($D34&amp;" - Peak",Input_Usage[[Ref]:[Ref]],0),MATCH($D$24,Inputs!$I$131:$M$131,0)))+
IFERROR((INDEX(OP_TotalRates_RES_2[[Ausnet]:[United Energy]],MATCH("TOU - Shoulder",OP_TotalRates_RES_2[[Rate name]:[Rate name]],0),MATCH(OP_CMAB!E$31,OP_TotalRates_RES_2[[#Headers],[Ausnet]:[United Energy]],0))*
INDEX(Input_Usage[[F-CurrentVDO_Input]:[F-NextVDO_Input]],MATCH($D34&amp;" - Shoulder",Input_Usage[[Ref]:[Ref]],0),MATCH($D$24,Inputs!$I$131:$M$131,0))),0)+
(INDEX(OP_TotalRates_RES_2[[Ausnet]:[United Energy]],MATCH("Off peak",OP_TotalRates_RES_2[[Rate name]:[Rate name]],0),MATCH(OP_CMAB!E$31,OP_TotalRates_RES_2[[#Headers],[Ausnet]:[United Energy]],0))*
INDEX(Input_Usage[[F-CurrentVDO_Input]:[F-NextVDO_Input]],MATCH($D34&amp;" - Off peak",Input_Usage[[Ref]:[Ref]],0),MATCH($D$24,Inputs!$I$131:$M$131,0))),0)),"-")</f>
        <v>2344</v>
      </c>
      <c r="F34" s="97">
        <f>IFERROR(
IF($D$24="VDO 2021 - Final",
ROUNDUP(
(INDEX(OP_Rates_RES_2[[Ausnet]:[United Energy]],MATCH("Anytime - supply",OP_Rates_RES_2[[Rate name]:[Rate name]],0),MATCH(OP_CMAB!F$31,OP_Rates_RES_2[[#Headers],[Ausnet]:[United Energy]],0))*DiY)+
(INDEX(OP_RatesTU_RES_2[[Ausnet]:[United Energy]],MATCH("Anytime",OP_RatesTU_RES_2[[Rate name]:[Rate name]],0),MATCH(OP_CMAB!F$31,OP_RatesTU_RES_2[[#Headers],[Ausnet]:[United Energy]],0))*$H$27)+
(IFERROR((INDEX(OP_TotalRates_RES_2[[Ausnet]:[United Energy]],MATCH("Block 1",OP_TotalRates_RES_2[[Rate name]:[Rate name]],0),MATCH(OP_CMAB!F$31,OP_TotalRates_RES_2[[#Headers],[Ausnet]:[United Energy]],0))*
INDEX(Input_Usage[[F-CurrentVDO_Input]:[F-NextVDO_Input]],MATCH(OP_CMAB!$D34&amp;" - Block 1",Input_Usage[[Ref]:[Ref]],0),MATCH(OP_CMAB!$D$24,Inputs!$I$131:$M$131,0))),0)+
IFERROR((INDEX(OP_TotalRates_RES_2[[Ausnet]:[United Energy]],MATCH("Balance",OP_TotalRates_RES_2[[Rate name]:[Rate name]],0),MATCH(OP_CMAB!F$31,OP_TotalRates_RES_2[[#Headers],[Ausnet]:[United Energy]],0))*
INDEX(Input_Usage[[F-CurrentVDO_Input]:[F-NextVDO_Input]],MATCH(OP_CMAB!$D34&amp;" - Balance",Input_Usage[[Ref]:[Ref]],0),MATCH(OP_CMAB!$D$24,Inputs!$I$131:$M$131,0))),0)+
IFERROR((INDEX(OP_TotalRates_RES_2[[Ausnet]:[United Energy]],MATCH("Single rate",OP_TotalRates_RES_2[[Rate name]:[Rate name]],0),MATCH(OP_CMAB!F$31,OP_TotalRates_RES_2[[#Headers],[Ausnet]:[United Energy]],0))*
INDEX(Input_Usage[[F-CurrentVDO_Input]:[F-NextVDO_Input]],MATCH(OP_CMAB!$D34&amp;" - Annual",Input_Usage[[Ref]:[Ref]],0),MATCH(OP_CMAB!$D$24,Inputs!$I$131:$M$131,0))),0)),0),
ROUNDUP(
(INDEX(OP_Rates_RES_2[[Ausnet]:[United Energy]],MATCH("TOU - supply",OP_Rates_RES_2[[Rate name]:[Rate name]],0),MATCH(OP_CMAB!F$31,OP_Rates_RES_2[[#Headers],[Ausnet]:[United Energy]],0))*DiY)+
(INDEX(OP_RatesTU_RES_2[[Ausnet]:[United Energy]],MATCH("TOU",OP_RatesTU_RES_2[[Rate name]:[Rate name]],0),MATCH(OP_CMAB!F$31,OP_RatesTU_RES_2[[#Headers],[Ausnet]:[United Energy]],0))*$H$27)+
(INDEX(OP_TotalRates_RES_2[[Ausnet]:[United Energy]],MATCH("Peak",OP_TotalRates_RES_2[[Rate name]:[Rate name]],0),MATCH(OP_CMAB!F$31,OP_TotalRates_RES_2[[#Headers],[Ausnet]:[United Energy]],0))*
INDEX(Input_Usage[[F-CurrentVDO_Input]:[F-NextVDO_Input]],MATCH($D34&amp;" - Peak",Input_Usage[[Ref]:[Ref]],0),MATCH($D$24,Inputs!$I$131:$M$131,0)))+
IFERROR((INDEX(OP_TotalRates_RES_2[[Ausnet]:[United Energy]],MATCH("TOU - Shoulder",OP_TotalRates_RES_2[[Rate name]:[Rate name]],0),MATCH(OP_CMAB!F$31,OP_TotalRates_RES_2[[#Headers],[Ausnet]:[United Energy]],0))*
INDEX(Input_Usage[[F-CurrentVDO_Input]:[F-NextVDO_Input]],MATCH($D34&amp;" - Shoulder",Input_Usage[[Ref]:[Ref]],0),MATCH($D$24,Inputs!$I$131:$M$131,0))),0)+
(INDEX(OP_TotalRates_RES_2[[Ausnet]:[United Energy]],MATCH("Off peak",OP_TotalRates_RES_2[[Rate name]:[Rate name]],0),MATCH(OP_CMAB!F$31,OP_TotalRates_RES_2[[#Headers],[Ausnet]:[United Energy]],0))*
INDEX(Input_Usage[[F-CurrentVDO_Input]:[F-NextVDO_Input]],MATCH($D34&amp;" - Off peak",Input_Usage[[Ref]:[Ref]],0),MATCH($D$24,Inputs!$I$131:$M$131,0))),0)),"-")</f>
        <v>2108</v>
      </c>
      <c r="G34" s="97">
        <f>IFERROR(
IF($D$24="VDO 2021 - Final",
ROUNDUP(
(INDEX(OP_Rates_RES_2[[Ausnet]:[United Energy]],MATCH("Anytime - supply",OP_Rates_RES_2[[Rate name]:[Rate name]],0),MATCH(OP_CMAB!G$31,OP_Rates_RES_2[[#Headers],[Ausnet]:[United Energy]],0))*DiY)+
(INDEX(OP_RatesTU_RES_2[[Ausnet]:[United Energy]],MATCH("Anytime",OP_RatesTU_RES_2[[Rate name]:[Rate name]],0),MATCH(OP_CMAB!G$31,OP_RatesTU_RES_2[[#Headers],[Ausnet]:[United Energy]],0))*$H$27)+
(IFERROR((INDEX(OP_TotalRates_RES_2[[Ausnet]:[United Energy]],MATCH("Block 1",OP_TotalRates_RES_2[[Rate name]:[Rate name]],0),MATCH(OP_CMAB!G$31,OP_TotalRates_RES_2[[#Headers],[Ausnet]:[United Energy]],0))*
INDEX(Input_Usage[[F-CurrentVDO_Input]:[F-NextVDO_Input]],MATCH(OP_CMAB!$D34&amp;" - Block 1",Input_Usage[[Ref]:[Ref]],0),MATCH(OP_CMAB!$D$24,Inputs!$I$131:$M$131,0))),0)+
IFERROR((INDEX(OP_TotalRates_RES_2[[Ausnet]:[United Energy]],MATCH("Balance",OP_TotalRates_RES_2[[Rate name]:[Rate name]],0),MATCH(OP_CMAB!G$31,OP_TotalRates_RES_2[[#Headers],[Ausnet]:[United Energy]],0))*
INDEX(Input_Usage[[F-CurrentVDO_Input]:[F-NextVDO_Input]],MATCH(OP_CMAB!$D34&amp;" - Balance",Input_Usage[[Ref]:[Ref]],0),MATCH(OP_CMAB!$D$24,Inputs!$I$131:$M$131,0))),0)+
IFERROR((INDEX(OP_TotalRates_RES_2[[Ausnet]:[United Energy]],MATCH("Single rate",OP_TotalRates_RES_2[[Rate name]:[Rate name]],0),MATCH(OP_CMAB!G$31,OP_TotalRates_RES_2[[#Headers],[Ausnet]:[United Energy]],0))*
INDEX(Input_Usage[[F-CurrentVDO_Input]:[F-NextVDO_Input]],MATCH(OP_CMAB!$D34&amp;" - Annual",Input_Usage[[Ref]:[Ref]],0),MATCH(OP_CMAB!$D$24,Inputs!$I$131:$M$131,0))),0)),0),
ROUNDUP(
(INDEX(OP_Rates_RES_2[[Ausnet]:[United Energy]],MATCH("TOU - supply",OP_Rates_RES_2[[Rate name]:[Rate name]],0),MATCH(OP_CMAB!G$31,OP_Rates_RES_2[[#Headers],[Ausnet]:[United Energy]],0))*DiY)+
(INDEX(OP_RatesTU_RES_2[[Ausnet]:[United Energy]],MATCH("TOU",OP_RatesTU_RES_2[[Rate name]:[Rate name]],0),MATCH(OP_CMAB!G$31,OP_RatesTU_RES_2[[#Headers],[Ausnet]:[United Energy]],0))*$H$27)+
(INDEX(OP_TotalRates_RES_2[[Ausnet]:[United Energy]],MATCH("Peak",OP_TotalRates_RES_2[[Rate name]:[Rate name]],0),MATCH(OP_CMAB!G$31,OP_TotalRates_RES_2[[#Headers],[Ausnet]:[United Energy]],0))*
INDEX(Input_Usage[[F-CurrentVDO_Input]:[F-NextVDO_Input]],MATCH($D34&amp;" - Peak",Input_Usage[[Ref]:[Ref]],0),MATCH($D$24,Inputs!$I$131:$M$131,0)))+
IFERROR((INDEX(OP_TotalRates_RES_2[[Ausnet]:[United Energy]],MATCH("TOU - Shoulder",OP_TotalRates_RES_2[[Rate name]:[Rate name]],0),MATCH(OP_CMAB!G$31,OP_TotalRates_RES_2[[#Headers],[Ausnet]:[United Energy]],0))*
INDEX(Input_Usage[[F-CurrentVDO_Input]:[F-NextVDO_Input]],MATCH($D34&amp;" - Shoulder",Input_Usage[[Ref]:[Ref]],0),MATCH($D$24,Inputs!$I$131:$M$131,0))),0)+
(INDEX(OP_TotalRates_RES_2[[Ausnet]:[United Energy]],MATCH("Off peak",OP_TotalRates_RES_2[[Rate name]:[Rate name]],0),MATCH(OP_CMAB!G$31,OP_TotalRates_RES_2[[#Headers],[Ausnet]:[United Energy]],0))*
INDEX(Input_Usage[[F-CurrentVDO_Input]:[F-NextVDO_Input]],MATCH($D34&amp;" - Off peak",Input_Usage[[Ref]:[Ref]],0),MATCH($D$24,Inputs!$I$131:$M$131,0))),0)),"-")</f>
        <v>2043</v>
      </c>
      <c r="H34" s="97">
        <f>IFERROR(
IF($D$24="VDO 2021 - Final",
ROUNDUP(
(INDEX(OP_Rates_RES_2[[Ausnet]:[United Energy]],MATCH("Anytime - supply",OP_Rates_RES_2[[Rate name]:[Rate name]],0),MATCH(OP_CMAB!H$31,OP_Rates_RES_2[[#Headers],[Ausnet]:[United Energy]],0))*DiY)+
(INDEX(OP_RatesTU_RES_2[[Ausnet]:[United Energy]],MATCH("Anytime",OP_RatesTU_RES_2[[Rate name]:[Rate name]],0),MATCH(OP_CMAB!H$31,OP_RatesTU_RES_2[[#Headers],[Ausnet]:[United Energy]],0))*$H$27)+
(IFERROR((INDEX(OP_TotalRates_RES_2[[Ausnet]:[United Energy]],MATCH("Block 1",OP_TotalRates_RES_2[[Rate name]:[Rate name]],0),MATCH(OP_CMAB!H$31,OP_TotalRates_RES_2[[#Headers],[Ausnet]:[United Energy]],0))*
INDEX(Input_Usage[[F-CurrentVDO_Input]:[F-NextVDO_Input]],MATCH(OP_CMAB!$D34&amp;" - Block 1",Input_Usage[[Ref]:[Ref]],0),MATCH(OP_CMAB!$D$24,Inputs!$I$131:$M$131,0))),0)+
IFERROR((INDEX(OP_TotalRates_RES_2[[Ausnet]:[United Energy]],MATCH("Balance",OP_TotalRates_RES_2[[Rate name]:[Rate name]],0),MATCH(OP_CMAB!H$31,OP_TotalRates_RES_2[[#Headers],[Ausnet]:[United Energy]],0))*
INDEX(Input_Usage[[F-CurrentVDO_Input]:[F-NextVDO_Input]],MATCH(OP_CMAB!$D34&amp;" - Balance",Input_Usage[[Ref]:[Ref]],0),MATCH(OP_CMAB!$D$24,Inputs!$I$131:$M$131,0))),0)+
IFERROR((INDEX(OP_TotalRates_RES_2[[Ausnet]:[United Energy]],MATCH("Single rate",OP_TotalRates_RES_2[[Rate name]:[Rate name]],0),MATCH(OP_CMAB!H$31,OP_TotalRates_RES_2[[#Headers],[Ausnet]:[United Energy]],0))*
INDEX(Input_Usage[[F-CurrentVDO_Input]:[F-NextVDO_Input]],MATCH(OP_CMAB!$D34&amp;" - Annual",Input_Usage[[Ref]:[Ref]],0),MATCH(OP_CMAB!$D$24,Inputs!$I$131:$M$131,0))),0)),0),
ROUNDUP(
(INDEX(OP_Rates_RES_2[[Ausnet]:[United Energy]],MATCH("TOU - supply",OP_Rates_RES_2[[Rate name]:[Rate name]],0),MATCH(OP_CMAB!H$31,OP_Rates_RES_2[[#Headers],[Ausnet]:[United Energy]],0))*DiY)+
(INDEX(OP_RatesTU_RES_2[[Ausnet]:[United Energy]],MATCH("TOU",OP_RatesTU_RES_2[[Rate name]:[Rate name]],0),MATCH(OP_CMAB!H$31,OP_RatesTU_RES_2[[#Headers],[Ausnet]:[United Energy]],0))*$H$27)+
(INDEX(OP_TotalRates_RES_2[[Ausnet]:[United Energy]],MATCH("Peak",OP_TotalRates_RES_2[[Rate name]:[Rate name]],0),MATCH(OP_CMAB!H$31,OP_TotalRates_RES_2[[#Headers],[Ausnet]:[United Energy]],0))*
INDEX(Input_Usage[[F-CurrentVDO_Input]:[F-NextVDO_Input]],MATCH($D34&amp;" - Peak",Input_Usage[[Ref]:[Ref]],0),MATCH($D$24,Inputs!$I$131:$M$131,0)))+
IFERROR((INDEX(OP_TotalRates_RES_2[[Ausnet]:[United Energy]],MATCH("TOU - Shoulder",OP_TotalRates_RES_2[[Rate name]:[Rate name]],0),MATCH(OP_CMAB!H$31,OP_TotalRates_RES_2[[#Headers],[Ausnet]:[United Energy]],0))*
INDEX(Input_Usage[[F-CurrentVDO_Input]:[F-NextVDO_Input]],MATCH($D34&amp;" - Shoulder",Input_Usage[[Ref]:[Ref]],0),MATCH($D$24,Inputs!$I$131:$M$131,0))),0)+
(INDEX(OP_TotalRates_RES_2[[Ausnet]:[United Energy]],MATCH("Off peak",OP_TotalRates_RES_2[[Rate name]:[Rate name]],0),MATCH(OP_CMAB!H$31,OP_TotalRates_RES_2[[#Headers],[Ausnet]:[United Energy]],0))*
INDEX(Input_Usage[[F-CurrentVDO_Input]:[F-NextVDO_Input]],MATCH($D34&amp;" - Off peak",Input_Usage[[Ref]:[Ref]],0),MATCH($D$24,Inputs!$I$131:$M$131,0))),0)),"-")</f>
        <v>2199</v>
      </c>
      <c r="I34" s="97">
        <f>IFERROR(
IF($D$24="VDO 2021 - Final",
ROUNDUP(
(INDEX(OP_Rates_RES_2[[Ausnet]:[United Energy]],MATCH("Anytime - supply",OP_Rates_RES_2[[Rate name]:[Rate name]],0),MATCH(OP_CMAB!I$31,OP_Rates_RES_2[[#Headers],[Ausnet]:[United Energy]],0))*DiY)+
(INDEX(OP_RatesTU_RES_2[[Ausnet]:[United Energy]],MATCH("Anytime",OP_RatesTU_RES_2[[Rate name]:[Rate name]],0),MATCH(OP_CMAB!I$31,OP_RatesTU_RES_2[[#Headers],[Ausnet]:[United Energy]],0))*$H$27)+
(IFERROR((INDEX(OP_TotalRates_RES_2[[Ausnet]:[United Energy]],MATCH("Block 1",OP_TotalRates_RES_2[[Rate name]:[Rate name]],0),MATCH(OP_CMAB!I$31,OP_TotalRates_RES_2[[#Headers],[Ausnet]:[United Energy]],0))*
INDEX(Input_Usage[[F-CurrentVDO_Input]:[F-NextVDO_Input]],MATCH(OP_CMAB!$D34&amp;" - Block 1",Input_Usage[[Ref]:[Ref]],0),MATCH(OP_CMAB!$D$24,Inputs!$I$131:$M$131,0))),0)+
IFERROR((INDEX(OP_TotalRates_RES_2[[Ausnet]:[United Energy]],MATCH("Balance",OP_TotalRates_RES_2[[Rate name]:[Rate name]],0),MATCH(OP_CMAB!I$31,OP_TotalRates_RES_2[[#Headers],[Ausnet]:[United Energy]],0))*
INDEX(Input_Usage[[F-CurrentVDO_Input]:[F-NextVDO_Input]],MATCH(OP_CMAB!$D34&amp;" - Balance",Input_Usage[[Ref]:[Ref]],0),MATCH(OP_CMAB!$D$24,Inputs!$I$131:$M$131,0))),0)+
IFERROR((INDEX(OP_TotalRates_RES_2[[Ausnet]:[United Energy]],MATCH("Single rate",OP_TotalRates_RES_2[[Rate name]:[Rate name]],0),MATCH(OP_CMAB!I$31,OP_TotalRates_RES_2[[#Headers],[Ausnet]:[United Energy]],0))*
INDEX(Input_Usage[[F-CurrentVDO_Input]:[F-NextVDO_Input]],MATCH(OP_CMAB!$D34&amp;" - Annual",Input_Usage[[Ref]:[Ref]],0),MATCH(OP_CMAB!$D$24,Inputs!$I$131:$M$131,0))),0)),0),
ROUNDUP(
(INDEX(OP_Rates_RES_2[[Ausnet]:[United Energy]],MATCH("TOU - supply",OP_Rates_RES_2[[Rate name]:[Rate name]],0),MATCH(OP_CMAB!I$31,OP_Rates_RES_2[[#Headers],[Ausnet]:[United Energy]],0))*DiY)+
(INDEX(OP_RatesTU_RES_2[[Ausnet]:[United Energy]],MATCH("TOU",OP_RatesTU_RES_2[[Rate name]:[Rate name]],0),MATCH(OP_CMAB!I$31,OP_RatesTU_RES_2[[#Headers],[Ausnet]:[United Energy]],0))*$H$27)+
(INDEX(OP_TotalRates_RES_2[[Ausnet]:[United Energy]],MATCH("Peak",OP_TotalRates_RES_2[[Rate name]:[Rate name]],0),MATCH(OP_CMAB!I$31,OP_TotalRates_RES_2[[#Headers],[Ausnet]:[United Energy]],0))*
INDEX(Input_Usage[[F-CurrentVDO_Input]:[F-NextVDO_Input]],MATCH($D34&amp;" - Peak",Input_Usage[[Ref]:[Ref]],0),MATCH($D$24,Inputs!$I$131:$M$131,0)))+
IFERROR((INDEX(OP_TotalRates_RES_2[[Ausnet]:[United Energy]],MATCH("TOU - Shoulder",OP_TotalRates_RES_2[[Rate name]:[Rate name]],0),MATCH(OP_CMAB!I$31,OP_TotalRates_RES_2[[#Headers],[Ausnet]:[United Energy]],0))*
INDEX(Input_Usage[[F-CurrentVDO_Input]:[F-NextVDO_Input]],MATCH($D34&amp;" - Shoulder",Input_Usage[[Ref]:[Ref]],0),MATCH($D$24,Inputs!$I$131:$M$131,0))),0)+
(INDEX(OP_TotalRates_RES_2[[Ausnet]:[United Energy]],MATCH("Off peak",OP_TotalRates_RES_2[[Rate name]:[Rate name]],0),MATCH(OP_CMAB!I$31,OP_TotalRates_RES_2[[#Headers],[Ausnet]:[United Energy]],0))*
INDEX(Input_Usage[[F-CurrentVDO_Input]:[F-NextVDO_Input]],MATCH($D34&amp;" - Off peak",Input_Usage[[Ref]:[Ref]],0),MATCH($D$24,Inputs!$I$131:$M$131,0))),0)),"-")</f>
        <v>2122</v>
      </c>
      <c r="K34" s="35" t="s">
        <v>32</v>
      </c>
      <c r="L34" s="35" t="s">
        <v>163</v>
      </c>
      <c r="M34" s="97">
        <f>IFERROR(
IF($D$24="VDO 2021 - Final",
ROUNDUP(
(INDEX(OP_Rates_SME_2[[Ausnet]:[United Energy]],MATCH("Anytime - supply",OP_Rates_SME_2[[Rate name]:[Rate name]],0),MATCH(OP_CMAB!M$31,OP_Rates_SME_2[[#Headers],[Ausnet]:[United Energy]],0))*DiY)+
(INDEX(OP_RatesTU_SME_2[[Ausnet]:[United Energy]],MATCH("Anytime",OP_RatesTU_SME_2[[Rate name]:[Rate name]],0),MATCH(OP_CMAB!M$31,OP_RatesTU_SME_2[[#Headers],[Ausnet]:[United Energy]],0))*$H$27)+
(IFERROR((INDEX(OP_TotalRates_SME_2[[Ausnet]:[United Energy]],MATCH("Block 1",OP_TotalRates_SME_2[[Rate name]:[Rate name]],0),MATCH(OP_CMAB!M$31,OP_TotalRates_SME_2[[#Headers],[Ausnet]:[United Energy]],0))*
INDEX(Input_Usage[[F-CurrentVDO_Input]:[F-NextVDO_Input]],MATCH(OP_CMAB!$L34&amp;" - Block 1",Input_Usage[[Ref]:[Ref]],0),MATCH(OP_CMAB!$D$24,Inputs!$I$131:$M$131,0))),0)+
IFERROR((INDEX(OP_TotalRates_SME_2[[Ausnet]:[United Energy]],MATCH("Balance",OP_TotalRates_SME_2[[Rate name]:[Rate name]],0),MATCH(OP_CMAB!M$31,OP_TotalRates_SME_2[[#Headers],[Ausnet]:[United Energy]],0))*
INDEX(Input_Usage[[F-CurrentVDO_Input]:[F-NextVDO_Input]],MATCH(OP_CMAB!$L34&amp;" - Balance",Input_Usage[[Ref]:[Ref]],0),MATCH(OP_CMAB!$D$24,Inputs!$I$131:$M$131,0))),0)+
IFERROR((INDEX(OP_TotalRates_SME_2[[Ausnet]:[United Energy]],MATCH("Single rate",OP_TotalRates_SME_2[[Rate name]:[Rate name]],0),MATCH(OP_CMAB!M$31,OP_TotalRates_SME_2[[#Headers],[Ausnet]:[United Energy]],0))*
INDEX(Input_Usage[[F-CurrentVDO_Input]:[F-NextVDO_Input]],MATCH(OP_CMAB!$L34&amp;" - Annual",Input_Usage[[Ref]:[Ref]],0),MATCH(OP_CMAB!$D$24,Inputs!$I$131:$M$131,0))),0)),0),
ROUNDUP(
(INDEX(OP_Rates_SME_2[[Ausnet]:[United Energy]],MATCH("TOU - supply",OP_Rates_SME_2[[Rate name]:[Rate name]],0),MATCH(OP_CMAB!M$31,OP_Rates_SME_2[[#Headers],[Ausnet]:[United Energy]],0))*DiY)+
(INDEX(OP_RatesTU_SME_2[[Ausnet]:[United Energy]],MATCH("TOU",OP_RatesTU_SME_2[[Rate name]:[Rate name]],0),MATCH(OP_CMAB!M$31,OP_RatesTU_SME_2[[#Headers],[Ausnet]:[United Energy]],0))*$H$27)+
(INDEX(OP_TotalRates_SME_2[[Ausnet]:[United Energy]],MATCH("Peak",OP_TotalRates_SME_2[[Rate name]:[Rate name]],0),MATCH(OP_CMAB!M$31,OP_TotalRates_SME_2[[#Headers],[Ausnet]:[United Energy]],0))*
INDEX(Input_Usage[[F-CurrentVDO_Input]:[F-NextVDO_Input]],MATCH($L34&amp;" - Peak",Input_Usage[[Ref]:[Ref]],0),MATCH($D$24,Inputs!$I$131:$M$131,0)))+
IFERROR((INDEX(OP_TotalRates_SME_2[[Ausnet]:[United Energy]],MATCH("TOU - Shoulder",OP_TotalRates_SME_2[[Rate name]:[Rate name]],0),MATCH(OP_CMAB!M$31,OP_TotalRates_SME_2[[#Headers],[Ausnet]:[United Energy]],0))*
INDEX(Input_Usage[[F-CurrentVDO_Input]:[F-NextVDO_Input]],MATCH($L34&amp;" - Shoulder",Input_Usage[[Ref]:[Ref]],0),MATCH($D$24,Inputs!$I$131:$M$131,0))),0)+
(INDEX(OP_TotalRates_SME_2[[Ausnet]:[United Energy]],MATCH("Off peak",OP_TotalRates_SME_2[[Rate name]:[Rate name]],0),MATCH(OP_CMAB!M$31,OP_TotalRates_SME_2[[#Headers],[Ausnet]:[United Energy]],0))*
INDEX(Input_Usage[[F-CurrentVDO_Input]:[F-NextVDO_Input]],MATCH($L34&amp;" - Off peak",Input_Usage[[Ref]:[Ref]],0),MATCH($D$24,Inputs!$I$131:$M$131,0))),0)),"-")</f>
        <v>9972</v>
      </c>
      <c r="N34" s="97">
        <f>IFERROR(
IF($D$24="VDO 2021 - Final",
ROUNDUP(
(INDEX(OP_Rates_SME_2[[Ausnet]:[United Energy]],MATCH("Anytime - supply",OP_Rates_SME_2[[Rate name]:[Rate name]],0),MATCH(OP_CMAB!N$31,OP_Rates_SME_2[[#Headers],[Ausnet]:[United Energy]],0))*DiY)+
(INDEX(OP_RatesTU_SME_2[[Ausnet]:[United Energy]],MATCH("Anytime",OP_RatesTU_SME_2[[Rate name]:[Rate name]],0),MATCH(OP_CMAB!N$31,OP_RatesTU_SME_2[[#Headers],[Ausnet]:[United Energy]],0))*$H$27)+
(IFERROR((INDEX(OP_TotalRates_SME_2[[Ausnet]:[United Energy]],MATCH("Block 1",OP_TotalRates_SME_2[[Rate name]:[Rate name]],0),MATCH(OP_CMAB!N$31,OP_TotalRates_SME_2[[#Headers],[Ausnet]:[United Energy]],0))*
INDEX(Input_Usage[[F-CurrentVDO_Input]:[F-NextVDO_Input]],MATCH(OP_CMAB!$L34&amp;" - Block 1",Input_Usage[[Ref]:[Ref]],0),MATCH(OP_CMAB!$D$24,Inputs!$I$131:$M$131,0))),0)+
IFERROR((INDEX(OP_TotalRates_SME_2[[Ausnet]:[United Energy]],MATCH("Balance",OP_TotalRates_SME_2[[Rate name]:[Rate name]],0),MATCH(OP_CMAB!N$31,OP_TotalRates_SME_2[[#Headers],[Ausnet]:[United Energy]],0))*
INDEX(Input_Usage[[F-CurrentVDO_Input]:[F-NextVDO_Input]],MATCH(OP_CMAB!$L34&amp;" - Balance",Input_Usage[[Ref]:[Ref]],0),MATCH(OP_CMAB!$D$24,Inputs!$I$131:$M$131,0))),0)+
IFERROR((INDEX(OP_TotalRates_SME_2[[Ausnet]:[United Energy]],MATCH("Single rate",OP_TotalRates_SME_2[[Rate name]:[Rate name]],0),MATCH(OP_CMAB!N$31,OP_TotalRates_SME_2[[#Headers],[Ausnet]:[United Energy]],0))*
INDEX(Input_Usage[[F-CurrentVDO_Input]:[F-NextVDO_Input]],MATCH(OP_CMAB!$L34&amp;" - Annual",Input_Usage[[Ref]:[Ref]],0),MATCH(OP_CMAB!$D$24,Inputs!$I$131:$M$131,0))),0)),0),
ROUNDUP(
(INDEX(OP_Rates_SME_2[[Ausnet]:[United Energy]],MATCH("TOU - supply",OP_Rates_SME_2[[Rate name]:[Rate name]],0),MATCH(OP_CMAB!N$31,OP_Rates_SME_2[[#Headers],[Ausnet]:[United Energy]],0))*DiY)+
(INDEX(OP_RatesTU_SME_2[[Ausnet]:[United Energy]],MATCH("TOU",OP_RatesTU_SME_2[[Rate name]:[Rate name]],0),MATCH(OP_CMAB!N$31,OP_RatesTU_SME_2[[#Headers],[Ausnet]:[United Energy]],0))*$H$27)+
(INDEX(OP_TotalRates_SME_2[[Ausnet]:[United Energy]],MATCH("Peak",OP_TotalRates_SME_2[[Rate name]:[Rate name]],0),MATCH(OP_CMAB!N$31,OP_TotalRates_SME_2[[#Headers],[Ausnet]:[United Energy]],0))*
INDEX(Input_Usage[[F-CurrentVDO_Input]:[F-NextVDO_Input]],MATCH($L34&amp;" - Peak",Input_Usage[[Ref]:[Ref]],0),MATCH($D$24,Inputs!$I$131:$M$131,0)))+
IFERROR((INDEX(OP_TotalRates_SME_2[[Ausnet]:[United Energy]],MATCH("TOU - Shoulder",OP_TotalRates_SME_2[[Rate name]:[Rate name]],0),MATCH(OP_CMAB!N$31,OP_TotalRates_SME_2[[#Headers],[Ausnet]:[United Energy]],0))*
INDEX(Input_Usage[[F-CurrentVDO_Input]:[F-NextVDO_Input]],MATCH($L34&amp;" - Shoulder",Input_Usage[[Ref]:[Ref]],0),MATCH($D$24,Inputs!$I$131:$M$131,0))),0)+
(INDEX(OP_TotalRates_SME_2[[Ausnet]:[United Energy]],MATCH("Off peak",OP_TotalRates_SME_2[[Rate name]:[Rate name]],0),MATCH(OP_CMAB!N$31,OP_TotalRates_SME_2[[#Headers],[Ausnet]:[United Energy]],0))*
INDEX(Input_Usage[[F-CurrentVDO_Input]:[F-NextVDO_Input]],MATCH($L34&amp;" - Off peak",Input_Usage[[Ref]:[Ref]],0),MATCH($D$24,Inputs!$I$131:$M$131,0))),0)),"-")</f>
        <v>8697</v>
      </c>
      <c r="O34" s="97">
        <f>IFERROR(
IF($D$24="VDO 2021 - Final",
ROUNDUP(
(INDEX(OP_Rates_SME_2[[Ausnet]:[United Energy]],MATCH("Anytime - supply",OP_Rates_SME_2[[Rate name]:[Rate name]],0),MATCH(OP_CMAB!O$31,OP_Rates_SME_2[[#Headers],[Ausnet]:[United Energy]],0))*DiY)+
(INDEX(OP_RatesTU_SME_2[[Ausnet]:[United Energy]],MATCH("Anytime",OP_RatesTU_SME_2[[Rate name]:[Rate name]],0),MATCH(OP_CMAB!O$31,OP_RatesTU_SME_2[[#Headers],[Ausnet]:[United Energy]],0))*$H$27)+
(IFERROR((INDEX(OP_TotalRates_SME_2[[Ausnet]:[United Energy]],MATCH("Block 1",OP_TotalRates_SME_2[[Rate name]:[Rate name]],0),MATCH(OP_CMAB!O$31,OP_TotalRates_SME_2[[#Headers],[Ausnet]:[United Energy]],0))*
INDEX(Input_Usage[[F-CurrentVDO_Input]:[F-NextVDO_Input]],MATCH(OP_CMAB!$L34&amp;" - Block 1",Input_Usage[[Ref]:[Ref]],0),MATCH(OP_CMAB!$D$24,Inputs!$I$131:$M$131,0))),0)+
IFERROR((INDEX(OP_TotalRates_SME_2[[Ausnet]:[United Energy]],MATCH("Balance",OP_TotalRates_SME_2[[Rate name]:[Rate name]],0),MATCH(OP_CMAB!O$31,OP_TotalRates_SME_2[[#Headers],[Ausnet]:[United Energy]],0))*
INDEX(Input_Usage[[F-CurrentVDO_Input]:[F-NextVDO_Input]],MATCH(OP_CMAB!$L34&amp;" - Balance",Input_Usage[[Ref]:[Ref]],0),MATCH(OP_CMAB!$D$24,Inputs!$I$131:$M$131,0))),0)+
IFERROR((INDEX(OP_TotalRates_SME_2[[Ausnet]:[United Energy]],MATCH("Single rate",OP_TotalRates_SME_2[[Rate name]:[Rate name]],0),MATCH(OP_CMAB!O$31,OP_TotalRates_SME_2[[#Headers],[Ausnet]:[United Energy]],0))*
INDEX(Input_Usage[[F-CurrentVDO_Input]:[F-NextVDO_Input]],MATCH(OP_CMAB!$L34&amp;" - Annual",Input_Usage[[Ref]:[Ref]],0),MATCH(OP_CMAB!$D$24,Inputs!$I$131:$M$131,0))),0)),0),
ROUNDUP(
(INDEX(OP_Rates_SME_2[[Ausnet]:[United Energy]],MATCH("TOU - supply",OP_Rates_SME_2[[Rate name]:[Rate name]],0),MATCH(OP_CMAB!O$31,OP_Rates_SME_2[[#Headers],[Ausnet]:[United Energy]],0))*DiY)+
(INDEX(OP_RatesTU_SME_2[[Ausnet]:[United Energy]],MATCH("TOU",OP_RatesTU_SME_2[[Rate name]:[Rate name]],0),MATCH(OP_CMAB!O$31,OP_RatesTU_SME_2[[#Headers],[Ausnet]:[United Energy]],0))*$H$27)+
(INDEX(OP_TotalRates_SME_2[[Ausnet]:[United Energy]],MATCH("Peak",OP_TotalRates_SME_2[[Rate name]:[Rate name]],0),MATCH(OP_CMAB!O$31,OP_TotalRates_SME_2[[#Headers],[Ausnet]:[United Energy]],0))*
INDEX(Input_Usage[[F-CurrentVDO_Input]:[F-NextVDO_Input]],MATCH($L34&amp;" - Peak",Input_Usage[[Ref]:[Ref]],0),MATCH($D$24,Inputs!$I$131:$M$131,0)))+
IFERROR((INDEX(OP_TotalRates_SME_2[[Ausnet]:[United Energy]],MATCH("TOU - Shoulder",OP_TotalRates_SME_2[[Rate name]:[Rate name]],0),MATCH(OP_CMAB!O$31,OP_TotalRates_SME_2[[#Headers],[Ausnet]:[United Energy]],0))*
INDEX(Input_Usage[[F-CurrentVDO_Input]:[F-NextVDO_Input]],MATCH($L34&amp;" - Shoulder",Input_Usage[[Ref]:[Ref]],0),MATCH($D$24,Inputs!$I$131:$M$131,0))),0)+
(INDEX(OP_TotalRates_SME_2[[Ausnet]:[United Energy]],MATCH("Off peak",OP_TotalRates_SME_2[[Rate name]:[Rate name]],0),MATCH(OP_CMAB!O$31,OP_TotalRates_SME_2[[#Headers],[Ausnet]:[United Energy]],0))*
INDEX(Input_Usage[[F-CurrentVDO_Input]:[F-NextVDO_Input]],MATCH($L34&amp;" - Off peak",Input_Usage[[Ref]:[Ref]],0),MATCH($D$24,Inputs!$I$131:$M$131,0))),0)),"-")</f>
        <v>9102</v>
      </c>
      <c r="P34" s="97">
        <f>IFERROR(
IF($D$24="VDO 2021 - Final",
ROUNDUP(
(INDEX(OP_Rates_SME_2[[Ausnet]:[United Energy]],MATCH("Anytime - supply",OP_Rates_SME_2[[Rate name]:[Rate name]],0),MATCH(OP_CMAB!P$31,OP_Rates_SME_2[[#Headers],[Ausnet]:[United Energy]],0))*DiY)+
(INDEX(OP_RatesTU_SME_2[[Ausnet]:[United Energy]],MATCH("Anytime",OP_RatesTU_SME_2[[Rate name]:[Rate name]],0),MATCH(OP_CMAB!P$31,OP_RatesTU_SME_2[[#Headers],[Ausnet]:[United Energy]],0))*$H$27)+
(IFERROR((INDEX(OP_TotalRates_SME_2[[Ausnet]:[United Energy]],MATCH("Block 1",OP_TotalRates_SME_2[[Rate name]:[Rate name]],0),MATCH(OP_CMAB!P$31,OP_TotalRates_SME_2[[#Headers],[Ausnet]:[United Energy]],0))*
INDEX(Input_Usage[[F-CurrentVDO_Input]:[F-NextVDO_Input]],MATCH(OP_CMAB!$L34&amp;" - Block 1",Input_Usage[[Ref]:[Ref]],0),MATCH(OP_CMAB!$D$24,Inputs!$I$131:$M$131,0))),0)+
IFERROR((INDEX(OP_TotalRates_SME_2[[Ausnet]:[United Energy]],MATCH("Balance",OP_TotalRates_SME_2[[Rate name]:[Rate name]],0),MATCH(OP_CMAB!P$31,OP_TotalRates_SME_2[[#Headers],[Ausnet]:[United Energy]],0))*
INDEX(Input_Usage[[F-CurrentVDO_Input]:[F-NextVDO_Input]],MATCH(OP_CMAB!$L34&amp;" - Balance",Input_Usage[[Ref]:[Ref]],0),MATCH(OP_CMAB!$D$24,Inputs!$I$131:$M$131,0))),0)+
IFERROR((INDEX(OP_TotalRates_SME_2[[Ausnet]:[United Energy]],MATCH("Single rate",OP_TotalRates_SME_2[[Rate name]:[Rate name]],0),MATCH(OP_CMAB!P$31,OP_TotalRates_SME_2[[#Headers],[Ausnet]:[United Energy]],0))*
INDEX(Input_Usage[[F-CurrentVDO_Input]:[F-NextVDO_Input]],MATCH(OP_CMAB!$L34&amp;" - Annual",Input_Usage[[Ref]:[Ref]],0),MATCH(OP_CMAB!$D$24,Inputs!$I$131:$M$131,0))),0)),0),
ROUNDUP(
(INDEX(OP_Rates_SME_2[[Ausnet]:[United Energy]],MATCH("TOU - supply",OP_Rates_SME_2[[Rate name]:[Rate name]],0),MATCH(OP_CMAB!P$31,OP_Rates_SME_2[[#Headers],[Ausnet]:[United Energy]],0))*DiY)+
(INDEX(OP_RatesTU_SME_2[[Ausnet]:[United Energy]],MATCH("TOU",OP_RatesTU_SME_2[[Rate name]:[Rate name]],0),MATCH(OP_CMAB!P$31,OP_RatesTU_SME_2[[#Headers],[Ausnet]:[United Energy]],0))*$H$27)+
(INDEX(OP_TotalRates_SME_2[[Ausnet]:[United Energy]],MATCH("Peak",OP_TotalRates_SME_2[[Rate name]:[Rate name]],0),MATCH(OP_CMAB!P$31,OP_TotalRates_SME_2[[#Headers],[Ausnet]:[United Energy]],0))*
INDEX(Input_Usage[[F-CurrentVDO_Input]:[F-NextVDO_Input]],MATCH($L34&amp;" - Peak",Input_Usage[[Ref]:[Ref]],0),MATCH($D$24,Inputs!$I$131:$M$131,0)))+
IFERROR((INDEX(OP_TotalRates_SME_2[[Ausnet]:[United Energy]],MATCH("TOU - Shoulder",OP_TotalRates_SME_2[[Rate name]:[Rate name]],0),MATCH(OP_CMAB!P$31,OP_TotalRates_SME_2[[#Headers],[Ausnet]:[United Energy]],0))*
INDEX(Input_Usage[[F-CurrentVDO_Input]:[F-NextVDO_Input]],MATCH($L34&amp;" - Shoulder",Input_Usage[[Ref]:[Ref]],0),MATCH($D$24,Inputs!$I$131:$M$131,0))),0)+
(INDEX(OP_TotalRates_SME_2[[Ausnet]:[United Energy]],MATCH("Off peak",OP_TotalRates_SME_2[[Rate name]:[Rate name]],0),MATCH(OP_CMAB!P$31,OP_TotalRates_SME_2[[#Headers],[Ausnet]:[United Energy]],0))*
INDEX(Input_Usage[[F-CurrentVDO_Input]:[F-NextVDO_Input]],MATCH($L34&amp;" - Off peak",Input_Usage[[Ref]:[Ref]],0),MATCH($D$24,Inputs!$I$131:$M$131,0))),0)),"-")</f>
        <v>9162</v>
      </c>
      <c r="Q34" s="97">
        <f>IFERROR(
IF($D$24="VDO 2021 - Final",
ROUNDUP(
(INDEX(OP_Rates_SME_2[[Ausnet]:[United Energy]],MATCH("Anytime - supply",OP_Rates_SME_2[[Rate name]:[Rate name]],0),MATCH(OP_CMAB!Q$31,OP_Rates_SME_2[[#Headers],[Ausnet]:[United Energy]],0))*DiY)+
(INDEX(OP_RatesTU_SME_2[[Ausnet]:[United Energy]],MATCH("Anytime",OP_RatesTU_SME_2[[Rate name]:[Rate name]],0),MATCH(OP_CMAB!Q$31,OP_RatesTU_SME_2[[#Headers],[Ausnet]:[United Energy]],0))*$H$27)+
(IFERROR((INDEX(OP_TotalRates_SME_2[[Ausnet]:[United Energy]],MATCH("Block 1",OP_TotalRates_SME_2[[Rate name]:[Rate name]],0),MATCH(OP_CMAB!Q$31,OP_TotalRates_SME_2[[#Headers],[Ausnet]:[United Energy]],0))*
INDEX(Input_Usage[[F-CurrentVDO_Input]:[F-NextVDO_Input]],MATCH(OP_CMAB!$L34&amp;" - Block 1",Input_Usage[[Ref]:[Ref]],0),MATCH(OP_CMAB!$D$24,Inputs!$I$131:$M$131,0))),0)+
IFERROR((INDEX(OP_TotalRates_SME_2[[Ausnet]:[United Energy]],MATCH("Balance",OP_TotalRates_SME_2[[Rate name]:[Rate name]],0),MATCH(OP_CMAB!Q$31,OP_TotalRates_SME_2[[#Headers],[Ausnet]:[United Energy]],0))*
INDEX(Input_Usage[[F-CurrentVDO_Input]:[F-NextVDO_Input]],MATCH(OP_CMAB!$L34&amp;" - Balance",Input_Usage[[Ref]:[Ref]],0),MATCH(OP_CMAB!$D$24,Inputs!$I$131:$M$131,0))),0)+
IFERROR((INDEX(OP_TotalRates_SME_2[[Ausnet]:[United Energy]],MATCH("Single rate",OP_TotalRates_SME_2[[Rate name]:[Rate name]],0),MATCH(OP_CMAB!Q$31,OP_TotalRates_SME_2[[#Headers],[Ausnet]:[United Energy]],0))*
INDEX(Input_Usage[[F-CurrentVDO_Input]:[F-NextVDO_Input]],MATCH(OP_CMAB!$L34&amp;" - Annual",Input_Usage[[Ref]:[Ref]],0),MATCH(OP_CMAB!$D$24,Inputs!$I$131:$M$131,0))),0)),0),
ROUNDUP(
(INDEX(OP_Rates_SME_2[[Ausnet]:[United Energy]],MATCH("TOU - supply",OP_Rates_SME_2[[Rate name]:[Rate name]],0),MATCH(OP_CMAB!Q$31,OP_Rates_SME_2[[#Headers],[Ausnet]:[United Energy]],0))*DiY)+
(INDEX(OP_RatesTU_SME_2[[Ausnet]:[United Energy]],MATCH("TOU",OP_RatesTU_SME_2[[Rate name]:[Rate name]],0),MATCH(OP_CMAB!Q$31,OP_RatesTU_SME_2[[#Headers],[Ausnet]:[United Energy]],0))*$H$27)+
(INDEX(OP_TotalRates_SME_2[[Ausnet]:[United Energy]],MATCH("Peak",OP_TotalRates_SME_2[[Rate name]:[Rate name]],0),MATCH(OP_CMAB!Q$31,OP_TotalRates_SME_2[[#Headers],[Ausnet]:[United Energy]],0))*
INDEX(Input_Usage[[F-CurrentVDO_Input]:[F-NextVDO_Input]],MATCH($L34&amp;" - Peak",Input_Usage[[Ref]:[Ref]],0),MATCH($D$24,Inputs!$I$131:$M$131,0)))+
IFERROR((INDEX(OP_TotalRates_SME_2[[Ausnet]:[United Energy]],MATCH("TOU - Shoulder",OP_TotalRates_SME_2[[Rate name]:[Rate name]],0),MATCH(OP_CMAB!Q$31,OP_TotalRates_SME_2[[#Headers],[Ausnet]:[United Energy]],0))*
INDEX(Input_Usage[[F-CurrentVDO_Input]:[F-NextVDO_Input]],MATCH($L34&amp;" - Shoulder",Input_Usage[[Ref]:[Ref]],0),MATCH($D$24,Inputs!$I$131:$M$131,0))),0)+
(INDEX(OP_TotalRates_SME_2[[Ausnet]:[United Energy]],MATCH("Off peak",OP_TotalRates_SME_2[[Rate name]:[Rate name]],0),MATCH(OP_CMAB!Q$31,OP_TotalRates_SME_2[[#Headers],[Ausnet]:[United Energy]],0))*
INDEX(Input_Usage[[F-CurrentVDO_Input]:[F-NextVDO_Input]],MATCH($L34&amp;" - Off peak",Input_Usage[[Ref]:[Ref]],0),MATCH($D$24,Inputs!$I$131:$M$131,0))),0)),"-")</f>
        <v>8958</v>
      </c>
    </row>
    <row r="36" spans="1:18" ht="15.75" x14ac:dyDescent="0.25">
      <c r="E36" s="79">
        <f>IF($D$24="VDO 2021 - Final",
IF(E32=
ROUNDUP(
(INDEX(OP_Rates_RES_2[[Ausnet]:[United Energy]],MATCH("Anytime - supply",OP_Rates_RES_2[[Rate name]:[Rate name]],0),MATCH(OP_CMAB!E$31,OP_Rates_RES_2[[#Headers],[Ausnet]:[United Energy]],0))*DiY)+
IFERROR((INDEX(OP_RatesTU_RES_2[[Ausnet]:[United Energy]],MATCH("Anytime",OP_RatesTU_RES_2[[Rate name]:[Rate name]],0),MATCH(OP_CMAB!E$31,OP_RatesTU_RES_2[[#Headers],[Ausnet]:[United Energy]],0))*$H$27),0)+
(IFERROR((INDEX(OP_TotalRates_RES_2[[Ausnet]:[United Energy]],MATCH("Block 1",OP_TotalRates_RES_2[[Rate name]:[Rate name]],0),MATCH(OP_CMAB!E$31,OP_TotalRates_RES_2[[#Headers],[Ausnet]:[United Energy]],0))*
INDEX(Input_Usage[[F-CurrentVDO_Input]:[F-NextVDO_Input]],MATCH(OP_CMAB!$D32&amp;" - Block 1",Input_Usage[[Ref]:[Ref]],0),MATCH(OP_CMAB!$D$24,Inputs!$I$131:$M$131,0))),0)+
IFERROR((INDEX(OP_TotalRates_RES_2[[Ausnet]:[United Energy]],MATCH("Balance",OP_TotalRates_RES_2[[Rate name]:[Rate name]],0),MATCH(OP_CMAB!E$31,OP_TotalRates_RES_2[[#Headers],[Ausnet]:[United Energy]],0))*
INDEX(Input_Usage[[F-CurrentVDO_Input]:[F-NextVDO_Input]],MATCH(OP_CMAB!$D32&amp;" - Balance",Input_Usage[[Ref]:[Ref]],0),MATCH(OP_CMAB!$D$24,Inputs!$I$131:$M$131,0))),0)+
IFERROR((INDEX(OP_TotalRates_RES_2[[Ausnet]:[United Energy]],MATCH("Single rate",OP_TotalRates_RES_2[[Rate name]:[Rate name]],0),MATCH(OP_CMAB!E$31,OP_TotalRates_RES_2[[#Headers],[Ausnet]:[United Energy]],0))*
INDEX(Input_Usage[[F-CurrentVDO_Input]:[F-NextVDO_Input]],MATCH(OP_CMAB!$D32&amp;" - Annual",Input_Usage[[Ref]:[Ref]],0),MATCH(OP_CMAB!$D$24,Inputs!$I$131:$M$131,0))),0)),0),0,1),
IF(E32=
ROUNDUP(
(INDEX(OP_Rates_RES_2[[Ausnet]:[United Energy]],MATCH("TOU - supply",OP_Rates_RES_2[[Rate name]:[Rate name]],0),MATCH(OP_CMAB!E$31,OP_Rates_RES_2[[#Headers],[Ausnet]:[United Energy]],0))*DiY)+
IFERROR((INDEX(OP_RatesTU_RES_2[[Ausnet]:[United Energy]],MATCH("TOU",OP_RatesTU_RES_2[[Rate name]:[Rate name]],0),MATCH(OP_CMAB!E$31,OP_RatesTU_RES_2[[#Headers],[Ausnet]:[United Energy]],0))*$H$27),0)+
(INDEX(OP_TotalRates_RES_2[[Ausnet]:[United Energy]],MATCH("Peak",OP_TotalRates_RES_2[[Rate name]:[Rate name]],0),MATCH(OP_CMAB!E$31,OP_TotalRates_RES_2[[#Headers],[Ausnet]:[United Energy]],0))*
INDEX(Input_Usage[[F-CurrentVDO_Input]:[F-NextVDO_Input]],MATCH($D32&amp;" - Peak",Input_Usage[[Ref]:[Ref]],0),MATCH($D$24,Inputs!$I$131:$M$131,0)))+
IFERROR((INDEX(OP_TotalRates_RES_2[[Ausnet]:[United Energy]],MATCH("TOU - Shoulder",OP_TotalRates_RES_2[[Rate name]:[Rate name]],0),MATCH(OP_CMAB!E$31,OP_TotalRates_RES_2[[#Headers],[Ausnet]:[United Energy]],0))*
INDEX(Input_Usage[[F-CurrentVDO_Input]:[F-NextVDO_Input]],MATCH($D32&amp;" - Shoulder",Input_Usage[[Ref]:[Ref]],0),MATCH($D$24,Inputs!$I$131:$M$131,0))),0)+
(INDEX(OP_TotalRates_RES_2[[Ausnet]:[United Energy]],MATCH("Off peak",OP_TotalRates_RES_2[[Rate name]:[Rate name]],0),MATCH(OP_CMAB!E$31,OP_TotalRates_RES_2[[#Headers],[Ausnet]:[United Energy]],0))*
INDEX(Input_Usage[[F-CurrentVDO_Input]:[F-NextVDO_Input]],MATCH($D32&amp;" - Off peak",Input_Usage[[Ref]:[Ref]],0),MATCH($D$24,Inputs!$I$131:$M$131,0))),0),0,1))</f>
        <v>0</v>
      </c>
      <c r="F36" s="79">
        <f>IF($D$24="VDO 2021 - Final",
IF(F32=
ROUNDUP(
(INDEX(OP_Rates_RES_2[[Ausnet]:[United Energy]],MATCH("Anytime - supply",OP_Rates_RES_2[[Rate name]:[Rate name]],0),MATCH(OP_CMAB!F$31,OP_Rates_RES_2[[#Headers],[Ausnet]:[United Energy]],0))*DiY)+
IFERROR((INDEX(OP_RatesTU_RES_2[[Ausnet]:[United Energy]],MATCH("Anytime",OP_RatesTU_RES_2[[Rate name]:[Rate name]],0),MATCH(OP_CMAB!F$31,OP_RatesTU_RES_2[[#Headers],[Ausnet]:[United Energy]],0))*$H$27),0)+
(IFERROR((INDEX(OP_TotalRates_RES_2[[Ausnet]:[United Energy]],MATCH("Block 1",OP_TotalRates_RES_2[[Rate name]:[Rate name]],0),MATCH(OP_CMAB!F$31,OP_TotalRates_RES_2[[#Headers],[Ausnet]:[United Energy]],0))*
INDEX(Input_Usage[[F-CurrentVDO_Input]:[F-NextVDO_Input]],MATCH(OP_CMAB!$D32&amp;" - Block 1",Input_Usage[[Ref]:[Ref]],0),MATCH(OP_CMAB!$D$24,Inputs!$I$131:$M$131,0))),0)+
IFERROR((INDEX(OP_TotalRates_RES_2[[Ausnet]:[United Energy]],MATCH("Balance",OP_TotalRates_RES_2[[Rate name]:[Rate name]],0),MATCH(OP_CMAB!F$31,OP_TotalRates_RES_2[[#Headers],[Ausnet]:[United Energy]],0))*
INDEX(Input_Usage[[F-CurrentVDO_Input]:[F-NextVDO_Input]],MATCH(OP_CMAB!$D32&amp;" - Balance",Input_Usage[[Ref]:[Ref]],0),MATCH(OP_CMAB!$D$24,Inputs!$I$131:$M$131,0))),0)+
IFERROR((INDEX(OP_TotalRates_RES_2[[Ausnet]:[United Energy]],MATCH("Single rate",OP_TotalRates_RES_2[[Rate name]:[Rate name]],0),MATCH(OP_CMAB!F$31,OP_TotalRates_RES_2[[#Headers],[Ausnet]:[United Energy]],0))*
INDEX(Input_Usage[[F-CurrentVDO_Input]:[F-NextVDO_Input]],MATCH(OP_CMAB!$D32&amp;" - Annual",Input_Usage[[Ref]:[Ref]],0),MATCH(OP_CMAB!$D$24,Inputs!$I$131:$M$131,0))),0)),0),0,1),
IF(F32=
ROUNDUP(
(INDEX(OP_Rates_RES_2[[Ausnet]:[United Energy]],MATCH("TOU - supply",OP_Rates_RES_2[[Rate name]:[Rate name]],0),MATCH(OP_CMAB!F$31,OP_Rates_RES_2[[#Headers],[Ausnet]:[United Energy]],0))*DiY)+
IFERROR((INDEX(OP_RatesTU_RES_2[[Ausnet]:[United Energy]],MATCH("TOU",OP_RatesTU_RES_2[[Rate name]:[Rate name]],0),MATCH(OP_CMAB!F$31,OP_RatesTU_RES_2[[#Headers],[Ausnet]:[United Energy]],0))*$H$27),0)+
(INDEX(OP_TotalRates_RES_2[[Ausnet]:[United Energy]],MATCH("Peak",OP_TotalRates_RES_2[[Rate name]:[Rate name]],0),MATCH(OP_CMAB!F$31,OP_TotalRates_RES_2[[#Headers],[Ausnet]:[United Energy]],0))*
INDEX(Input_Usage[[F-CurrentVDO_Input]:[F-NextVDO_Input]],MATCH($D32&amp;" - Peak",Input_Usage[[Ref]:[Ref]],0),MATCH($D$24,Inputs!$I$131:$M$131,0)))+
IFERROR((INDEX(OP_TotalRates_RES_2[[Ausnet]:[United Energy]],MATCH("TOU - Shoulder",OP_TotalRates_RES_2[[Rate name]:[Rate name]],0),MATCH(OP_CMAB!F$31,OP_TotalRates_RES_2[[#Headers],[Ausnet]:[United Energy]],0))*
INDEX(Input_Usage[[F-CurrentVDO_Input]:[F-NextVDO_Input]],MATCH($D32&amp;" - Shoulder",Input_Usage[[Ref]:[Ref]],0),MATCH($D$24,Inputs!$I$131:$M$131,0))),0)+
(INDEX(OP_TotalRates_RES_2[[Ausnet]:[United Energy]],MATCH("Off peak",OP_TotalRates_RES_2[[Rate name]:[Rate name]],0),MATCH(OP_CMAB!F$31,OP_TotalRates_RES_2[[#Headers],[Ausnet]:[United Energy]],0))*
INDEX(Input_Usage[[F-CurrentVDO_Input]:[F-NextVDO_Input]],MATCH($D32&amp;" - Off peak",Input_Usage[[Ref]:[Ref]],0),MATCH($D$24,Inputs!$I$131:$M$131,0))),0),0,1))</f>
        <v>0</v>
      </c>
      <c r="G36" s="79">
        <f>IF($D$24="VDO 2021 - Final",
IF(G32=
ROUNDUP(
(INDEX(OP_Rates_RES_2[[Ausnet]:[United Energy]],MATCH("Anytime - supply",OP_Rates_RES_2[[Rate name]:[Rate name]],0),MATCH(OP_CMAB!G$31,OP_Rates_RES_2[[#Headers],[Ausnet]:[United Energy]],0))*DiY)+
IFERROR((INDEX(OP_RatesTU_RES_2[[Ausnet]:[United Energy]],MATCH("Anytime",OP_RatesTU_RES_2[[Rate name]:[Rate name]],0),MATCH(OP_CMAB!G$31,OP_RatesTU_RES_2[[#Headers],[Ausnet]:[United Energy]],0))*$H$27),0)+
(IFERROR((INDEX(OP_TotalRates_RES_2[[Ausnet]:[United Energy]],MATCH("Block 1",OP_TotalRates_RES_2[[Rate name]:[Rate name]],0),MATCH(OP_CMAB!G$31,OP_TotalRates_RES_2[[#Headers],[Ausnet]:[United Energy]],0))*
INDEX(Input_Usage[[F-CurrentVDO_Input]:[F-NextVDO_Input]],MATCH(OP_CMAB!$D32&amp;" - Block 1",Input_Usage[[Ref]:[Ref]],0),MATCH(OP_CMAB!$D$24,Inputs!$I$131:$M$131,0))),0)+
IFERROR((INDEX(OP_TotalRates_RES_2[[Ausnet]:[United Energy]],MATCH("Balance",OP_TotalRates_RES_2[[Rate name]:[Rate name]],0),MATCH(OP_CMAB!G$31,OP_TotalRates_RES_2[[#Headers],[Ausnet]:[United Energy]],0))*
INDEX(Input_Usage[[F-CurrentVDO_Input]:[F-NextVDO_Input]],MATCH(OP_CMAB!$D32&amp;" - Balance",Input_Usage[[Ref]:[Ref]],0),MATCH(OP_CMAB!$D$24,Inputs!$I$131:$M$131,0))),0)+
IFERROR((INDEX(OP_TotalRates_RES_2[[Ausnet]:[United Energy]],MATCH("Single rate",OP_TotalRates_RES_2[[Rate name]:[Rate name]],0),MATCH(OP_CMAB!G$31,OP_TotalRates_RES_2[[#Headers],[Ausnet]:[United Energy]],0))*
INDEX(Input_Usage[[F-CurrentVDO_Input]:[F-NextVDO_Input]],MATCH(OP_CMAB!$D32&amp;" - Annual",Input_Usage[[Ref]:[Ref]],0),MATCH(OP_CMAB!$D$24,Inputs!$I$131:$M$131,0))),0)),0),0,1),
IF(G32=
ROUNDUP(
(INDEX(OP_Rates_RES_2[[Ausnet]:[United Energy]],MATCH("TOU - supply",OP_Rates_RES_2[[Rate name]:[Rate name]],0),MATCH(OP_CMAB!G$31,OP_Rates_RES_2[[#Headers],[Ausnet]:[United Energy]],0))*DiY)+
IFERROR((INDEX(OP_RatesTU_RES_2[[Ausnet]:[United Energy]],MATCH("TOU",OP_RatesTU_RES_2[[Rate name]:[Rate name]],0),MATCH(OP_CMAB!G$31,OP_RatesTU_RES_2[[#Headers],[Ausnet]:[United Energy]],0))*$H$27),0)+
(INDEX(OP_TotalRates_RES_2[[Ausnet]:[United Energy]],MATCH("Peak",OP_TotalRates_RES_2[[Rate name]:[Rate name]],0),MATCH(OP_CMAB!G$31,OP_TotalRates_RES_2[[#Headers],[Ausnet]:[United Energy]],0))*
INDEX(Input_Usage[[F-CurrentVDO_Input]:[F-NextVDO_Input]],MATCH($D32&amp;" - Peak",Input_Usage[[Ref]:[Ref]],0),MATCH($D$24,Inputs!$I$131:$M$131,0)))+
IFERROR((INDEX(OP_TotalRates_RES_2[[Ausnet]:[United Energy]],MATCH("TOU - Shoulder",OP_TotalRates_RES_2[[Rate name]:[Rate name]],0),MATCH(OP_CMAB!G$31,OP_TotalRates_RES_2[[#Headers],[Ausnet]:[United Energy]],0))*
INDEX(Input_Usage[[F-CurrentVDO_Input]:[F-NextVDO_Input]],MATCH($D32&amp;" - Shoulder",Input_Usage[[Ref]:[Ref]],0),MATCH($D$24,Inputs!$I$131:$M$131,0))),0)+
(INDEX(OP_TotalRates_RES_2[[Ausnet]:[United Energy]],MATCH("Off peak",OP_TotalRates_RES_2[[Rate name]:[Rate name]],0),MATCH(OP_CMAB!G$31,OP_TotalRates_RES_2[[#Headers],[Ausnet]:[United Energy]],0))*
INDEX(Input_Usage[[F-CurrentVDO_Input]:[F-NextVDO_Input]],MATCH($D32&amp;" - Off peak",Input_Usage[[Ref]:[Ref]],0),MATCH($D$24,Inputs!$I$131:$M$131,0))),0),0,1))</f>
        <v>0</v>
      </c>
      <c r="H36" s="79">
        <f>IF($D$24="VDO 2021 - Final",
IF(H32=
ROUNDUP(
(INDEX(OP_Rates_RES_2[[Ausnet]:[United Energy]],MATCH("Anytime - supply",OP_Rates_RES_2[[Rate name]:[Rate name]],0),MATCH(OP_CMAB!H$31,OP_Rates_RES_2[[#Headers],[Ausnet]:[United Energy]],0))*DiY)+
IFERROR((INDEX(OP_RatesTU_RES_2[[Ausnet]:[United Energy]],MATCH("Anytime",OP_RatesTU_RES_2[[Rate name]:[Rate name]],0),MATCH(OP_CMAB!H$31,OP_RatesTU_RES_2[[#Headers],[Ausnet]:[United Energy]],0))*$H$27),0)+
(IFERROR((INDEX(OP_TotalRates_RES_2[[Ausnet]:[United Energy]],MATCH("Block 1",OP_TotalRates_RES_2[[Rate name]:[Rate name]],0),MATCH(OP_CMAB!H$31,OP_TotalRates_RES_2[[#Headers],[Ausnet]:[United Energy]],0))*
INDEX(Input_Usage[[F-CurrentVDO_Input]:[F-NextVDO_Input]],MATCH(OP_CMAB!$D32&amp;" - Block 1",Input_Usage[[Ref]:[Ref]],0),MATCH(OP_CMAB!$D$24,Inputs!$I$131:$M$131,0))),0)+
IFERROR((INDEX(OP_TotalRates_RES_2[[Ausnet]:[United Energy]],MATCH("Balance",OP_TotalRates_RES_2[[Rate name]:[Rate name]],0),MATCH(OP_CMAB!H$31,OP_TotalRates_RES_2[[#Headers],[Ausnet]:[United Energy]],0))*
INDEX(Input_Usage[[F-CurrentVDO_Input]:[F-NextVDO_Input]],MATCH(OP_CMAB!$D32&amp;" - Balance",Input_Usage[[Ref]:[Ref]],0),MATCH(OP_CMAB!$D$24,Inputs!$I$131:$M$131,0))),0)+
IFERROR((INDEX(OP_TotalRates_RES_2[[Ausnet]:[United Energy]],MATCH("Single rate",OP_TotalRates_RES_2[[Rate name]:[Rate name]],0),MATCH(OP_CMAB!H$31,OP_TotalRates_RES_2[[#Headers],[Ausnet]:[United Energy]],0))*
INDEX(Input_Usage[[F-CurrentVDO_Input]:[F-NextVDO_Input]],MATCH(OP_CMAB!$D32&amp;" - Annual",Input_Usage[[Ref]:[Ref]],0),MATCH(OP_CMAB!$D$24,Inputs!$I$131:$M$131,0))),0)),0),0,1),
IF(H32=
ROUNDUP(
(INDEX(OP_Rates_RES_2[[Ausnet]:[United Energy]],MATCH("TOU - supply",OP_Rates_RES_2[[Rate name]:[Rate name]],0),MATCH(OP_CMAB!H$31,OP_Rates_RES_2[[#Headers],[Ausnet]:[United Energy]],0))*DiY)+
IFERROR((INDEX(OP_RatesTU_RES_2[[Ausnet]:[United Energy]],MATCH("TOU",OP_RatesTU_RES_2[[Rate name]:[Rate name]],0),MATCH(OP_CMAB!H$31,OP_RatesTU_RES_2[[#Headers],[Ausnet]:[United Energy]],0))*$H$27),0)+
(INDEX(OP_TotalRates_RES_2[[Ausnet]:[United Energy]],MATCH("Peak",OP_TotalRates_RES_2[[Rate name]:[Rate name]],0),MATCH(OP_CMAB!H$31,OP_TotalRates_RES_2[[#Headers],[Ausnet]:[United Energy]],0))*
INDEX(Input_Usage[[F-CurrentVDO_Input]:[F-NextVDO_Input]],MATCH($D32&amp;" - Peak",Input_Usage[[Ref]:[Ref]],0),MATCH($D$24,Inputs!$I$131:$M$131,0)))+
IFERROR((INDEX(OP_TotalRates_RES_2[[Ausnet]:[United Energy]],MATCH("TOU - Shoulder",OP_TotalRates_RES_2[[Rate name]:[Rate name]],0),MATCH(OP_CMAB!H$31,OP_TotalRates_RES_2[[#Headers],[Ausnet]:[United Energy]],0))*
INDEX(Input_Usage[[F-CurrentVDO_Input]:[F-NextVDO_Input]],MATCH($D32&amp;" - Shoulder",Input_Usage[[Ref]:[Ref]],0),MATCH($D$24,Inputs!$I$131:$M$131,0))),0)+
(INDEX(OP_TotalRates_RES_2[[Ausnet]:[United Energy]],MATCH("Off peak",OP_TotalRates_RES_2[[Rate name]:[Rate name]],0),MATCH(OP_CMAB!H$31,OP_TotalRates_RES_2[[#Headers],[Ausnet]:[United Energy]],0))*
INDEX(Input_Usage[[F-CurrentVDO_Input]:[F-NextVDO_Input]],MATCH($D32&amp;" - Off peak",Input_Usage[[Ref]:[Ref]],0),MATCH($D$24,Inputs!$I$131:$M$131,0))),0),0,1))</f>
        <v>0</v>
      </c>
      <c r="I36" s="79">
        <f>IF($D$24="VDO 2021 - Final",
IF(I32=
ROUNDUP(
(INDEX(OP_Rates_RES_2[[Ausnet]:[United Energy]],MATCH("Anytime - supply",OP_Rates_RES_2[[Rate name]:[Rate name]],0),MATCH(OP_CMAB!I$31,OP_Rates_RES_2[[#Headers],[Ausnet]:[United Energy]],0))*DiY)+
IFERROR((INDEX(OP_RatesTU_RES_2[[Ausnet]:[United Energy]],MATCH("Anytime",OP_RatesTU_RES_2[[Rate name]:[Rate name]],0),MATCH(OP_CMAB!I$31,OP_RatesTU_RES_2[[#Headers],[Ausnet]:[United Energy]],0))*$H$27),0)+
(IFERROR((INDEX(OP_TotalRates_RES_2[[Ausnet]:[United Energy]],MATCH("Block 1",OP_TotalRates_RES_2[[Rate name]:[Rate name]],0),MATCH(OP_CMAB!I$31,OP_TotalRates_RES_2[[#Headers],[Ausnet]:[United Energy]],0))*
INDEX(Input_Usage[[F-CurrentVDO_Input]:[F-NextVDO_Input]],MATCH(OP_CMAB!$D32&amp;" - Block 1",Input_Usage[[Ref]:[Ref]],0),MATCH(OP_CMAB!$D$24,Inputs!$I$131:$M$131,0))),0)+
IFERROR((INDEX(OP_TotalRates_RES_2[[Ausnet]:[United Energy]],MATCH("Balance",OP_TotalRates_RES_2[[Rate name]:[Rate name]],0),MATCH(OP_CMAB!I$31,OP_TotalRates_RES_2[[#Headers],[Ausnet]:[United Energy]],0))*
INDEX(Input_Usage[[F-CurrentVDO_Input]:[F-NextVDO_Input]],MATCH(OP_CMAB!$D32&amp;" - Balance",Input_Usage[[Ref]:[Ref]],0),MATCH(OP_CMAB!$D$24,Inputs!$I$131:$M$131,0))),0)+
IFERROR((INDEX(OP_TotalRates_RES_2[[Ausnet]:[United Energy]],MATCH("Single rate",OP_TotalRates_RES_2[[Rate name]:[Rate name]],0),MATCH(OP_CMAB!I$31,OP_TotalRates_RES_2[[#Headers],[Ausnet]:[United Energy]],0))*
INDEX(Input_Usage[[F-CurrentVDO_Input]:[F-NextVDO_Input]],MATCH(OP_CMAB!$D32&amp;" - Annual",Input_Usage[[Ref]:[Ref]],0),MATCH(OP_CMAB!$D$24,Inputs!$I$131:$M$131,0))),0)),0),0,1),
IF(I32=
ROUNDUP(
(INDEX(OP_Rates_RES_2[[Ausnet]:[United Energy]],MATCH("TOU - supply",OP_Rates_RES_2[[Rate name]:[Rate name]],0),MATCH(OP_CMAB!I$31,OP_Rates_RES_2[[#Headers],[Ausnet]:[United Energy]],0))*DiY)+
IFERROR((INDEX(OP_RatesTU_RES_2[[Ausnet]:[United Energy]],MATCH("TOU",OP_RatesTU_RES_2[[Rate name]:[Rate name]],0),MATCH(OP_CMAB!I$31,OP_RatesTU_RES_2[[#Headers],[Ausnet]:[United Energy]],0))*$H$27),0)+
(INDEX(OP_TotalRates_RES_2[[Ausnet]:[United Energy]],MATCH("Peak",OP_TotalRates_RES_2[[Rate name]:[Rate name]],0),MATCH(OP_CMAB!I$31,OP_TotalRates_RES_2[[#Headers],[Ausnet]:[United Energy]],0))*
INDEX(Input_Usage[[F-CurrentVDO_Input]:[F-NextVDO_Input]],MATCH($D32&amp;" - Peak",Input_Usage[[Ref]:[Ref]],0),MATCH($D$24,Inputs!$I$131:$M$131,0)))+
IFERROR((INDEX(OP_TotalRates_RES_2[[Ausnet]:[United Energy]],MATCH("TOU - Shoulder",OP_TotalRates_RES_2[[Rate name]:[Rate name]],0),MATCH(OP_CMAB!I$31,OP_TotalRates_RES_2[[#Headers],[Ausnet]:[United Energy]],0))*
INDEX(Input_Usage[[F-CurrentVDO_Input]:[F-NextVDO_Input]],MATCH($D32&amp;" - Shoulder",Input_Usage[[Ref]:[Ref]],0),MATCH($D$24,Inputs!$I$131:$M$131,0))),0)+
(INDEX(OP_TotalRates_RES_2[[Ausnet]:[United Energy]],MATCH("Off peak",OP_TotalRates_RES_2[[Rate name]:[Rate name]],0),MATCH(OP_CMAB!I$31,OP_TotalRates_RES_2[[#Headers],[Ausnet]:[United Energy]],0))*
INDEX(Input_Usage[[F-CurrentVDO_Input]:[F-NextVDO_Input]],MATCH($D32&amp;" - Off peak",Input_Usage[[Ref]:[Ref]],0),MATCH($D$24,Inputs!$I$131:$M$131,0))),0),0,1))</f>
        <v>0</v>
      </c>
      <c r="M36" s="79">
        <f>IF($D$24="VDO 2021 - Final",
IF(M32=
ROUNDUP(
(INDEX(OP_Rates_SME_2[[Ausnet]:[United Energy]],MATCH("Anytime - supply",OP_Rates_SME_2[[Rate name]:[Rate name]],0),MATCH(OP_CMAB!M$31,OP_Rates_SME_2[[#Headers],[Ausnet]:[United Energy]],0))*DiY)+
IFERROR((INDEX(OP_RatesTU_SME_2[[Ausnet]:[United Energy]],MATCH("Anytime",OP_RatesTU_SME_2[[Rate name]:[Rate name]],0),MATCH(OP_CMAB!M$31,OP_RatesTU_SME_2[[#Headers],[Ausnet]:[United Energy]],0))*$H$27),0)+
(IFERROR((INDEX(OP_TotalRates_SME_2[[Ausnet]:[United Energy]],MATCH("Block 1",OP_TotalRates_SME_2[[Rate name]:[Rate name]],0),MATCH(OP_CMAB!M$31,OP_TotalRates_SME_2[[#Headers],[Ausnet]:[United Energy]],0))*
INDEX(Input_Usage[[F-CurrentVDO_Input]:[F-NextVDO_Input]],MATCH(OP_CMAB!$L32&amp;" - Block 1",Input_Usage[[Ref]:[Ref]],0),MATCH(OP_CMAB!$D$24,Inputs!$I$131:$M$131,0))),0)+
IFERROR((INDEX(OP_TotalRates_SME_2[[Ausnet]:[United Energy]],MATCH("Balance",OP_TotalRates_SME_2[[Rate name]:[Rate name]],0),MATCH(OP_CMAB!M$31,OP_TotalRates_SME_2[[#Headers],[Ausnet]:[United Energy]],0))*
INDEX(Input_Usage[[F-CurrentVDO_Input]:[F-NextVDO_Input]],MATCH(OP_CMAB!$L32&amp;" - Balance",Input_Usage[[Ref]:[Ref]],0),MATCH(OP_CMAB!$D$24,Inputs!$I$131:$M$131,0))),0)+
IFERROR((INDEX(OP_TotalRates_SME_2[[Ausnet]:[United Energy]],MATCH("Single rate",OP_TotalRates_SME_2[[Rate name]:[Rate name]],0),MATCH(OP_CMAB!M$31,OP_TotalRates_SME_2[[#Headers],[Ausnet]:[United Energy]],0))*
INDEX(Input_Usage[[F-CurrentVDO_Input]:[F-NextVDO_Input]],MATCH(OP_CMAB!$L32&amp;" - Annual",Input_Usage[[Ref]:[Ref]],0),MATCH(OP_CMAB!$D$24,Inputs!$I$131:$M$131,0))),0)),0),0,1),
IF(M32=
ROUNDUP(
(INDEX(OP_Rates_SME_2[[Ausnet]:[United Energy]],MATCH("TOU - supply",OP_Rates_SME_2[[Rate name]:[Rate name]],0),MATCH(OP_CMAB!M$31,OP_Rates_SME_2[[#Headers],[Ausnet]:[United Energy]],0))*DiY)+
IFERROR((INDEX(OP_RatesTU_SME_2[[Ausnet]:[United Energy]],MATCH("TOU",OP_RatesTU_SME_2[[Rate name]:[Rate name]],0),MATCH(OP_CMAB!M$31,OP_RatesTU_SME_2[[#Headers],[Ausnet]:[United Energy]],0))*$H$27),0)+
(INDEX(OP_TotalRates_SME_2[[Ausnet]:[United Energy]],MATCH("Peak",OP_TotalRates_SME_2[[Rate name]:[Rate name]],0),MATCH(OP_CMAB!M$31,OP_TotalRates_SME_2[[#Headers],[Ausnet]:[United Energy]],0))*
INDEX(Input_Usage[[F-CurrentVDO_Input]:[F-NextVDO_Input]],MATCH($L32&amp;" - Peak",Input_Usage[[Ref]:[Ref]],0),MATCH($D$24,Inputs!$I$131:$M$131,0)))+
IFERROR((INDEX(OP_TotalRates_SME_2[[Ausnet]:[United Energy]],MATCH("TOU - Shoulder",OP_TotalRates_SME_2[[Rate name]:[Rate name]],0),MATCH(OP_CMAB!M$31,OP_TotalRates_SME_2[[#Headers],[Ausnet]:[United Energy]],0))*
INDEX(Input_Usage[[F-CurrentVDO_Input]:[F-NextVDO_Input]],MATCH($L32&amp;" - Shoulder",Input_Usage[[Ref]:[Ref]],0),MATCH($D$24,Inputs!$I$131:$M$131,0))),0)+
(INDEX(OP_TotalRates_SME_2[[Ausnet]:[United Energy]],MATCH("Off peak",OP_TotalRates_SME_2[[Rate name]:[Rate name]],0),MATCH(OP_CMAB!M$31,OP_TotalRates_SME_2[[#Headers],[Ausnet]:[United Energy]],0))*
INDEX(Input_Usage[[F-CurrentVDO_Input]:[F-NextVDO_Input]],MATCH($L32&amp;" - Off peak",Input_Usage[[Ref]:[Ref]],0),MATCH($D$24,Inputs!$I$131:$M$131,0))),0),0,1))</f>
        <v>0</v>
      </c>
      <c r="N36" s="79">
        <f>IF($D$24="VDO 2021 - Final",
IF(N32=
ROUNDUP(
(INDEX(OP_Rates_SME_2[[Ausnet]:[United Energy]],MATCH("Anytime - supply",OP_Rates_SME_2[[Rate name]:[Rate name]],0),MATCH(OP_CMAB!N$31,OP_Rates_SME_2[[#Headers],[Ausnet]:[United Energy]],0))*DiY)+
IFERROR((INDEX(OP_RatesTU_SME_2[[Ausnet]:[United Energy]],MATCH("Anytime",OP_RatesTU_SME_2[[Rate name]:[Rate name]],0),MATCH(OP_CMAB!N$31,OP_RatesTU_SME_2[[#Headers],[Ausnet]:[United Energy]],0))*$H$27),0)+
(IFERROR((INDEX(OP_TotalRates_SME_2[[Ausnet]:[United Energy]],MATCH("Block 1",OP_TotalRates_SME_2[[Rate name]:[Rate name]],0),MATCH(OP_CMAB!N$31,OP_TotalRates_SME_2[[#Headers],[Ausnet]:[United Energy]],0))*
INDEX(Input_Usage[[F-CurrentVDO_Input]:[F-NextVDO_Input]],MATCH(OP_CMAB!$L32&amp;" - Block 1",Input_Usage[[Ref]:[Ref]],0),MATCH(OP_CMAB!$D$24,Inputs!$I$131:$M$131,0))),0)+
IFERROR((INDEX(OP_TotalRates_SME_2[[Ausnet]:[United Energy]],MATCH("Balance",OP_TotalRates_SME_2[[Rate name]:[Rate name]],0),MATCH(OP_CMAB!N$31,OP_TotalRates_SME_2[[#Headers],[Ausnet]:[United Energy]],0))*
INDEX(Input_Usage[[F-CurrentVDO_Input]:[F-NextVDO_Input]],MATCH(OP_CMAB!$L32&amp;" - Balance",Input_Usage[[Ref]:[Ref]],0),MATCH(OP_CMAB!$D$24,Inputs!$I$131:$M$131,0))),0)+
IFERROR((INDEX(OP_TotalRates_SME_2[[Ausnet]:[United Energy]],MATCH("Single rate",OP_TotalRates_SME_2[[Rate name]:[Rate name]],0),MATCH(OP_CMAB!N$31,OP_TotalRates_SME_2[[#Headers],[Ausnet]:[United Energy]],0))*
INDEX(Input_Usage[[F-CurrentVDO_Input]:[F-NextVDO_Input]],MATCH(OP_CMAB!$L32&amp;" - Annual",Input_Usage[[Ref]:[Ref]],0),MATCH(OP_CMAB!$D$24,Inputs!$I$131:$M$131,0))),0)),0),0,1),
IF(N32=
ROUNDUP(
(INDEX(OP_Rates_SME_2[[Ausnet]:[United Energy]],MATCH("TOU - supply",OP_Rates_SME_2[[Rate name]:[Rate name]],0),MATCH(OP_CMAB!N$31,OP_Rates_SME_2[[#Headers],[Ausnet]:[United Energy]],0))*DiY)+
IFERROR((INDEX(OP_RatesTU_SME_2[[Ausnet]:[United Energy]],MATCH("TOU",OP_RatesTU_SME_2[[Rate name]:[Rate name]],0),MATCH(OP_CMAB!N$31,OP_RatesTU_SME_2[[#Headers],[Ausnet]:[United Energy]],0))*$H$27),0)+
(INDEX(OP_TotalRates_SME_2[[Ausnet]:[United Energy]],MATCH("Peak",OP_TotalRates_SME_2[[Rate name]:[Rate name]],0),MATCH(OP_CMAB!N$31,OP_TotalRates_SME_2[[#Headers],[Ausnet]:[United Energy]],0))*
INDEX(Input_Usage[[F-CurrentVDO_Input]:[F-NextVDO_Input]],MATCH($L32&amp;" - Peak",Input_Usage[[Ref]:[Ref]],0),MATCH($D$24,Inputs!$I$131:$M$131,0)))+
IFERROR((INDEX(OP_TotalRates_SME_2[[Ausnet]:[United Energy]],MATCH("TOU - Shoulder",OP_TotalRates_SME_2[[Rate name]:[Rate name]],0),MATCH(OP_CMAB!N$31,OP_TotalRates_SME_2[[#Headers],[Ausnet]:[United Energy]],0))*
INDEX(Input_Usage[[F-CurrentVDO_Input]:[F-NextVDO_Input]],MATCH($L32&amp;" - Shoulder",Input_Usage[[Ref]:[Ref]],0),MATCH($D$24,Inputs!$I$131:$M$131,0))),0)+
(INDEX(OP_TotalRates_SME_2[[Ausnet]:[United Energy]],MATCH("Off peak",OP_TotalRates_SME_2[[Rate name]:[Rate name]],0),MATCH(OP_CMAB!N$31,OP_TotalRates_SME_2[[#Headers],[Ausnet]:[United Energy]],0))*
INDEX(Input_Usage[[F-CurrentVDO_Input]:[F-NextVDO_Input]],MATCH($L32&amp;" - Off peak",Input_Usage[[Ref]:[Ref]],0),MATCH($D$24,Inputs!$I$131:$M$131,0))),0),0,1))</f>
        <v>0</v>
      </c>
      <c r="O36" s="79">
        <f>IF($D$24="VDO 2021 - Final",
IF(O32=
ROUNDUP(
(INDEX(OP_Rates_SME_2[[Ausnet]:[United Energy]],MATCH("Anytime - supply",OP_Rates_SME_2[[Rate name]:[Rate name]],0),MATCH(OP_CMAB!O$31,OP_Rates_SME_2[[#Headers],[Ausnet]:[United Energy]],0))*DiY)+
IFERROR((INDEX(OP_RatesTU_SME_2[[Ausnet]:[United Energy]],MATCH("Anytime",OP_RatesTU_SME_2[[Rate name]:[Rate name]],0),MATCH(OP_CMAB!O$31,OP_RatesTU_SME_2[[#Headers],[Ausnet]:[United Energy]],0))*$H$27),0)+
(IFERROR((INDEX(OP_TotalRates_SME_2[[Ausnet]:[United Energy]],MATCH("Block 1",OP_TotalRates_SME_2[[Rate name]:[Rate name]],0),MATCH(OP_CMAB!O$31,OP_TotalRates_SME_2[[#Headers],[Ausnet]:[United Energy]],0))*
INDEX(Input_Usage[[F-CurrentVDO_Input]:[F-NextVDO_Input]],MATCH(OP_CMAB!$L32&amp;" - Block 1",Input_Usage[[Ref]:[Ref]],0),MATCH(OP_CMAB!$D$24,Inputs!$I$131:$M$131,0))),0)+
IFERROR((INDEX(OP_TotalRates_SME_2[[Ausnet]:[United Energy]],MATCH("Balance",OP_TotalRates_SME_2[[Rate name]:[Rate name]],0),MATCH(OP_CMAB!O$31,OP_TotalRates_SME_2[[#Headers],[Ausnet]:[United Energy]],0))*
INDEX(Input_Usage[[F-CurrentVDO_Input]:[F-NextVDO_Input]],MATCH(OP_CMAB!$L32&amp;" - Balance",Input_Usage[[Ref]:[Ref]],0),MATCH(OP_CMAB!$D$24,Inputs!$I$131:$M$131,0))),0)+
IFERROR((INDEX(OP_TotalRates_SME_2[[Ausnet]:[United Energy]],MATCH("Single rate",OP_TotalRates_SME_2[[Rate name]:[Rate name]],0),MATCH(OP_CMAB!O$31,OP_TotalRates_SME_2[[#Headers],[Ausnet]:[United Energy]],0))*
INDEX(Input_Usage[[F-CurrentVDO_Input]:[F-NextVDO_Input]],MATCH(OP_CMAB!$L32&amp;" - Annual",Input_Usage[[Ref]:[Ref]],0),MATCH(OP_CMAB!$D$24,Inputs!$I$131:$M$131,0))),0)),0),0,1),
IF(O32=
ROUNDUP(
(INDEX(OP_Rates_SME_2[[Ausnet]:[United Energy]],MATCH("TOU - supply",OP_Rates_SME_2[[Rate name]:[Rate name]],0),MATCH(OP_CMAB!O$31,OP_Rates_SME_2[[#Headers],[Ausnet]:[United Energy]],0))*DiY)+
IFERROR((INDEX(OP_RatesTU_SME_2[[Ausnet]:[United Energy]],MATCH("TOU",OP_RatesTU_SME_2[[Rate name]:[Rate name]],0),MATCH(OP_CMAB!O$31,OP_RatesTU_SME_2[[#Headers],[Ausnet]:[United Energy]],0))*$H$27),0)+
(INDEX(OP_TotalRates_SME_2[[Ausnet]:[United Energy]],MATCH("Peak",OP_TotalRates_SME_2[[Rate name]:[Rate name]],0),MATCH(OP_CMAB!O$31,OP_TotalRates_SME_2[[#Headers],[Ausnet]:[United Energy]],0))*
INDEX(Input_Usage[[F-CurrentVDO_Input]:[F-NextVDO_Input]],MATCH($L32&amp;" - Peak",Input_Usage[[Ref]:[Ref]],0),MATCH($D$24,Inputs!$I$131:$M$131,0)))+
IFERROR((INDEX(OP_TotalRates_SME_2[[Ausnet]:[United Energy]],MATCH("TOU - Shoulder",OP_TotalRates_SME_2[[Rate name]:[Rate name]],0),MATCH(OP_CMAB!O$31,OP_TotalRates_SME_2[[#Headers],[Ausnet]:[United Energy]],0))*
INDEX(Input_Usage[[F-CurrentVDO_Input]:[F-NextVDO_Input]],MATCH($L32&amp;" - Shoulder",Input_Usage[[Ref]:[Ref]],0),MATCH($D$24,Inputs!$I$131:$M$131,0))),0)+
(INDEX(OP_TotalRates_SME_2[[Ausnet]:[United Energy]],MATCH("Off peak",OP_TotalRates_SME_2[[Rate name]:[Rate name]],0),MATCH(OP_CMAB!O$31,OP_TotalRates_SME_2[[#Headers],[Ausnet]:[United Energy]],0))*
INDEX(Input_Usage[[F-CurrentVDO_Input]:[F-NextVDO_Input]],MATCH($L32&amp;" - Off peak",Input_Usage[[Ref]:[Ref]],0),MATCH($D$24,Inputs!$I$131:$M$131,0))),0),0,1))</f>
        <v>0</v>
      </c>
      <c r="P36" s="79">
        <f>IF($D$24="VDO 2021 - Final",
IF(P32=
ROUNDUP(
(INDEX(OP_Rates_SME_2[[Ausnet]:[United Energy]],MATCH("Anytime - supply",OP_Rates_SME_2[[Rate name]:[Rate name]],0),MATCH(OP_CMAB!P$31,OP_Rates_SME_2[[#Headers],[Ausnet]:[United Energy]],0))*DiY)+
IFERROR((INDEX(OP_RatesTU_SME_2[[Ausnet]:[United Energy]],MATCH("Anytime",OP_RatesTU_SME_2[[Rate name]:[Rate name]],0),MATCH(OP_CMAB!P$31,OP_RatesTU_SME_2[[#Headers],[Ausnet]:[United Energy]],0))*$H$27),0)+
(IFERROR((INDEX(OP_TotalRates_SME_2[[Ausnet]:[United Energy]],MATCH("Block 1",OP_TotalRates_SME_2[[Rate name]:[Rate name]],0),MATCH(OP_CMAB!P$31,OP_TotalRates_SME_2[[#Headers],[Ausnet]:[United Energy]],0))*
INDEX(Input_Usage[[F-CurrentVDO_Input]:[F-NextVDO_Input]],MATCH(OP_CMAB!$L32&amp;" - Block 1",Input_Usage[[Ref]:[Ref]],0),MATCH(OP_CMAB!$D$24,Inputs!$I$131:$M$131,0))),0)+
IFERROR((INDEX(OP_TotalRates_SME_2[[Ausnet]:[United Energy]],MATCH("Balance",OP_TotalRates_SME_2[[Rate name]:[Rate name]],0),MATCH(OP_CMAB!P$31,OP_TotalRates_SME_2[[#Headers],[Ausnet]:[United Energy]],0))*
INDEX(Input_Usage[[F-CurrentVDO_Input]:[F-NextVDO_Input]],MATCH(OP_CMAB!$L32&amp;" - Balance",Input_Usage[[Ref]:[Ref]],0),MATCH(OP_CMAB!$D$24,Inputs!$I$131:$M$131,0))),0)+
IFERROR((INDEX(OP_TotalRates_SME_2[[Ausnet]:[United Energy]],MATCH("Single rate",OP_TotalRates_SME_2[[Rate name]:[Rate name]],0),MATCH(OP_CMAB!P$31,OP_TotalRates_SME_2[[#Headers],[Ausnet]:[United Energy]],0))*
INDEX(Input_Usage[[F-CurrentVDO_Input]:[F-NextVDO_Input]],MATCH(OP_CMAB!$L32&amp;" - Annual",Input_Usage[[Ref]:[Ref]],0),MATCH(OP_CMAB!$D$24,Inputs!$I$131:$M$131,0))),0)),0),0,1),
IF(P32=
ROUNDUP(
(INDEX(OP_Rates_SME_2[[Ausnet]:[United Energy]],MATCH("TOU - supply",OP_Rates_SME_2[[Rate name]:[Rate name]],0),MATCH(OP_CMAB!P$31,OP_Rates_SME_2[[#Headers],[Ausnet]:[United Energy]],0))*DiY)+
IFERROR((INDEX(OP_RatesTU_SME_2[[Ausnet]:[United Energy]],MATCH("TOU",OP_RatesTU_SME_2[[Rate name]:[Rate name]],0),MATCH(OP_CMAB!P$31,OP_RatesTU_SME_2[[#Headers],[Ausnet]:[United Energy]],0))*$H$27),0)+
(INDEX(OP_TotalRates_SME_2[[Ausnet]:[United Energy]],MATCH("Peak",OP_TotalRates_SME_2[[Rate name]:[Rate name]],0),MATCH(OP_CMAB!P$31,OP_TotalRates_SME_2[[#Headers],[Ausnet]:[United Energy]],0))*
INDEX(Input_Usage[[F-CurrentVDO_Input]:[F-NextVDO_Input]],MATCH($L32&amp;" - Peak",Input_Usage[[Ref]:[Ref]],0),MATCH($D$24,Inputs!$I$131:$M$131,0)))+
IFERROR((INDEX(OP_TotalRates_SME_2[[Ausnet]:[United Energy]],MATCH("TOU - Shoulder",OP_TotalRates_SME_2[[Rate name]:[Rate name]],0),MATCH(OP_CMAB!P$31,OP_TotalRates_SME_2[[#Headers],[Ausnet]:[United Energy]],0))*
INDEX(Input_Usage[[F-CurrentVDO_Input]:[F-NextVDO_Input]],MATCH($L32&amp;" - Shoulder",Input_Usage[[Ref]:[Ref]],0),MATCH($D$24,Inputs!$I$131:$M$131,0))),0)+
(INDEX(OP_TotalRates_SME_2[[Ausnet]:[United Energy]],MATCH("Off peak",OP_TotalRates_SME_2[[Rate name]:[Rate name]],0),MATCH(OP_CMAB!P$31,OP_TotalRates_SME_2[[#Headers],[Ausnet]:[United Energy]],0))*
INDEX(Input_Usage[[F-CurrentVDO_Input]:[F-NextVDO_Input]],MATCH($L32&amp;" - Off peak",Input_Usage[[Ref]:[Ref]],0),MATCH($D$24,Inputs!$I$131:$M$131,0))),0),0,1))</f>
        <v>0</v>
      </c>
      <c r="Q36" s="79">
        <f>IF($D$24="VDO 2021 - Final",
IF(Q32=
ROUNDUP(
(INDEX(OP_Rates_SME_2[[Ausnet]:[United Energy]],MATCH("Anytime - supply",OP_Rates_SME_2[[Rate name]:[Rate name]],0),MATCH(OP_CMAB!Q$31,OP_Rates_SME_2[[#Headers],[Ausnet]:[United Energy]],0))*DiY)+
IFERROR((INDEX(OP_RatesTU_SME_2[[Ausnet]:[United Energy]],MATCH("Anytime",OP_RatesTU_SME_2[[Rate name]:[Rate name]],0),MATCH(OP_CMAB!Q$31,OP_RatesTU_SME_2[[#Headers],[Ausnet]:[United Energy]],0))*$H$27),0)+
(IFERROR((INDEX(OP_TotalRates_SME_2[[Ausnet]:[United Energy]],MATCH("Block 1",OP_TotalRates_SME_2[[Rate name]:[Rate name]],0),MATCH(OP_CMAB!Q$31,OP_TotalRates_SME_2[[#Headers],[Ausnet]:[United Energy]],0))*
INDEX(Input_Usage[[F-CurrentVDO_Input]:[F-NextVDO_Input]],MATCH(OP_CMAB!$L32&amp;" - Block 1",Input_Usage[[Ref]:[Ref]],0),MATCH(OP_CMAB!$D$24,Inputs!$I$131:$M$131,0))),0)+
IFERROR((INDEX(OP_TotalRates_SME_2[[Ausnet]:[United Energy]],MATCH("Balance",OP_TotalRates_SME_2[[Rate name]:[Rate name]],0),MATCH(OP_CMAB!Q$31,OP_TotalRates_SME_2[[#Headers],[Ausnet]:[United Energy]],0))*
INDEX(Input_Usage[[F-CurrentVDO_Input]:[F-NextVDO_Input]],MATCH(OP_CMAB!$L32&amp;" - Balance",Input_Usage[[Ref]:[Ref]],0),MATCH(OP_CMAB!$D$24,Inputs!$I$131:$M$131,0))),0)+
IFERROR((INDEX(OP_TotalRates_SME_2[[Ausnet]:[United Energy]],MATCH("Single rate",OP_TotalRates_SME_2[[Rate name]:[Rate name]],0),MATCH(OP_CMAB!Q$31,OP_TotalRates_SME_2[[#Headers],[Ausnet]:[United Energy]],0))*
INDEX(Input_Usage[[F-CurrentVDO_Input]:[F-NextVDO_Input]],MATCH(OP_CMAB!$L32&amp;" - Annual",Input_Usage[[Ref]:[Ref]],0),MATCH(OP_CMAB!$D$24,Inputs!$I$131:$M$131,0))),0)),0),0,1),
IF(Q32=
ROUNDUP(
(INDEX(OP_Rates_SME_2[[Ausnet]:[United Energy]],MATCH("TOU - supply",OP_Rates_SME_2[[Rate name]:[Rate name]],0),MATCH(OP_CMAB!Q$31,OP_Rates_SME_2[[#Headers],[Ausnet]:[United Energy]],0))*DiY)+
IFERROR((INDEX(OP_RatesTU_SME_2[[Ausnet]:[United Energy]],MATCH("TOU",OP_RatesTU_SME_2[[Rate name]:[Rate name]],0),MATCH(OP_CMAB!Q$31,OP_RatesTU_SME_2[[#Headers],[Ausnet]:[United Energy]],0))*$H$27),0)+
(INDEX(OP_TotalRates_SME_2[[Ausnet]:[United Energy]],MATCH("Peak",OP_TotalRates_SME_2[[Rate name]:[Rate name]],0),MATCH(OP_CMAB!Q$31,OP_TotalRates_SME_2[[#Headers],[Ausnet]:[United Energy]],0))*
INDEX(Input_Usage[[F-CurrentVDO_Input]:[F-NextVDO_Input]],MATCH($L32&amp;" - Peak",Input_Usage[[Ref]:[Ref]],0),MATCH($D$24,Inputs!$I$131:$M$131,0)))+
IFERROR((INDEX(OP_TotalRates_SME_2[[Ausnet]:[United Energy]],MATCH("TOU - Shoulder",OP_TotalRates_SME_2[[Rate name]:[Rate name]],0),MATCH(OP_CMAB!Q$31,OP_TotalRates_SME_2[[#Headers],[Ausnet]:[United Energy]],0))*
INDEX(Input_Usage[[F-CurrentVDO_Input]:[F-NextVDO_Input]],MATCH($L32&amp;" - Shoulder",Input_Usage[[Ref]:[Ref]],0),MATCH($D$24,Inputs!$I$131:$M$131,0))),0)+
(INDEX(OP_TotalRates_SME_2[[Ausnet]:[United Energy]],MATCH("Off peak",OP_TotalRates_SME_2[[Rate name]:[Rate name]],0),MATCH(OP_CMAB!Q$31,OP_TotalRates_SME_2[[#Headers],[Ausnet]:[United Energy]],0))*
INDEX(Input_Usage[[F-CurrentVDO_Input]:[F-NextVDO_Input]],MATCH($L32&amp;" - Off peak",Input_Usage[[Ref]:[Ref]],0),MATCH($D$24,Inputs!$I$131:$M$131,0))),0),0,1))</f>
        <v>0</v>
      </c>
    </row>
    <row r="37" spans="1:18" ht="15.75" x14ac:dyDescent="0.25">
      <c r="E37" s="79">
        <f>IF($D$24="VDO 2021 - Final",
IF(E33=
ROUNDUP(
(INDEX(OP_Rates_RES_2[[Ausnet]:[United Energy]],MATCH("Anytime - supply",OP_Rates_RES_2[[Rate name]:[Rate name]],0),MATCH(OP_CMAB!E$31,OP_Rates_RES_2[[#Headers],[Ausnet]:[United Energy]],0))*DiY)+
IFERROR((INDEX(OP_RatesTU_RES_2[[Ausnet]:[United Energy]],MATCH("Anytime",OP_RatesTU_RES_2[[Rate name]:[Rate name]],0),MATCH(OP_CMAB!E$31,OP_RatesTU_RES_2[[#Headers],[Ausnet]:[United Energy]],0))*$H$27),0)+
(IFERROR((INDEX(OP_TotalRates_RES_2[[Ausnet]:[United Energy]],MATCH("Block 1",OP_TotalRates_RES_2[[Rate name]:[Rate name]],0),MATCH(OP_CMAB!E$31,OP_TotalRates_RES_2[[#Headers],[Ausnet]:[United Energy]],0))*
INDEX(Input_Usage[[F-CurrentVDO_Input]:[F-NextVDO_Input]],MATCH(OP_CMAB!$D33&amp;" - Block 1",Input_Usage[[Ref]:[Ref]],0),MATCH(OP_CMAB!$D$24,Inputs!$I$131:$M$131,0))),0)+
IFERROR((INDEX(OP_TotalRates_RES_2[[Ausnet]:[United Energy]],MATCH("Balance",OP_TotalRates_RES_2[[Rate name]:[Rate name]],0),MATCH(OP_CMAB!E$31,OP_TotalRates_RES_2[[#Headers],[Ausnet]:[United Energy]],0))*
INDEX(Input_Usage[[F-CurrentVDO_Input]:[F-NextVDO_Input]],MATCH(OP_CMAB!$D33&amp;" - Balance",Input_Usage[[Ref]:[Ref]],0),MATCH(OP_CMAB!$D$24,Inputs!$I$131:$M$131,0))),0)+
IFERROR((INDEX(OP_TotalRates_RES_2[[Ausnet]:[United Energy]],MATCH("Single rate",OP_TotalRates_RES_2[[Rate name]:[Rate name]],0),MATCH(OP_CMAB!E$31,OP_TotalRates_RES_2[[#Headers],[Ausnet]:[United Energy]],0))*
INDEX(Input_Usage[[F-CurrentVDO_Input]:[F-NextVDO_Input]],MATCH(OP_CMAB!$D33&amp;" - Annual",Input_Usage[[Ref]:[Ref]],0),MATCH(OP_CMAB!$D$24,Inputs!$I$131:$M$131,0))),0)),0),0,1),
IF(E33=
ROUNDUP(
(INDEX(OP_Rates_RES_2[[Ausnet]:[United Energy]],MATCH("TOU - supply",OP_Rates_RES_2[[Rate name]:[Rate name]],0),MATCH(OP_CMAB!E$31,OP_Rates_RES_2[[#Headers],[Ausnet]:[United Energy]],0))*DiY)+
IFERROR((INDEX(OP_RatesTU_RES_2[[Ausnet]:[United Energy]],MATCH("TOU",OP_RatesTU_RES_2[[Rate name]:[Rate name]],0),MATCH(OP_CMAB!E$31,OP_RatesTU_RES_2[[#Headers],[Ausnet]:[United Energy]],0))*$H$27),0)+
(INDEX(OP_TotalRates_RES_2[[Ausnet]:[United Energy]],MATCH("Peak",OP_TotalRates_RES_2[[Rate name]:[Rate name]],0),MATCH(OP_CMAB!E$31,OP_TotalRates_RES_2[[#Headers],[Ausnet]:[United Energy]],0))*
INDEX(Input_Usage[[F-CurrentVDO_Input]:[F-NextVDO_Input]],MATCH($D33&amp;" - Peak",Input_Usage[[Ref]:[Ref]],0),MATCH($D$24,Inputs!$I$131:$M$131,0)))+
IFERROR((INDEX(OP_TotalRates_RES_2[[Ausnet]:[United Energy]],MATCH("TOU - Shoulder",OP_TotalRates_RES_2[[Rate name]:[Rate name]],0),MATCH(OP_CMAB!E$31,OP_TotalRates_RES_2[[#Headers],[Ausnet]:[United Energy]],0))*
INDEX(Input_Usage[[F-CurrentVDO_Input]:[F-NextVDO_Input]],MATCH($D33&amp;" - Shoulder",Input_Usage[[Ref]:[Ref]],0),MATCH($D$24,Inputs!$I$131:$M$131,0))),0)+
(INDEX(OP_TotalRates_RES_2[[Ausnet]:[United Energy]],MATCH("Off peak",OP_TotalRates_RES_2[[Rate name]:[Rate name]],0),MATCH(OP_CMAB!E$31,OP_TotalRates_RES_2[[#Headers],[Ausnet]:[United Energy]],0))*
INDEX(Input_Usage[[F-CurrentVDO_Input]:[F-NextVDO_Input]],MATCH($D33&amp;" - Off peak",Input_Usage[[Ref]:[Ref]],0),MATCH($D$24,Inputs!$I$131:$M$131,0))),0),0,1))</f>
        <v>0</v>
      </c>
      <c r="F37" s="79">
        <f>IF($D$24="VDO 2021 - Final",
IF(F33=
ROUNDUP(
(INDEX(OP_Rates_RES_2[[Ausnet]:[United Energy]],MATCH("Anytime - supply",OP_Rates_RES_2[[Rate name]:[Rate name]],0),MATCH(OP_CMAB!F$31,OP_Rates_RES_2[[#Headers],[Ausnet]:[United Energy]],0))*DiY)+
IFERROR((INDEX(OP_RatesTU_RES_2[[Ausnet]:[United Energy]],MATCH("Anytime",OP_RatesTU_RES_2[[Rate name]:[Rate name]],0),MATCH(OP_CMAB!F$31,OP_RatesTU_RES_2[[#Headers],[Ausnet]:[United Energy]],0))*$H$27),0)+
(IFERROR((INDEX(OP_TotalRates_RES_2[[Ausnet]:[United Energy]],MATCH("Block 1",OP_TotalRates_RES_2[[Rate name]:[Rate name]],0),MATCH(OP_CMAB!F$31,OP_TotalRates_RES_2[[#Headers],[Ausnet]:[United Energy]],0))*
INDEX(Input_Usage[[F-CurrentVDO_Input]:[F-NextVDO_Input]],MATCH(OP_CMAB!$D33&amp;" - Block 1",Input_Usage[[Ref]:[Ref]],0),MATCH(OP_CMAB!$D$24,Inputs!$I$131:$M$131,0))),0)+
IFERROR((INDEX(OP_TotalRates_RES_2[[Ausnet]:[United Energy]],MATCH("Balance",OP_TotalRates_RES_2[[Rate name]:[Rate name]],0),MATCH(OP_CMAB!F$31,OP_TotalRates_RES_2[[#Headers],[Ausnet]:[United Energy]],0))*
INDEX(Input_Usage[[F-CurrentVDO_Input]:[F-NextVDO_Input]],MATCH(OP_CMAB!$D33&amp;" - Balance",Input_Usage[[Ref]:[Ref]],0),MATCH(OP_CMAB!$D$24,Inputs!$I$131:$M$131,0))),0)+
IFERROR((INDEX(OP_TotalRates_RES_2[[Ausnet]:[United Energy]],MATCH("Single rate",OP_TotalRates_RES_2[[Rate name]:[Rate name]],0),MATCH(OP_CMAB!F$31,OP_TotalRates_RES_2[[#Headers],[Ausnet]:[United Energy]],0))*
INDEX(Input_Usage[[F-CurrentVDO_Input]:[F-NextVDO_Input]],MATCH(OP_CMAB!$D33&amp;" - Annual",Input_Usage[[Ref]:[Ref]],0),MATCH(OP_CMAB!$D$24,Inputs!$I$131:$M$131,0))),0)),0),0,1),
IF(F33=
ROUNDUP(
(INDEX(OP_Rates_RES_2[[Ausnet]:[United Energy]],MATCH("TOU - supply",OP_Rates_RES_2[[Rate name]:[Rate name]],0),MATCH(OP_CMAB!F$31,OP_Rates_RES_2[[#Headers],[Ausnet]:[United Energy]],0))*DiY)+
IFERROR((INDEX(OP_RatesTU_RES_2[[Ausnet]:[United Energy]],MATCH("TOU",OP_RatesTU_RES_2[[Rate name]:[Rate name]],0),MATCH(OP_CMAB!F$31,OP_RatesTU_RES_2[[#Headers],[Ausnet]:[United Energy]],0))*$H$27),0)+
(INDEX(OP_TotalRates_RES_2[[Ausnet]:[United Energy]],MATCH("Peak",OP_TotalRates_RES_2[[Rate name]:[Rate name]],0),MATCH(OP_CMAB!F$31,OP_TotalRates_RES_2[[#Headers],[Ausnet]:[United Energy]],0))*
INDEX(Input_Usage[[F-CurrentVDO_Input]:[F-NextVDO_Input]],MATCH($D33&amp;" - Peak",Input_Usage[[Ref]:[Ref]],0),MATCH($D$24,Inputs!$I$131:$M$131,0)))+
IFERROR((INDEX(OP_TotalRates_RES_2[[Ausnet]:[United Energy]],MATCH("TOU - Shoulder",OP_TotalRates_RES_2[[Rate name]:[Rate name]],0),MATCH(OP_CMAB!F$31,OP_TotalRates_RES_2[[#Headers],[Ausnet]:[United Energy]],0))*
INDEX(Input_Usage[[F-CurrentVDO_Input]:[F-NextVDO_Input]],MATCH($D33&amp;" - Shoulder",Input_Usage[[Ref]:[Ref]],0),MATCH($D$24,Inputs!$I$131:$M$131,0))),0)+
(INDEX(OP_TotalRates_RES_2[[Ausnet]:[United Energy]],MATCH("Off peak",OP_TotalRates_RES_2[[Rate name]:[Rate name]],0),MATCH(OP_CMAB!F$31,OP_TotalRates_RES_2[[#Headers],[Ausnet]:[United Energy]],0))*
INDEX(Input_Usage[[F-CurrentVDO_Input]:[F-NextVDO_Input]],MATCH($D33&amp;" - Off peak",Input_Usage[[Ref]:[Ref]],0),MATCH($D$24,Inputs!$I$131:$M$131,0))),0),0,1))</f>
        <v>0</v>
      </c>
      <c r="G37" s="79">
        <f>IF($D$24="VDO 2021 - Final",
IF(G33=
ROUNDUP(
(INDEX(OP_Rates_RES_2[[Ausnet]:[United Energy]],MATCH("Anytime - supply",OP_Rates_RES_2[[Rate name]:[Rate name]],0),MATCH(OP_CMAB!G$31,OP_Rates_RES_2[[#Headers],[Ausnet]:[United Energy]],0))*DiY)+
IFERROR((INDEX(OP_RatesTU_RES_2[[Ausnet]:[United Energy]],MATCH("Anytime",OP_RatesTU_RES_2[[Rate name]:[Rate name]],0),MATCH(OP_CMAB!G$31,OP_RatesTU_RES_2[[#Headers],[Ausnet]:[United Energy]],0))*$H$27),0)+
(IFERROR((INDEX(OP_TotalRates_RES_2[[Ausnet]:[United Energy]],MATCH("Block 1",OP_TotalRates_RES_2[[Rate name]:[Rate name]],0),MATCH(OP_CMAB!G$31,OP_TotalRates_RES_2[[#Headers],[Ausnet]:[United Energy]],0))*
INDEX(Input_Usage[[F-CurrentVDO_Input]:[F-NextVDO_Input]],MATCH(OP_CMAB!$D33&amp;" - Block 1",Input_Usage[[Ref]:[Ref]],0),MATCH(OP_CMAB!$D$24,Inputs!$I$131:$M$131,0))),0)+
IFERROR((INDEX(OP_TotalRates_RES_2[[Ausnet]:[United Energy]],MATCH("Balance",OP_TotalRates_RES_2[[Rate name]:[Rate name]],0),MATCH(OP_CMAB!G$31,OP_TotalRates_RES_2[[#Headers],[Ausnet]:[United Energy]],0))*
INDEX(Input_Usage[[F-CurrentVDO_Input]:[F-NextVDO_Input]],MATCH(OP_CMAB!$D33&amp;" - Balance",Input_Usage[[Ref]:[Ref]],0),MATCH(OP_CMAB!$D$24,Inputs!$I$131:$M$131,0))),0)+
IFERROR((INDEX(OP_TotalRates_RES_2[[Ausnet]:[United Energy]],MATCH("Single rate",OP_TotalRates_RES_2[[Rate name]:[Rate name]],0),MATCH(OP_CMAB!G$31,OP_TotalRates_RES_2[[#Headers],[Ausnet]:[United Energy]],0))*
INDEX(Input_Usage[[F-CurrentVDO_Input]:[F-NextVDO_Input]],MATCH(OP_CMAB!$D33&amp;" - Annual",Input_Usage[[Ref]:[Ref]],0),MATCH(OP_CMAB!$D$24,Inputs!$I$131:$M$131,0))),0)),0),0,1),
IF(G33=
ROUNDUP(
(INDEX(OP_Rates_RES_2[[Ausnet]:[United Energy]],MATCH("TOU - supply",OP_Rates_RES_2[[Rate name]:[Rate name]],0),MATCH(OP_CMAB!G$31,OP_Rates_RES_2[[#Headers],[Ausnet]:[United Energy]],0))*DiY)+
IFERROR((INDEX(OP_RatesTU_RES_2[[Ausnet]:[United Energy]],MATCH("TOU",OP_RatesTU_RES_2[[Rate name]:[Rate name]],0),MATCH(OP_CMAB!G$31,OP_RatesTU_RES_2[[#Headers],[Ausnet]:[United Energy]],0))*$H$27),0)+
(INDEX(OP_TotalRates_RES_2[[Ausnet]:[United Energy]],MATCH("Peak",OP_TotalRates_RES_2[[Rate name]:[Rate name]],0),MATCH(OP_CMAB!G$31,OP_TotalRates_RES_2[[#Headers],[Ausnet]:[United Energy]],0))*
INDEX(Input_Usage[[F-CurrentVDO_Input]:[F-NextVDO_Input]],MATCH($D33&amp;" - Peak",Input_Usage[[Ref]:[Ref]],0),MATCH($D$24,Inputs!$I$131:$M$131,0)))+
IFERROR((INDEX(OP_TotalRates_RES_2[[Ausnet]:[United Energy]],MATCH("TOU - Shoulder",OP_TotalRates_RES_2[[Rate name]:[Rate name]],0),MATCH(OP_CMAB!G$31,OP_TotalRates_RES_2[[#Headers],[Ausnet]:[United Energy]],0))*
INDEX(Input_Usage[[F-CurrentVDO_Input]:[F-NextVDO_Input]],MATCH($D33&amp;" - Shoulder",Input_Usage[[Ref]:[Ref]],0),MATCH($D$24,Inputs!$I$131:$M$131,0))),0)+
(INDEX(OP_TotalRates_RES_2[[Ausnet]:[United Energy]],MATCH("Off peak",OP_TotalRates_RES_2[[Rate name]:[Rate name]],0),MATCH(OP_CMAB!G$31,OP_TotalRates_RES_2[[#Headers],[Ausnet]:[United Energy]],0))*
INDEX(Input_Usage[[F-CurrentVDO_Input]:[F-NextVDO_Input]],MATCH($D33&amp;" - Off peak",Input_Usage[[Ref]:[Ref]],0),MATCH($D$24,Inputs!$I$131:$M$131,0))),0),0,1))</f>
        <v>0</v>
      </c>
      <c r="H37" s="79">
        <f>IF($D$24="VDO 2021 - Final",
IF(H33=
ROUNDUP(
(INDEX(OP_Rates_RES_2[[Ausnet]:[United Energy]],MATCH("Anytime - supply",OP_Rates_RES_2[[Rate name]:[Rate name]],0),MATCH(OP_CMAB!H$31,OP_Rates_RES_2[[#Headers],[Ausnet]:[United Energy]],0))*DiY)+
IFERROR((INDEX(OP_RatesTU_RES_2[[Ausnet]:[United Energy]],MATCH("Anytime",OP_RatesTU_RES_2[[Rate name]:[Rate name]],0),MATCH(OP_CMAB!H$31,OP_RatesTU_RES_2[[#Headers],[Ausnet]:[United Energy]],0))*$H$27),0)+
(IFERROR((INDEX(OP_TotalRates_RES_2[[Ausnet]:[United Energy]],MATCH("Block 1",OP_TotalRates_RES_2[[Rate name]:[Rate name]],0),MATCH(OP_CMAB!H$31,OP_TotalRates_RES_2[[#Headers],[Ausnet]:[United Energy]],0))*
INDEX(Input_Usage[[F-CurrentVDO_Input]:[F-NextVDO_Input]],MATCH(OP_CMAB!$D33&amp;" - Block 1",Input_Usage[[Ref]:[Ref]],0),MATCH(OP_CMAB!$D$24,Inputs!$I$131:$M$131,0))),0)+
IFERROR((INDEX(OP_TotalRates_RES_2[[Ausnet]:[United Energy]],MATCH("Balance",OP_TotalRates_RES_2[[Rate name]:[Rate name]],0),MATCH(OP_CMAB!H$31,OP_TotalRates_RES_2[[#Headers],[Ausnet]:[United Energy]],0))*
INDEX(Input_Usage[[F-CurrentVDO_Input]:[F-NextVDO_Input]],MATCH(OP_CMAB!$D33&amp;" - Balance",Input_Usage[[Ref]:[Ref]],0),MATCH(OP_CMAB!$D$24,Inputs!$I$131:$M$131,0))),0)+
IFERROR((INDEX(OP_TotalRates_RES_2[[Ausnet]:[United Energy]],MATCH("Single rate",OP_TotalRates_RES_2[[Rate name]:[Rate name]],0),MATCH(OP_CMAB!H$31,OP_TotalRates_RES_2[[#Headers],[Ausnet]:[United Energy]],0))*
INDEX(Input_Usage[[F-CurrentVDO_Input]:[F-NextVDO_Input]],MATCH(OP_CMAB!$D33&amp;" - Annual",Input_Usage[[Ref]:[Ref]],0),MATCH(OP_CMAB!$D$24,Inputs!$I$131:$M$131,0))),0)),0),0,1),
IF(H33=
ROUNDUP(
(INDEX(OP_Rates_RES_2[[Ausnet]:[United Energy]],MATCH("TOU - supply",OP_Rates_RES_2[[Rate name]:[Rate name]],0),MATCH(OP_CMAB!H$31,OP_Rates_RES_2[[#Headers],[Ausnet]:[United Energy]],0))*DiY)+
IFERROR((INDEX(OP_RatesTU_RES_2[[Ausnet]:[United Energy]],MATCH("TOU",OP_RatesTU_RES_2[[Rate name]:[Rate name]],0),MATCH(OP_CMAB!H$31,OP_RatesTU_RES_2[[#Headers],[Ausnet]:[United Energy]],0))*$H$27),0)+
(INDEX(OP_TotalRates_RES_2[[Ausnet]:[United Energy]],MATCH("Peak",OP_TotalRates_RES_2[[Rate name]:[Rate name]],0),MATCH(OP_CMAB!H$31,OP_TotalRates_RES_2[[#Headers],[Ausnet]:[United Energy]],0))*
INDEX(Input_Usage[[F-CurrentVDO_Input]:[F-NextVDO_Input]],MATCH($D33&amp;" - Peak",Input_Usage[[Ref]:[Ref]],0),MATCH($D$24,Inputs!$I$131:$M$131,0)))+
IFERROR((INDEX(OP_TotalRates_RES_2[[Ausnet]:[United Energy]],MATCH("TOU - Shoulder",OP_TotalRates_RES_2[[Rate name]:[Rate name]],0),MATCH(OP_CMAB!H$31,OP_TotalRates_RES_2[[#Headers],[Ausnet]:[United Energy]],0))*
INDEX(Input_Usage[[F-CurrentVDO_Input]:[F-NextVDO_Input]],MATCH($D33&amp;" - Shoulder",Input_Usage[[Ref]:[Ref]],0),MATCH($D$24,Inputs!$I$131:$M$131,0))),0)+
(INDEX(OP_TotalRates_RES_2[[Ausnet]:[United Energy]],MATCH("Off peak",OP_TotalRates_RES_2[[Rate name]:[Rate name]],0),MATCH(OP_CMAB!H$31,OP_TotalRates_RES_2[[#Headers],[Ausnet]:[United Energy]],0))*
INDEX(Input_Usage[[F-CurrentVDO_Input]:[F-NextVDO_Input]],MATCH($D33&amp;" - Off peak",Input_Usage[[Ref]:[Ref]],0),MATCH($D$24,Inputs!$I$131:$M$131,0))),0),0,1))</f>
        <v>0</v>
      </c>
      <c r="I37" s="79">
        <f>IF($D$24="VDO 2021 - Final",
IF(I33=
ROUNDUP(
(INDEX(OP_Rates_RES_2[[Ausnet]:[United Energy]],MATCH("Anytime - supply",OP_Rates_RES_2[[Rate name]:[Rate name]],0),MATCH(OP_CMAB!I$31,OP_Rates_RES_2[[#Headers],[Ausnet]:[United Energy]],0))*DiY)+
IFERROR((INDEX(OP_RatesTU_RES_2[[Ausnet]:[United Energy]],MATCH("Anytime",OP_RatesTU_RES_2[[Rate name]:[Rate name]],0),MATCH(OP_CMAB!I$31,OP_RatesTU_RES_2[[#Headers],[Ausnet]:[United Energy]],0))*$H$27),0)+
(IFERROR((INDEX(OP_TotalRates_RES_2[[Ausnet]:[United Energy]],MATCH("Block 1",OP_TotalRates_RES_2[[Rate name]:[Rate name]],0),MATCH(OP_CMAB!I$31,OP_TotalRates_RES_2[[#Headers],[Ausnet]:[United Energy]],0))*
INDEX(Input_Usage[[F-CurrentVDO_Input]:[F-NextVDO_Input]],MATCH(OP_CMAB!$D33&amp;" - Block 1",Input_Usage[[Ref]:[Ref]],0),MATCH(OP_CMAB!$D$24,Inputs!$I$131:$M$131,0))),0)+
IFERROR((INDEX(OP_TotalRates_RES_2[[Ausnet]:[United Energy]],MATCH("Balance",OP_TotalRates_RES_2[[Rate name]:[Rate name]],0),MATCH(OP_CMAB!I$31,OP_TotalRates_RES_2[[#Headers],[Ausnet]:[United Energy]],0))*
INDEX(Input_Usage[[F-CurrentVDO_Input]:[F-NextVDO_Input]],MATCH(OP_CMAB!$D33&amp;" - Balance",Input_Usage[[Ref]:[Ref]],0),MATCH(OP_CMAB!$D$24,Inputs!$I$131:$M$131,0))),0)+
IFERROR((INDEX(OP_TotalRates_RES_2[[Ausnet]:[United Energy]],MATCH("Single rate",OP_TotalRates_RES_2[[Rate name]:[Rate name]],0),MATCH(OP_CMAB!I$31,OP_TotalRates_RES_2[[#Headers],[Ausnet]:[United Energy]],0))*
INDEX(Input_Usage[[F-CurrentVDO_Input]:[F-NextVDO_Input]],MATCH(OP_CMAB!$D33&amp;" - Annual",Input_Usage[[Ref]:[Ref]],0),MATCH(OP_CMAB!$D$24,Inputs!$I$131:$M$131,0))),0)),0),0,1),
IF(I33=
ROUNDUP(
(INDEX(OP_Rates_RES_2[[Ausnet]:[United Energy]],MATCH("TOU - supply",OP_Rates_RES_2[[Rate name]:[Rate name]],0),MATCH(OP_CMAB!I$31,OP_Rates_RES_2[[#Headers],[Ausnet]:[United Energy]],0))*DiY)+
IFERROR((INDEX(OP_RatesTU_RES_2[[Ausnet]:[United Energy]],MATCH("TOU",OP_RatesTU_RES_2[[Rate name]:[Rate name]],0),MATCH(OP_CMAB!I$31,OP_RatesTU_RES_2[[#Headers],[Ausnet]:[United Energy]],0))*$H$27),0)+
(INDEX(OP_TotalRates_RES_2[[Ausnet]:[United Energy]],MATCH("Peak",OP_TotalRates_RES_2[[Rate name]:[Rate name]],0),MATCH(OP_CMAB!I$31,OP_TotalRates_RES_2[[#Headers],[Ausnet]:[United Energy]],0))*
INDEX(Input_Usage[[F-CurrentVDO_Input]:[F-NextVDO_Input]],MATCH($D33&amp;" - Peak",Input_Usage[[Ref]:[Ref]],0),MATCH($D$24,Inputs!$I$131:$M$131,0)))+
IFERROR((INDEX(OP_TotalRates_RES_2[[Ausnet]:[United Energy]],MATCH("TOU - Shoulder",OP_TotalRates_RES_2[[Rate name]:[Rate name]],0),MATCH(OP_CMAB!I$31,OP_TotalRates_RES_2[[#Headers],[Ausnet]:[United Energy]],0))*
INDEX(Input_Usage[[F-CurrentVDO_Input]:[F-NextVDO_Input]],MATCH($D33&amp;" - Shoulder",Input_Usage[[Ref]:[Ref]],0),MATCH($D$24,Inputs!$I$131:$M$131,0))),0)+
(INDEX(OP_TotalRates_RES_2[[Ausnet]:[United Energy]],MATCH("Off peak",OP_TotalRates_RES_2[[Rate name]:[Rate name]],0),MATCH(OP_CMAB!I$31,OP_TotalRates_RES_2[[#Headers],[Ausnet]:[United Energy]],0))*
INDEX(Input_Usage[[F-CurrentVDO_Input]:[F-NextVDO_Input]],MATCH($D33&amp;" - Off peak",Input_Usage[[Ref]:[Ref]],0),MATCH($D$24,Inputs!$I$131:$M$131,0))),0),0,1))</f>
        <v>0</v>
      </c>
      <c r="M37" s="79">
        <f>IF($D$24="VDO 2021 - Final",
IF(M33=
ROUNDUP(
(INDEX(OP_Rates_SME_2[[Ausnet]:[United Energy]],MATCH("Anytime - supply",OP_Rates_SME_2[[Rate name]:[Rate name]],0),MATCH(OP_CMAB!M$31,OP_Rates_SME_2[[#Headers],[Ausnet]:[United Energy]],0))*DiY)+
IFERROR((INDEX(OP_RatesTU_SME_2[[Ausnet]:[United Energy]],MATCH("Anytime",OP_RatesTU_SME_2[[Rate name]:[Rate name]],0),MATCH(OP_CMAB!M$31,OP_RatesTU_SME_2[[#Headers],[Ausnet]:[United Energy]],0))*$H$27),0)+
(IFERROR((INDEX(OP_TotalRates_SME_2[[Ausnet]:[United Energy]],MATCH("Block 1",OP_TotalRates_SME_2[[Rate name]:[Rate name]],0),MATCH(OP_CMAB!M$31,OP_TotalRates_SME_2[[#Headers],[Ausnet]:[United Energy]],0))*
INDEX(Input_Usage[[F-CurrentVDO_Input]:[F-NextVDO_Input]],MATCH(OP_CMAB!$L33&amp;" - Block 1",Input_Usage[[Ref]:[Ref]],0),MATCH(OP_CMAB!$D$24,Inputs!$I$131:$M$131,0))),0)+
IFERROR((INDEX(OP_TotalRates_SME_2[[Ausnet]:[United Energy]],MATCH("Balance",OP_TotalRates_SME_2[[Rate name]:[Rate name]],0),MATCH(OP_CMAB!M$31,OP_TotalRates_SME_2[[#Headers],[Ausnet]:[United Energy]],0))*
INDEX(Input_Usage[[F-CurrentVDO_Input]:[F-NextVDO_Input]],MATCH(OP_CMAB!$L33&amp;" - Balance",Input_Usage[[Ref]:[Ref]],0),MATCH(OP_CMAB!$D$24,Inputs!$I$131:$M$131,0))),0)+
IFERROR((INDEX(OP_TotalRates_SME_2[[Ausnet]:[United Energy]],MATCH("Single rate",OP_TotalRates_SME_2[[Rate name]:[Rate name]],0),MATCH(OP_CMAB!M$31,OP_TotalRates_SME_2[[#Headers],[Ausnet]:[United Energy]],0))*
INDEX(Input_Usage[[F-CurrentVDO_Input]:[F-NextVDO_Input]],MATCH(OP_CMAB!$L33&amp;" - Annual",Input_Usage[[Ref]:[Ref]],0),MATCH(OP_CMAB!$D$24,Inputs!$I$131:$M$131,0))),0)),0),0,1),
IF(M33=
ROUNDUP(
(INDEX(OP_Rates_SME_2[[Ausnet]:[United Energy]],MATCH("TOU - supply",OP_Rates_SME_2[[Rate name]:[Rate name]],0),MATCH(OP_CMAB!M$31,OP_Rates_SME_2[[#Headers],[Ausnet]:[United Energy]],0))*DiY)+
IFERROR((INDEX(OP_RatesTU_SME_2[[Ausnet]:[United Energy]],MATCH("TOU",OP_RatesTU_SME_2[[Rate name]:[Rate name]],0),MATCH(OP_CMAB!M$31,OP_RatesTU_SME_2[[#Headers],[Ausnet]:[United Energy]],0))*$H$27),0)+
(INDEX(OP_TotalRates_SME_2[[Ausnet]:[United Energy]],MATCH("Peak",OP_TotalRates_SME_2[[Rate name]:[Rate name]],0),MATCH(OP_CMAB!M$31,OP_TotalRates_SME_2[[#Headers],[Ausnet]:[United Energy]],0))*
INDEX(Input_Usage[[F-CurrentVDO_Input]:[F-NextVDO_Input]],MATCH($L33&amp;" - Peak",Input_Usage[[Ref]:[Ref]],0),MATCH($D$24,Inputs!$I$131:$M$131,0)))+
IFERROR((INDEX(OP_TotalRates_SME_2[[Ausnet]:[United Energy]],MATCH("TOU - Shoulder",OP_TotalRates_SME_2[[Rate name]:[Rate name]],0),MATCH(OP_CMAB!M$31,OP_TotalRates_SME_2[[#Headers],[Ausnet]:[United Energy]],0))*
INDEX(Input_Usage[[F-CurrentVDO_Input]:[F-NextVDO_Input]],MATCH($L33&amp;" - Shoulder",Input_Usage[[Ref]:[Ref]],0),MATCH($D$24,Inputs!$I$131:$M$131,0))),0)+
(INDEX(OP_TotalRates_SME_2[[Ausnet]:[United Energy]],MATCH("Off peak",OP_TotalRates_SME_2[[Rate name]:[Rate name]],0),MATCH(OP_CMAB!M$31,OP_TotalRates_SME_2[[#Headers],[Ausnet]:[United Energy]],0))*
INDEX(Input_Usage[[F-CurrentVDO_Input]:[F-NextVDO_Input]],MATCH($L33&amp;" - Off peak",Input_Usage[[Ref]:[Ref]],0),MATCH($D$24,Inputs!$I$131:$M$131,0))),0),0,1))</f>
        <v>0</v>
      </c>
      <c r="N37" s="79">
        <f>IF($D$24="VDO 2021 - Final",
IF(N33=
ROUNDUP(
(INDEX(OP_Rates_SME_2[[Ausnet]:[United Energy]],MATCH("Anytime - supply",OP_Rates_SME_2[[Rate name]:[Rate name]],0),MATCH(OP_CMAB!N$31,OP_Rates_SME_2[[#Headers],[Ausnet]:[United Energy]],0))*DiY)+
IFERROR((INDEX(OP_RatesTU_SME_2[[Ausnet]:[United Energy]],MATCH("Anytime",OP_RatesTU_SME_2[[Rate name]:[Rate name]],0),MATCH(OP_CMAB!N$31,OP_RatesTU_SME_2[[#Headers],[Ausnet]:[United Energy]],0))*$H$27),0)+
(IFERROR((INDEX(OP_TotalRates_SME_2[[Ausnet]:[United Energy]],MATCH("Block 1",OP_TotalRates_SME_2[[Rate name]:[Rate name]],0),MATCH(OP_CMAB!N$31,OP_TotalRates_SME_2[[#Headers],[Ausnet]:[United Energy]],0))*
INDEX(Input_Usage[[F-CurrentVDO_Input]:[F-NextVDO_Input]],MATCH(OP_CMAB!$L33&amp;" - Block 1",Input_Usage[[Ref]:[Ref]],0),MATCH(OP_CMAB!$D$24,Inputs!$I$131:$M$131,0))),0)+
IFERROR((INDEX(OP_TotalRates_SME_2[[Ausnet]:[United Energy]],MATCH("Balance",OP_TotalRates_SME_2[[Rate name]:[Rate name]],0),MATCH(OP_CMAB!N$31,OP_TotalRates_SME_2[[#Headers],[Ausnet]:[United Energy]],0))*
INDEX(Input_Usage[[F-CurrentVDO_Input]:[F-NextVDO_Input]],MATCH(OP_CMAB!$L33&amp;" - Balance",Input_Usage[[Ref]:[Ref]],0),MATCH(OP_CMAB!$D$24,Inputs!$I$131:$M$131,0))),0)+
IFERROR((INDEX(OP_TotalRates_SME_2[[Ausnet]:[United Energy]],MATCH("Single rate",OP_TotalRates_SME_2[[Rate name]:[Rate name]],0),MATCH(OP_CMAB!N$31,OP_TotalRates_SME_2[[#Headers],[Ausnet]:[United Energy]],0))*
INDEX(Input_Usage[[F-CurrentVDO_Input]:[F-NextVDO_Input]],MATCH(OP_CMAB!$L33&amp;" - Annual",Input_Usage[[Ref]:[Ref]],0),MATCH(OP_CMAB!$D$24,Inputs!$I$131:$M$131,0))),0)),0),0,1),
IF(N33=
ROUNDUP(
(INDEX(OP_Rates_SME_2[[Ausnet]:[United Energy]],MATCH("TOU - supply",OP_Rates_SME_2[[Rate name]:[Rate name]],0),MATCH(OP_CMAB!N$31,OP_Rates_SME_2[[#Headers],[Ausnet]:[United Energy]],0))*DiY)+
IFERROR((INDEX(OP_RatesTU_SME_2[[Ausnet]:[United Energy]],MATCH("TOU",OP_RatesTU_SME_2[[Rate name]:[Rate name]],0),MATCH(OP_CMAB!N$31,OP_RatesTU_SME_2[[#Headers],[Ausnet]:[United Energy]],0))*$H$27),0)+
(INDEX(OP_TotalRates_SME_2[[Ausnet]:[United Energy]],MATCH("Peak",OP_TotalRates_SME_2[[Rate name]:[Rate name]],0),MATCH(OP_CMAB!N$31,OP_TotalRates_SME_2[[#Headers],[Ausnet]:[United Energy]],0))*
INDEX(Input_Usage[[F-CurrentVDO_Input]:[F-NextVDO_Input]],MATCH($L33&amp;" - Peak",Input_Usage[[Ref]:[Ref]],0),MATCH($D$24,Inputs!$I$131:$M$131,0)))+
IFERROR((INDEX(OP_TotalRates_SME_2[[Ausnet]:[United Energy]],MATCH("TOU - Shoulder",OP_TotalRates_SME_2[[Rate name]:[Rate name]],0),MATCH(OP_CMAB!N$31,OP_TotalRates_SME_2[[#Headers],[Ausnet]:[United Energy]],0))*
INDEX(Input_Usage[[F-CurrentVDO_Input]:[F-NextVDO_Input]],MATCH($L33&amp;" - Shoulder",Input_Usage[[Ref]:[Ref]],0),MATCH($D$24,Inputs!$I$131:$M$131,0))),0)+
(INDEX(OP_TotalRates_SME_2[[Ausnet]:[United Energy]],MATCH("Off peak",OP_TotalRates_SME_2[[Rate name]:[Rate name]],0),MATCH(OP_CMAB!N$31,OP_TotalRates_SME_2[[#Headers],[Ausnet]:[United Energy]],0))*
INDEX(Input_Usage[[F-CurrentVDO_Input]:[F-NextVDO_Input]],MATCH($L33&amp;" - Off peak",Input_Usage[[Ref]:[Ref]],0),MATCH($D$24,Inputs!$I$131:$M$131,0))),0),0,1))</f>
        <v>0</v>
      </c>
      <c r="O37" s="79">
        <f>IF($D$24="VDO 2021 - Final",
IF(O33=
ROUNDUP(
(INDEX(OP_Rates_SME_2[[Ausnet]:[United Energy]],MATCH("Anytime - supply",OP_Rates_SME_2[[Rate name]:[Rate name]],0),MATCH(OP_CMAB!O$31,OP_Rates_SME_2[[#Headers],[Ausnet]:[United Energy]],0))*DiY)+
IFERROR((INDEX(OP_RatesTU_SME_2[[Ausnet]:[United Energy]],MATCH("Anytime",OP_RatesTU_SME_2[[Rate name]:[Rate name]],0),MATCH(OP_CMAB!O$31,OP_RatesTU_SME_2[[#Headers],[Ausnet]:[United Energy]],0))*$H$27),0)+
(IFERROR((INDEX(OP_TotalRates_SME_2[[Ausnet]:[United Energy]],MATCH("Block 1",OP_TotalRates_SME_2[[Rate name]:[Rate name]],0),MATCH(OP_CMAB!O$31,OP_TotalRates_SME_2[[#Headers],[Ausnet]:[United Energy]],0))*
INDEX(Input_Usage[[F-CurrentVDO_Input]:[F-NextVDO_Input]],MATCH(OP_CMAB!$L33&amp;" - Block 1",Input_Usage[[Ref]:[Ref]],0),MATCH(OP_CMAB!$D$24,Inputs!$I$131:$M$131,0))),0)+
IFERROR((INDEX(OP_TotalRates_SME_2[[Ausnet]:[United Energy]],MATCH("Balance",OP_TotalRates_SME_2[[Rate name]:[Rate name]],0),MATCH(OP_CMAB!O$31,OP_TotalRates_SME_2[[#Headers],[Ausnet]:[United Energy]],0))*
INDEX(Input_Usage[[F-CurrentVDO_Input]:[F-NextVDO_Input]],MATCH(OP_CMAB!$L33&amp;" - Balance",Input_Usage[[Ref]:[Ref]],0),MATCH(OP_CMAB!$D$24,Inputs!$I$131:$M$131,0))),0)+
IFERROR((INDEX(OP_TotalRates_SME_2[[Ausnet]:[United Energy]],MATCH("Single rate",OP_TotalRates_SME_2[[Rate name]:[Rate name]],0),MATCH(OP_CMAB!O$31,OP_TotalRates_SME_2[[#Headers],[Ausnet]:[United Energy]],0))*
INDEX(Input_Usage[[F-CurrentVDO_Input]:[F-NextVDO_Input]],MATCH(OP_CMAB!$L33&amp;" - Annual",Input_Usage[[Ref]:[Ref]],0),MATCH(OP_CMAB!$D$24,Inputs!$I$131:$M$131,0))),0)),0),0,1),
IF(O33=
ROUNDUP(
(INDEX(OP_Rates_SME_2[[Ausnet]:[United Energy]],MATCH("TOU - supply",OP_Rates_SME_2[[Rate name]:[Rate name]],0),MATCH(OP_CMAB!O$31,OP_Rates_SME_2[[#Headers],[Ausnet]:[United Energy]],0))*DiY)+
IFERROR((INDEX(OP_RatesTU_SME_2[[Ausnet]:[United Energy]],MATCH("TOU",OP_RatesTU_SME_2[[Rate name]:[Rate name]],0),MATCH(OP_CMAB!O$31,OP_RatesTU_SME_2[[#Headers],[Ausnet]:[United Energy]],0))*$H$27),0)+
(INDEX(OP_TotalRates_SME_2[[Ausnet]:[United Energy]],MATCH("Peak",OP_TotalRates_SME_2[[Rate name]:[Rate name]],0),MATCH(OP_CMAB!O$31,OP_TotalRates_SME_2[[#Headers],[Ausnet]:[United Energy]],0))*
INDEX(Input_Usage[[F-CurrentVDO_Input]:[F-NextVDO_Input]],MATCH($L33&amp;" - Peak",Input_Usage[[Ref]:[Ref]],0),MATCH($D$24,Inputs!$I$131:$M$131,0)))+
IFERROR((INDEX(OP_TotalRates_SME_2[[Ausnet]:[United Energy]],MATCH("TOU - Shoulder",OP_TotalRates_SME_2[[Rate name]:[Rate name]],0),MATCH(OP_CMAB!O$31,OP_TotalRates_SME_2[[#Headers],[Ausnet]:[United Energy]],0))*
INDEX(Input_Usage[[F-CurrentVDO_Input]:[F-NextVDO_Input]],MATCH($L33&amp;" - Shoulder",Input_Usage[[Ref]:[Ref]],0),MATCH($D$24,Inputs!$I$131:$M$131,0))),0)+
(INDEX(OP_TotalRates_SME_2[[Ausnet]:[United Energy]],MATCH("Off peak",OP_TotalRates_SME_2[[Rate name]:[Rate name]],0),MATCH(OP_CMAB!O$31,OP_TotalRates_SME_2[[#Headers],[Ausnet]:[United Energy]],0))*
INDEX(Input_Usage[[F-CurrentVDO_Input]:[F-NextVDO_Input]],MATCH($L33&amp;" - Off peak",Input_Usage[[Ref]:[Ref]],0),MATCH($D$24,Inputs!$I$131:$M$131,0))),0),0,1))</f>
        <v>0</v>
      </c>
      <c r="P37" s="79">
        <f>IF($D$24="VDO 2021 - Final",
IF(P33=
ROUNDUP(
(INDEX(OP_Rates_SME_2[[Ausnet]:[United Energy]],MATCH("Anytime - supply",OP_Rates_SME_2[[Rate name]:[Rate name]],0),MATCH(OP_CMAB!P$31,OP_Rates_SME_2[[#Headers],[Ausnet]:[United Energy]],0))*DiY)+
IFERROR((INDEX(OP_RatesTU_SME_2[[Ausnet]:[United Energy]],MATCH("Anytime",OP_RatesTU_SME_2[[Rate name]:[Rate name]],0),MATCH(OP_CMAB!P$31,OP_RatesTU_SME_2[[#Headers],[Ausnet]:[United Energy]],0))*$H$27),0)+
(IFERROR((INDEX(OP_TotalRates_SME_2[[Ausnet]:[United Energy]],MATCH("Block 1",OP_TotalRates_SME_2[[Rate name]:[Rate name]],0),MATCH(OP_CMAB!P$31,OP_TotalRates_SME_2[[#Headers],[Ausnet]:[United Energy]],0))*
INDEX(Input_Usage[[F-CurrentVDO_Input]:[F-NextVDO_Input]],MATCH(OP_CMAB!$L33&amp;" - Block 1",Input_Usage[[Ref]:[Ref]],0),MATCH(OP_CMAB!$D$24,Inputs!$I$131:$M$131,0))),0)+
IFERROR((INDEX(OP_TotalRates_SME_2[[Ausnet]:[United Energy]],MATCH("Balance",OP_TotalRates_SME_2[[Rate name]:[Rate name]],0),MATCH(OP_CMAB!P$31,OP_TotalRates_SME_2[[#Headers],[Ausnet]:[United Energy]],0))*
INDEX(Input_Usage[[F-CurrentVDO_Input]:[F-NextVDO_Input]],MATCH(OP_CMAB!$L33&amp;" - Balance",Input_Usage[[Ref]:[Ref]],0),MATCH(OP_CMAB!$D$24,Inputs!$I$131:$M$131,0))),0)+
IFERROR((INDEX(OP_TotalRates_SME_2[[Ausnet]:[United Energy]],MATCH("Single rate",OP_TotalRates_SME_2[[Rate name]:[Rate name]],0),MATCH(OP_CMAB!P$31,OP_TotalRates_SME_2[[#Headers],[Ausnet]:[United Energy]],0))*
INDEX(Input_Usage[[F-CurrentVDO_Input]:[F-NextVDO_Input]],MATCH(OP_CMAB!$L33&amp;" - Annual",Input_Usage[[Ref]:[Ref]],0),MATCH(OP_CMAB!$D$24,Inputs!$I$131:$M$131,0))),0)),0),0,1),
IF(P33=
ROUNDUP(
(INDEX(OP_Rates_SME_2[[Ausnet]:[United Energy]],MATCH("TOU - supply",OP_Rates_SME_2[[Rate name]:[Rate name]],0),MATCH(OP_CMAB!P$31,OP_Rates_SME_2[[#Headers],[Ausnet]:[United Energy]],0))*DiY)+
IFERROR((INDEX(OP_RatesTU_SME_2[[Ausnet]:[United Energy]],MATCH("TOU",OP_RatesTU_SME_2[[Rate name]:[Rate name]],0),MATCH(OP_CMAB!P$31,OP_RatesTU_SME_2[[#Headers],[Ausnet]:[United Energy]],0))*$H$27),0)+
(INDEX(OP_TotalRates_SME_2[[Ausnet]:[United Energy]],MATCH("Peak",OP_TotalRates_SME_2[[Rate name]:[Rate name]],0),MATCH(OP_CMAB!P$31,OP_TotalRates_SME_2[[#Headers],[Ausnet]:[United Energy]],0))*
INDEX(Input_Usage[[F-CurrentVDO_Input]:[F-NextVDO_Input]],MATCH($L33&amp;" - Peak",Input_Usage[[Ref]:[Ref]],0),MATCH($D$24,Inputs!$I$131:$M$131,0)))+
IFERROR((INDEX(OP_TotalRates_SME_2[[Ausnet]:[United Energy]],MATCH("TOU - Shoulder",OP_TotalRates_SME_2[[Rate name]:[Rate name]],0),MATCH(OP_CMAB!P$31,OP_TotalRates_SME_2[[#Headers],[Ausnet]:[United Energy]],0))*
INDEX(Input_Usage[[F-CurrentVDO_Input]:[F-NextVDO_Input]],MATCH($L33&amp;" - Shoulder",Input_Usage[[Ref]:[Ref]],0),MATCH($D$24,Inputs!$I$131:$M$131,0))),0)+
(INDEX(OP_TotalRates_SME_2[[Ausnet]:[United Energy]],MATCH("Off peak",OP_TotalRates_SME_2[[Rate name]:[Rate name]],0),MATCH(OP_CMAB!P$31,OP_TotalRates_SME_2[[#Headers],[Ausnet]:[United Energy]],0))*
INDEX(Input_Usage[[F-CurrentVDO_Input]:[F-NextVDO_Input]],MATCH($L33&amp;" - Off peak",Input_Usage[[Ref]:[Ref]],0),MATCH($D$24,Inputs!$I$131:$M$131,0))),0),0,1))</f>
        <v>0</v>
      </c>
      <c r="Q37" s="79">
        <f>IF($D$24="VDO 2021 - Final",
IF(Q33=
ROUNDUP(
(INDEX(OP_Rates_SME_2[[Ausnet]:[United Energy]],MATCH("Anytime - supply",OP_Rates_SME_2[[Rate name]:[Rate name]],0),MATCH(OP_CMAB!Q$31,OP_Rates_SME_2[[#Headers],[Ausnet]:[United Energy]],0))*DiY)+
IFERROR((INDEX(OP_RatesTU_SME_2[[Ausnet]:[United Energy]],MATCH("Anytime",OP_RatesTU_SME_2[[Rate name]:[Rate name]],0),MATCH(OP_CMAB!Q$31,OP_RatesTU_SME_2[[#Headers],[Ausnet]:[United Energy]],0))*$H$27),0)+
(IFERROR((INDEX(OP_TotalRates_SME_2[[Ausnet]:[United Energy]],MATCH("Block 1",OP_TotalRates_SME_2[[Rate name]:[Rate name]],0),MATCH(OP_CMAB!Q$31,OP_TotalRates_SME_2[[#Headers],[Ausnet]:[United Energy]],0))*
INDEX(Input_Usage[[F-CurrentVDO_Input]:[F-NextVDO_Input]],MATCH(OP_CMAB!$L33&amp;" - Block 1",Input_Usage[[Ref]:[Ref]],0),MATCH(OP_CMAB!$D$24,Inputs!$I$131:$M$131,0))),0)+
IFERROR((INDEX(OP_TotalRates_SME_2[[Ausnet]:[United Energy]],MATCH("Balance",OP_TotalRates_SME_2[[Rate name]:[Rate name]],0),MATCH(OP_CMAB!Q$31,OP_TotalRates_SME_2[[#Headers],[Ausnet]:[United Energy]],0))*
INDEX(Input_Usage[[F-CurrentVDO_Input]:[F-NextVDO_Input]],MATCH(OP_CMAB!$L33&amp;" - Balance",Input_Usage[[Ref]:[Ref]],0),MATCH(OP_CMAB!$D$24,Inputs!$I$131:$M$131,0))),0)+
IFERROR((INDEX(OP_TotalRates_SME_2[[Ausnet]:[United Energy]],MATCH("Single rate",OP_TotalRates_SME_2[[Rate name]:[Rate name]],0),MATCH(OP_CMAB!Q$31,OP_TotalRates_SME_2[[#Headers],[Ausnet]:[United Energy]],0))*
INDEX(Input_Usage[[F-CurrentVDO_Input]:[F-NextVDO_Input]],MATCH(OP_CMAB!$L33&amp;" - Annual",Input_Usage[[Ref]:[Ref]],0),MATCH(OP_CMAB!$D$24,Inputs!$I$131:$M$131,0))),0)),0),0,1),
IF(Q33=
ROUNDUP(
(INDEX(OP_Rates_SME_2[[Ausnet]:[United Energy]],MATCH("TOU - supply",OP_Rates_SME_2[[Rate name]:[Rate name]],0),MATCH(OP_CMAB!Q$31,OP_Rates_SME_2[[#Headers],[Ausnet]:[United Energy]],0))*DiY)+
IFERROR((INDEX(OP_RatesTU_SME_2[[Ausnet]:[United Energy]],MATCH("TOU",OP_RatesTU_SME_2[[Rate name]:[Rate name]],0),MATCH(OP_CMAB!Q$31,OP_RatesTU_SME_2[[#Headers],[Ausnet]:[United Energy]],0))*$H$27),0)+
(INDEX(OP_TotalRates_SME_2[[Ausnet]:[United Energy]],MATCH("Peak",OP_TotalRates_SME_2[[Rate name]:[Rate name]],0),MATCH(OP_CMAB!Q$31,OP_TotalRates_SME_2[[#Headers],[Ausnet]:[United Energy]],0))*
INDEX(Input_Usage[[F-CurrentVDO_Input]:[F-NextVDO_Input]],MATCH($L33&amp;" - Peak",Input_Usage[[Ref]:[Ref]],0),MATCH($D$24,Inputs!$I$131:$M$131,0)))+
IFERROR((INDEX(OP_TotalRates_SME_2[[Ausnet]:[United Energy]],MATCH("TOU - Shoulder",OP_TotalRates_SME_2[[Rate name]:[Rate name]],0),MATCH(OP_CMAB!Q$31,OP_TotalRates_SME_2[[#Headers],[Ausnet]:[United Energy]],0))*
INDEX(Input_Usage[[F-CurrentVDO_Input]:[F-NextVDO_Input]],MATCH($L33&amp;" - Shoulder",Input_Usage[[Ref]:[Ref]],0),MATCH($D$24,Inputs!$I$131:$M$131,0))),0)+
(INDEX(OP_TotalRates_SME_2[[Ausnet]:[United Energy]],MATCH("Off peak",OP_TotalRates_SME_2[[Rate name]:[Rate name]],0),MATCH(OP_CMAB!Q$31,OP_TotalRates_SME_2[[#Headers],[Ausnet]:[United Energy]],0))*
INDEX(Input_Usage[[F-CurrentVDO_Input]:[F-NextVDO_Input]],MATCH($L33&amp;" - Off peak",Input_Usage[[Ref]:[Ref]],0),MATCH($D$24,Inputs!$I$131:$M$131,0))),0),0,1))</f>
        <v>0</v>
      </c>
    </row>
    <row r="38" spans="1:18" ht="15.75" x14ac:dyDescent="0.25">
      <c r="E38" s="79">
        <f>IF($D$24="VDO 2021 - Final",
IF(E34=
ROUNDUP(
(INDEX(OP_Rates_RES_2[[Ausnet]:[United Energy]],MATCH("Anytime - supply",OP_Rates_RES_2[[Rate name]:[Rate name]],0),MATCH(OP_CMAB!E$31,OP_Rates_RES_2[[#Headers],[Ausnet]:[United Energy]],0))*DiY)+
IFERROR((INDEX(OP_RatesTU_RES_2[[Ausnet]:[United Energy]],MATCH("Anytime",OP_RatesTU_RES_2[[Rate name]:[Rate name]],0),MATCH(OP_CMAB!E$31,OP_RatesTU_RES_2[[#Headers],[Ausnet]:[United Energy]],0))*$H$27),0)+
(IFERROR((INDEX(OP_TotalRates_RES_2[[Ausnet]:[United Energy]],MATCH("Block 1",OP_TotalRates_RES_2[[Rate name]:[Rate name]],0),MATCH(OP_CMAB!E$31,OP_TotalRates_RES_2[[#Headers],[Ausnet]:[United Energy]],0))*
INDEX(Input_Usage[[F-CurrentVDO_Input]:[F-NextVDO_Input]],MATCH(OP_CMAB!$D34&amp;" - Block 1",Input_Usage[[Ref]:[Ref]],0),MATCH(OP_CMAB!$D$24,Inputs!$I$131:$M$131,0))),0)+
IFERROR((INDEX(OP_TotalRates_RES_2[[Ausnet]:[United Energy]],MATCH("Balance",OP_TotalRates_RES_2[[Rate name]:[Rate name]],0),MATCH(OP_CMAB!E$31,OP_TotalRates_RES_2[[#Headers],[Ausnet]:[United Energy]],0))*
INDEX(Input_Usage[[F-CurrentVDO_Input]:[F-NextVDO_Input]],MATCH(OP_CMAB!$D34&amp;" - Balance",Input_Usage[[Ref]:[Ref]],0),MATCH(OP_CMAB!$D$24,Inputs!$I$131:$M$131,0))),0)+
IFERROR((INDEX(OP_TotalRates_RES_2[[Ausnet]:[United Energy]],MATCH("Single rate",OP_TotalRates_RES_2[[Rate name]:[Rate name]],0),MATCH(OP_CMAB!E$31,OP_TotalRates_RES_2[[#Headers],[Ausnet]:[United Energy]],0))*
INDEX(Input_Usage[[F-CurrentVDO_Input]:[F-NextVDO_Input]],MATCH(OP_CMAB!$D34&amp;" - Annual",Input_Usage[[Ref]:[Ref]],0),MATCH(OP_CMAB!$D$24,Inputs!$I$131:$M$131,0))),0)),0),0,1),
IF(E34=
ROUNDUP(
(INDEX(OP_Rates_RES_2[[Ausnet]:[United Energy]],MATCH("TOU - supply",OP_Rates_RES_2[[Rate name]:[Rate name]],0),MATCH(OP_CMAB!E$31,OP_Rates_RES_2[[#Headers],[Ausnet]:[United Energy]],0))*DiY)+
IFERROR((INDEX(OP_RatesTU_RES_2[[Ausnet]:[United Energy]],MATCH("TOU",OP_RatesTU_RES_2[[Rate name]:[Rate name]],0),MATCH(OP_CMAB!E$31,OP_RatesTU_RES_2[[#Headers],[Ausnet]:[United Energy]],0))*$H$27),0)+
(INDEX(OP_TotalRates_RES_2[[Ausnet]:[United Energy]],MATCH("Peak",OP_TotalRates_RES_2[[Rate name]:[Rate name]],0),MATCH(OP_CMAB!E$31,OP_TotalRates_RES_2[[#Headers],[Ausnet]:[United Energy]],0))*
INDEX(Input_Usage[[F-CurrentVDO_Input]:[F-NextVDO_Input]],MATCH($D34&amp;" - Peak",Input_Usage[[Ref]:[Ref]],0),MATCH($D$24,Inputs!$I$131:$M$131,0)))+
IFERROR((INDEX(OP_TotalRates_RES_2[[Ausnet]:[United Energy]],MATCH("TOU - Shoulder",OP_TotalRates_RES_2[[Rate name]:[Rate name]],0),MATCH(OP_CMAB!E$31,OP_TotalRates_RES_2[[#Headers],[Ausnet]:[United Energy]],0))*
INDEX(Input_Usage[[F-CurrentVDO_Input]:[F-NextVDO_Input]],MATCH($D34&amp;" - Shoulder",Input_Usage[[Ref]:[Ref]],0),MATCH($D$24,Inputs!$I$131:$M$131,0))),0)+
(INDEX(OP_TotalRates_RES_2[[Ausnet]:[United Energy]],MATCH("Off peak",OP_TotalRates_RES_2[[Rate name]:[Rate name]],0),MATCH(OP_CMAB!E$31,OP_TotalRates_RES_2[[#Headers],[Ausnet]:[United Energy]],0))*
INDEX(Input_Usage[[F-CurrentVDO_Input]:[F-NextVDO_Input]],MATCH($D34&amp;" - Off peak",Input_Usage[[Ref]:[Ref]],0),MATCH($D$24,Inputs!$I$131:$M$131,0))),0),0,1))</f>
        <v>0</v>
      </c>
      <c r="F38" s="79">
        <f>IF($D$24="VDO 2021 - Final",
IF(F34=
ROUNDUP(
(INDEX(OP_Rates_RES_2[[Ausnet]:[United Energy]],MATCH("Anytime - supply",OP_Rates_RES_2[[Rate name]:[Rate name]],0),MATCH(OP_CMAB!F$31,OP_Rates_RES_2[[#Headers],[Ausnet]:[United Energy]],0))*DiY)+
IFERROR((INDEX(OP_RatesTU_RES_2[[Ausnet]:[United Energy]],MATCH("Anytime",OP_RatesTU_RES_2[[Rate name]:[Rate name]],0),MATCH(OP_CMAB!F$31,OP_RatesTU_RES_2[[#Headers],[Ausnet]:[United Energy]],0))*$H$27),0)+
(IFERROR((INDEX(OP_TotalRates_RES_2[[Ausnet]:[United Energy]],MATCH("Block 1",OP_TotalRates_RES_2[[Rate name]:[Rate name]],0),MATCH(OP_CMAB!F$31,OP_TotalRates_RES_2[[#Headers],[Ausnet]:[United Energy]],0))*
INDEX(Input_Usage[[F-CurrentVDO_Input]:[F-NextVDO_Input]],MATCH(OP_CMAB!$D34&amp;" - Block 1",Input_Usage[[Ref]:[Ref]],0),MATCH(OP_CMAB!$D$24,Inputs!$I$131:$M$131,0))),0)+
IFERROR((INDEX(OP_TotalRates_RES_2[[Ausnet]:[United Energy]],MATCH("Balance",OP_TotalRates_RES_2[[Rate name]:[Rate name]],0),MATCH(OP_CMAB!F$31,OP_TotalRates_RES_2[[#Headers],[Ausnet]:[United Energy]],0))*
INDEX(Input_Usage[[F-CurrentVDO_Input]:[F-NextVDO_Input]],MATCH(OP_CMAB!$D34&amp;" - Balance",Input_Usage[[Ref]:[Ref]],0),MATCH(OP_CMAB!$D$24,Inputs!$I$131:$M$131,0))),0)+
IFERROR((INDEX(OP_TotalRates_RES_2[[Ausnet]:[United Energy]],MATCH("Single rate",OP_TotalRates_RES_2[[Rate name]:[Rate name]],0),MATCH(OP_CMAB!F$31,OP_TotalRates_RES_2[[#Headers],[Ausnet]:[United Energy]],0))*
INDEX(Input_Usage[[F-CurrentVDO_Input]:[F-NextVDO_Input]],MATCH(OP_CMAB!$D34&amp;" - Annual",Input_Usage[[Ref]:[Ref]],0),MATCH(OP_CMAB!$D$24,Inputs!$I$131:$M$131,0))),0)),0),0,1),
IF(F34=
ROUNDUP(
(INDEX(OP_Rates_RES_2[[Ausnet]:[United Energy]],MATCH("TOU - supply",OP_Rates_RES_2[[Rate name]:[Rate name]],0),MATCH(OP_CMAB!F$31,OP_Rates_RES_2[[#Headers],[Ausnet]:[United Energy]],0))*DiY)+
IFERROR((INDEX(OP_RatesTU_RES_2[[Ausnet]:[United Energy]],MATCH("TOU",OP_RatesTU_RES_2[[Rate name]:[Rate name]],0),MATCH(OP_CMAB!F$31,OP_RatesTU_RES_2[[#Headers],[Ausnet]:[United Energy]],0))*$H$27),0)+
(INDEX(OP_TotalRates_RES_2[[Ausnet]:[United Energy]],MATCH("Peak",OP_TotalRates_RES_2[[Rate name]:[Rate name]],0),MATCH(OP_CMAB!F$31,OP_TotalRates_RES_2[[#Headers],[Ausnet]:[United Energy]],0))*
INDEX(Input_Usage[[F-CurrentVDO_Input]:[F-NextVDO_Input]],MATCH($D34&amp;" - Peak",Input_Usage[[Ref]:[Ref]],0),MATCH($D$24,Inputs!$I$131:$M$131,0)))+
IFERROR((INDEX(OP_TotalRates_RES_2[[Ausnet]:[United Energy]],MATCH("TOU - Shoulder",OP_TotalRates_RES_2[[Rate name]:[Rate name]],0),MATCH(OP_CMAB!F$31,OP_TotalRates_RES_2[[#Headers],[Ausnet]:[United Energy]],0))*
INDEX(Input_Usage[[F-CurrentVDO_Input]:[F-NextVDO_Input]],MATCH($D34&amp;" - Shoulder",Input_Usage[[Ref]:[Ref]],0),MATCH($D$24,Inputs!$I$131:$M$131,0))),0)+
(INDEX(OP_TotalRates_RES_2[[Ausnet]:[United Energy]],MATCH("Off peak",OP_TotalRates_RES_2[[Rate name]:[Rate name]],0),MATCH(OP_CMAB!F$31,OP_TotalRates_RES_2[[#Headers],[Ausnet]:[United Energy]],0))*
INDEX(Input_Usage[[F-CurrentVDO_Input]:[F-NextVDO_Input]],MATCH($D34&amp;" - Off peak",Input_Usage[[Ref]:[Ref]],0),MATCH($D$24,Inputs!$I$131:$M$131,0))),0),0,1))</f>
        <v>0</v>
      </c>
      <c r="G38" s="79">
        <f>IF($D$24="VDO 2021 - Final",
IF(G34=
ROUNDUP(
(INDEX(OP_Rates_RES_2[[Ausnet]:[United Energy]],MATCH("Anytime - supply",OP_Rates_RES_2[[Rate name]:[Rate name]],0),MATCH(OP_CMAB!G$31,OP_Rates_RES_2[[#Headers],[Ausnet]:[United Energy]],0))*DiY)+
IFERROR((INDEX(OP_RatesTU_RES_2[[Ausnet]:[United Energy]],MATCH("Anytime",OP_RatesTU_RES_2[[Rate name]:[Rate name]],0),MATCH(OP_CMAB!G$31,OP_RatesTU_RES_2[[#Headers],[Ausnet]:[United Energy]],0))*$H$27),0)+
(IFERROR((INDEX(OP_TotalRates_RES_2[[Ausnet]:[United Energy]],MATCH("Block 1",OP_TotalRates_RES_2[[Rate name]:[Rate name]],0),MATCH(OP_CMAB!G$31,OP_TotalRates_RES_2[[#Headers],[Ausnet]:[United Energy]],0))*
INDEX(Input_Usage[[F-CurrentVDO_Input]:[F-NextVDO_Input]],MATCH(OP_CMAB!$D34&amp;" - Block 1",Input_Usage[[Ref]:[Ref]],0),MATCH(OP_CMAB!$D$24,Inputs!$I$131:$M$131,0))),0)+
IFERROR((INDEX(OP_TotalRates_RES_2[[Ausnet]:[United Energy]],MATCH("Balance",OP_TotalRates_RES_2[[Rate name]:[Rate name]],0),MATCH(OP_CMAB!G$31,OP_TotalRates_RES_2[[#Headers],[Ausnet]:[United Energy]],0))*
INDEX(Input_Usage[[F-CurrentVDO_Input]:[F-NextVDO_Input]],MATCH(OP_CMAB!$D34&amp;" - Balance",Input_Usage[[Ref]:[Ref]],0),MATCH(OP_CMAB!$D$24,Inputs!$I$131:$M$131,0))),0)+
IFERROR((INDEX(OP_TotalRates_RES_2[[Ausnet]:[United Energy]],MATCH("Single rate",OP_TotalRates_RES_2[[Rate name]:[Rate name]],0),MATCH(OP_CMAB!G$31,OP_TotalRates_RES_2[[#Headers],[Ausnet]:[United Energy]],0))*
INDEX(Input_Usage[[F-CurrentVDO_Input]:[F-NextVDO_Input]],MATCH(OP_CMAB!$D34&amp;" - Annual",Input_Usage[[Ref]:[Ref]],0),MATCH(OP_CMAB!$D$24,Inputs!$I$131:$M$131,0))),0)),0),0,1),
IF(G34=
ROUNDUP(
(INDEX(OP_Rates_RES_2[[Ausnet]:[United Energy]],MATCH("TOU - supply",OP_Rates_RES_2[[Rate name]:[Rate name]],0),MATCH(OP_CMAB!G$31,OP_Rates_RES_2[[#Headers],[Ausnet]:[United Energy]],0))*DiY)+
IFERROR((INDEX(OP_RatesTU_RES_2[[Ausnet]:[United Energy]],MATCH("TOU",OP_RatesTU_RES_2[[Rate name]:[Rate name]],0),MATCH(OP_CMAB!G$31,OP_RatesTU_RES_2[[#Headers],[Ausnet]:[United Energy]],0))*$H$27),0)+
(INDEX(OP_TotalRates_RES_2[[Ausnet]:[United Energy]],MATCH("Peak",OP_TotalRates_RES_2[[Rate name]:[Rate name]],0),MATCH(OP_CMAB!G$31,OP_TotalRates_RES_2[[#Headers],[Ausnet]:[United Energy]],0))*
INDEX(Input_Usage[[F-CurrentVDO_Input]:[F-NextVDO_Input]],MATCH($D34&amp;" - Peak",Input_Usage[[Ref]:[Ref]],0),MATCH($D$24,Inputs!$I$131:$M$131,0)))+
IFERROR((INDEX(OP_TotalRates_RES_2[[Ausnet]:[United Energy]],MATCH("TOU - Shoulder",OP_TotalRates_RES_2[[Rate name]:[Rate name]],0),MATCH(OP_CMAB!G$31,OP_TotalRates_RES_2[[#Headers],[Ausnet]:[United Energy]],0))*
INDEX(Input_Usage[[F-CurrentVDO_Input]:[F-NextVDO_Input]],MATCH($D34&amp;" - Shoulder",Input_Usage[[Ref]:[Ref]],0),MATCH($D$24,Inputs!$I$131:$M$131,0))),0)+
(INDEX(OP_TotalRates_RES_2[[Ausnet]:[United Energy]],MATCH("Off peak",OP_TotalRates_RES_2[[Rate name]:[Rate name]],0),MATCH(OP_CMAB!G$31,OP_TotalRates_RES_2[[#Headers],[Ausnet]:[United Energy]],0))*
INDEX(Input_Usage[[F-CurrentVDO_Input]:[F-NextVDO_Input]],MATCH($D34&amp;" - Off peak",Input_Usage[[Ref]:[Ref]],0),MATCH($D$24,Inputs!$I$131:$M$131,0))),0),0,1))</f>
        <v>0</v>
      </c>
      <c r="H38" s="79">
        <f>IF($D$24="VDO 2021 - Final",
IF(H34=
ROUNDUP(
(INDEX(OP_Rates_RES_2[[Ausnet]:[United Energy]],MATCH("Anytime - supply",OP_Rates_RES_2[[Rate name]:[Rate name]],0),MATCH(OP_CMAB!H$31,OP_Rates_RES_2[[#Headers],[Ausnet]:[United Energy]],0))*DiY)+
IFERROR((INDEX(OP_RatesTU_RES_2[[Ausnet]:[United Energy]],MATCH("Anytime",OP_RatesTU_RES_2[[Rate name]:[Rate name]],0),MATCH(OP_CMAB!H$31,OP_RatesTU_RES_2[[#Headers],[Ausnet]:[United Energy]],0))*$H$27),0)+
(IFERROR((INDEX(OP_TotalRates_RES_2[[Ausnet]:[United Energy]],MATCH("Block 1",OP_TotalRates_RES_2[[Rate name]:[Rate name]],0),MATCH(OP_CMAB!H$31,OP_TotalRates_RES_2[[#Headers],[Ausnet]:[United Energy]],0))*
INDEX(Input_Usage[[F-CurrentVDO_Input]:[F-NextVDO_Input]],MATCH(OP_CMAB!$D34&amp;" - Block 1",Input_Usage[[Ref]:[Ref]],0),MATCH(OP_CMAB!$D$24,Inputs!$I$131:$M$131,0))),0)+
IFERROR((INDEX(OP_TotalRates_RES_2[[Ausnet]:[United Energy]],MATCH("Balance",OP_TotalRates_RES_2[[Rate name]:[Rate name]],0),MATCH(OP_CMAB!H$31,OP_TotalRates_RES_2[[#Headers],[Ausnet]:[United Energy]],0))*
INDEX(Input_Usage[[F-CurrentVDO_Input]:[F-NextVDO_Input]],MATCH(OP_CMAB!$D34&amp;" - Balance",Input_Usage[[Ref]:[Ref]],0),MATCH(OP_CMAB!$D$24,Inputs!$I$131:$M$131,0))),0)+
IFERROR((INDEX(OP_TotalRates_RES_2[[Ausnet]:[United Energy]],MATCH("Single rate",OP_TotalRates_RES_2[[Rate name]:[Rate name]],0),MATCH(OP_CMAB!H$31,OP_TotalRates_RES_2[[#Headers],[Ausnet]:[United Energy]],0))*
INDEX(Input_Usage[[F-CurrentVDO_Input]:[F-NextVDO_Input]],MATCH(OP_CMAB!$D34&amp;" - Annual",Input_Usage[[Ref]:[Ref]],0),MATCH(OP_CMAB!$D$24,Inputs!$I$131:$M$131,0))),0)),0),0,1),
IF(H34=
ROUNDUP(
(INDEX(OP_Rates_RES_2[[Ausnet]:[United Energy]],MATCH("TOU - supply",OP_Rates_RES_2[[Rate name]:[Rate name]],0),MATCH(OP_CMAB!H$31,OP_Rates_RES_2[[#Headers],[Ausnet]:[United Energy]],0))*DiY)+
IFERROR((INDEX(OP_RatesTU_RES_2[[Ausnet]:[United Energy]],MATCH("TOU",OP_RatesTU_RES_2[[Rate name]:[Rate name]],0),MATCH(OP_CMAB!H$31,OP_RatesTU_RES_2[[#Headers],[Ausnet]:[United Energy]],0))*$H$27),0)+
(INDEX(OP_TotalRates_RES_2[[Ausnet]:[United Energy]],MATCH("Peak",OP_TotalRates_RES_2[[Rate name]:[Rate name]],0),MATCH(OP_CMAB!H$31,OP_TotalRates_RES_2[[#Headers],[Ausnet]:[United Energy]],0))*
INDEX(Input_Usage[[F-CurrentVDO_Input]:[F-NextVDO_Input]],MATCH($D34&amp;" - Peak",Input_Usage[[Ref]:[Ref]],0),MATCH($D$24,Inputs!$I$131:$M$131,0)))+
IFERROR((INDEX(OP_TotalRates_RES_2[[Ausnet]:[United Energy]],MATCH("TOU - Shoulder",OP_TotalRates_RES_2[[Rate name]:[Rate name]],0),MATCH(OP_CMAB!H$31,OP_TotalRates_RES_2[[#Headers],[Ausnet]:[United Energy]],0))*
INDEX(Input_Usage[[F-CurrentVDO_Input]:[F-NextVDO_Input]],MATCH($D34&amp;" - Shoulder",Input_Usage[[Ref]:[Ref]],0),MATCH($D$24,Inputs!$I$131:$M$131,0))),0)+
(INDEX(OP_TotalRates_RES_2[[Ausnet]:[United Energy]],MATCH("Off peak",OP_TotalRates_RES_2[[Rate name]:[Rate name]],0),MATCH(OP_CMAB!H$31,OP_TotalRates_RES_2[[#Headers],[Ausnet]:[United Energy]],0))*
INDEX(Input_Usage[[F-CurrentVDO_Input]:[F-NextVDO_Input]],MATCH($D34&amp;" - Off peak",Input_Usage[[Ref]:[Ref]],0),MATCH($D$24,Inputs!$I$131:$M$131,0))),0),0,1))</f>
        <v>0</v>
      </c>
      <c r="I38" s="79">
        <f>IF($D$24="VDO 2021 - Final",
IF(I34=
ROUNDUP(
(INDEX(OP_Rates_RES_2[[Ausnet]:[United Energy]],MATCH("Anytime - supply",OP_Rates_RES_2[[Rate name]:[Rate name]],0),MATCH(OP_CMAB!I$31,OP_Rates_RES_2[[#Headers],[Ausnet]:[United Energy]],0))*DiY)+
IFERROR((INDEX(OP_RatesTU_RES_2[[Ausnet]:[United Energy]],MATCH("Anytime",OP_RatesTU_RES_2[[Rate name]:[Rate name]],0),MATCH(OP_CMAB!I$31,OP_RatesTU_RES_2[[#Headers],[Ausnet]:[United Energy]],0))*$H$27),0)+
(IFERROR((INDEX(OP_TotalRates_RES_2[[Ausnet]:[United Energy]],MATCH("Block 1",OP_TotalRates_RES_2[[Rate name]:[Rate name]],0),MATCH(OP_CMAB!I$31,OP_TotalRates_RES_2[[#Headers],[Ausnet]:[United Energy]],0))*
INDEX(Input_Usage[[F-CurrentVDO_Input]:[F-NextVDO_Input]],MATCH(OP_CMAB!$D34&amp;" - Block 1",Input_Usage[[Ref]:[Ref]],0),MATCH(OP_CMAB!$D$24,Inputs!$I$131:$M$131,0))),0)+
IFERROR((INDEX(OP_TotalRates_RES_2[[Ausnet]:[United Energy]],MATCH("Balance",OP_TotalRates_RES_2[[Rate name]:[Rate name]],0),MATCH(OP_CMAB!I$31,OP_TotalRates_RES_2[[#Headers],[Ausnet]:[United Energy]],0))*
INDEX(Input_Usage[[F-CurrentVDO_Input]:[F-NextVDO_Input]],MATCH(OP_CMAB!$D34&amp;" - Balance",Input_Usage[[Ref]:[Ref]],0),MATCH(OP_CMAB!$D$24,Inputs!$I$131:$M$131,0))),0)+
IFERROR((INDEX(OP_TotalRates_RES_2[[Ausnet]:[United Energy]],MATCH("Single rate",OP_TotalRates_RES_2[[Rate name]:[Rate name]],0),MATCH(OP_CMAB!I$31,OP_TotalRates_RES_2[[#Headers],[Ausnet]:[United Energy]],0))*
INDEX(Input_Usage[[F-CurrentVDO_Input]:[F-NextVDO_Input]],MATCH(OP_CMAB!$D34&amp;" - Annual",Input_Usage[[Ref]:[Ref]],0),MATCH(OP_CMAB!$D$24,Inputs!$I$131:$M$131,0))),0)),0),0,1),
IF(I34=
ROUNDUP(
(INDEX(OP_Rates_RES_2[[Ausnet]:[United Energy]],MATCH("TOU - supply",OP_Rates_RES_2[[Rate name]:[Rate name]],0),MATCH(OP_CMAB!I$31,OP_Rates_RES_2[[#Headers],[Ausnet]:[United Energy]],0))*DiY)+
IFERROR((INDEX(OP_RatesTU_RES_2[[Ausnet]:[United Energy]],MATCH("TOU",OP_RatesTU_RES_2[[Rate name]:[Rate name]],0),MATCH(OP_CMAB!I$31,OP_RatesTU_RES_2[[#Headers],[Ausnet]:[United Energy]],0))*$H$27),0)+
(INDEX(OP_TotalRates_RES_2[[Ausnet]:[United Energy]],MATCH("Peak",OP_TotalRates_RES_2[[Rate name]:[Rate name]],0),MATCH(OP_CMAB!I$31,OP_TotalRates_RES_2[[#Headers],[Ausnet]:[United Energy]],0))*
INDEX(Input_Usage[[F-CurrentVDO_Input]:[F-NextVDO_Input]],MATCH($D34&amp;" - Peak",Input_Usage[[Ref]:[Ref]],0),MATCH($D$24,Inputs!$I$131:$M$131,0)))+
IFERROR((INDEX(OP_TotalRates_RES_2[[Ausnet]:[United Energy]],MATCH("TOU - Shoulder",OP_TotalRates_RES_2[[Rate name]:[Rate name]],0),MATCH(OP_CMAB!I$31,OP_TotalRates_RES_2[[#Headers],[Ausnet]:[United Energy]],0))*
INDEX(Input_Usage[[F-CurrentVDO_Input]:[F-NextVDO_Input]],MATCH($D34&amp;" - Shoulder",Input_Usage[[Ref]:[Ref]],0),MATCH($D$24,Inputs!$I$131:$M$131,0))),0)+
(INDEX(OP_TotalRates_RES_2[[Ausnet]:[United Energy]],MATCH("Off peak",OP_TotalRates_RES_2[[Rate name]:[Rate name]],0),MATCH(OP_CMAB!I$31,OP_TotalRates_RES_2[[#Headers],[Ausnet]:[United Energy]],0))*
INDEX(Input_Usage[[F-CurrentVDO_Input]:[F-NextVDO_Input]],MATCH($D34&amp;" - Off peak",Input_Usage[[Ref]:[Ref]],0),MATCH($D$24,Inputs!$I$131:$M$131,0))),0),0,1))</f>
        <v>0</v>
      </c>
      <c r="M38" s="79">
        <f>IF($D$24="VDO 2021 - Final",
IF(M34=
ROUNDUP(
(INDEX(OP_Rates_SME_2[[Ausnet]:[United Energy]],MATCH("Anytime - supply",OP_Rates_SME_2[[Rate name]:[Rate name]],0),MATCH(OP_CMAB!M$31,OP_Rates_SME_2[[#Headers],[Ausnet]:[United Energy]],0))*DiY)+
IFERROR((INDEX(OP_RatesTU_SME_2[[Ausnet]:[United Energy]],MATCH("Anytime",OP_RatesTU_SME_2[[Rate name]:[Rate name]],0),MATCH(OP_CMAB!M$31,OP_RatesTU_SME_2[[#Headers],[Ausnet]:[United Energy]],0))*$H$27),0)+
(IFERROR((INDEX(OP_TotalRates_SME_2[[Ausnet]:[United Energy]],MATCH("Block 1",OP_TotalRates_SME_2[[Rate name]:[Rate name]],0),MATCH(OP_CMAB!M$31,OP_TotalRates_SME_2[[#Headers],[Ausnet]:[United Energy]],0))*
INDEX(Input_Usage[[F-CurrentVDO_Input]:[F-NextVDO_Input]],MATCH(OP_CMAB!$L34&amp;" - Block 1",Input_Usage[[Ref]:[Ref]],0),MATCH(OP_CMAB!$D$24,Inputs!$I$131:$M$131,0))),0)+
IFERROR((INDEX(OP_TotalRates_SME_2[[Ausnet]:[United Energy]],MATCH("Balance",OP_TotalRates_SME_2[[Rate name]:[Rate name]],0),MATCH(OP_CMAB!M$31,OP_TotalRates_SME_2[[#Headers],[Ausnet]:[United Energy]],0))*
INDEX(Input_Usage[[F-CurrentVDO_Input]:[F-NextVDO_Input]],MATCH(OP_CMAB!$L34&amp;" - Balance",Input_Usage[[Ref]:[Ref]],0),MATCH(OP_CMAB!$D$24,Inputs!$I$131:$M$131,0))),0)+
IFERROR((INDEX(OP_TotalRates_SME_2[[Ausnet]:[United Energy]],MATCH("Single rate",OP_TotalRates_SME_2[[Rate name]:[Rate name]],0),MATCH(OP_CMAB!M$31,OP_TotalRates_SME_2[[#Headers],[Ausnet]:[United Energy]],0))*
INDEX(Input_Usage[[F-CurrentVDO_Input]:[F-NextVDO_Input]],MATCH(OP_CMAB!$L34&amp;" - Annual",Input_Usage[[Ref]:[Ref]],0),MATCH(OP_CMAB!$D$24,Inputs!$I$131:$M$131,0))),0)),0),0,1),
IF(M34=
ROUNDUP(
(INDEX(OP_Rates_SME_2[[Ausnet]:[United Energy]],MATCH("TOU - supply",OP_Rates_SME_2[[Rate name]:[Rate name]],0),MATCH(OP_CMAB!M$31,OP_Rates_SME_2[[#Headers],[Ausnet]:[United Energy]],0))*DiY)+
IFERROR((INDEX(OP_RatesTU_SME_2[[Ausnet]:[United Energy]],MATCH("TOU",OP_RatesTU_SME_2[[Rate name]:[Rate name]],0),MATCH(OP_CMAB!M$31,OP_RatesTU_SME_2[[#Headers],[Ausnet]:[United Energy]],0))*$H$27),0)+
(INDEX(OP_TotalRates_SME_2[[Ausnet]:[United Energy]],MATCH("Peak",OP_TotalRates_SME_2[[Rate name]:[Rate name]],0),MATCH(OP_CMAB!M$31,OP_TotalRates_SME_2[[#Headers],[Ausnet]:[United Energy]],0))*
INDEX(Input_Usage[[F-CurrentVDO_Input]:[F-NextVDO_Input]],MATCH($L34&amp;" - Peak",Input_Usage[[Ref]:[Ref]],0),MATCH($D$24,Inputs!$I$131:$M$131,0)))+
IFERROR((INDEX(OP_TotalRates_SME_2[[Ausnet]:[United Energy]],MATCH("TOU - Shoulder",OP_TotalRates_SME_2[[Rate name]:[Rate name]],0),MATCH(OP_CMAB!M$31,OP_TotalRates_SME_2[[#Headers],[Ausnet]:[United Energy]],0))*
INDEX(Input_Usage[[F-CurrentVDO_Input]:[F-NextVDO_Input]],MATCH($L34&amp;" - Shoulder",Input_Usage[[Ref]:[Ref]],0),MATCH($D$24,Inputs!$I$131:$M$131,0))),0)+
(INDEX(OP_TotalRates_SME_2[[Ausnet]:[United Energy]],MATCH("Off peak",OP_TotalRates_SME_2[[Rate name]:[Rate name]],0),MATCH(OP_CMAB!M$31,OP_TotalRates_SME_2[[#Headers],[Ausnet]:[United Energy]],0))*
INDEX(Input_Usage[[F-CurrentVDO_Input]:[F-NextVDO_Input]],MATCH($L34&amp;" - Off peak",Input_Usage[[Ref]:[Ref]],0),MATCH($D$24,Inputs!$I$131:$M$131,0))),0),0,1))</f>
        <v>0</v>
      </c>
      <c r="N38" s="79">
        <f>IF($D$24="VDO 2021 - Final",
IF(N34=
ROUNDUP(
(INDEX(OP_Rates_SME_2[[Ausnet]:[United Energy]],MATCH("Anytime - supply",OP_Rates_SME_2[[Rate name]:[Rate name]],0),MATCH(OP_CMAB!N$31,OP_Rates_SME_2[[#Headers],[Ausnet]:[United Energy]],0))*DiY)+
IFERROR((INDEX(OP_RatesTU_SME_2[[Ausnet]:[United Energy]],MATCH("Anytime",OP_RatesTU_SME_2[[Rate name]:[Rate name]],0),MATCH(OP_CMAB!N$31,OP_RatesTU_SME_2[[#Headers],[Ausnet]:[United Energy]],0))*$H$27),0)+
(IFERROR((INDEX(OP_TotalRates_SME_2[[Ausnet]:[United Energy]],MATCH("Block 1",OP_TotalRates_SME_2[[Rate name]:[Rate name]],0),MATCH(OP_CMAB!N$31,OP_TotalRates_SME_2[[#Headers],[Ausnet]:[United Energy]],0))*
INDEX(Input_Usage[[F-CurrentVDO_Input]:[F-NextVDO_Input]],MATCH(OP_CMAB!$L34&amp;" - Block 1",Input_Usage[[Ref]:[Ref]],0),MATCH(OP_CMAB!$D$24,Inputs!$I$131:$M$131,0))),0)+
IFERROR((INDEX(OP_TotalRates_SME_2[[Ausnet]:[United Energy]],MATCH("Balance",OP_TotalRates_SME_2[[Rate name]:[Rate name]],0),MATCH(OP_CMAB!N$31,OP_TotalRates_SME_2[[#Headers],[Ausnet]:[United Energy]],0))*
INDEX(Input_Usage[[F-CurrentVDO_Input]:[F-NextVDO_Input]],MATCH(OP_CMAB!$L34&amp;" - Balance",Input_Usage[[Ref]:[Ref]],0),MATCH(OP_CMAB!$D$24,Inputs!$I$131:$M$131,0))),0)+
IFERROR((INDEX(OP_TotalRates_SME_2[[Ausnet]:[United Energy]],MATCH("Single rate",OP_TotalRates_SME_2[[Rate name]:[Rate name]],0),MATCH(OP_CMAB!N$31,OP_TotalRates_SME_2[[#Headers],[Ausnet]:[United Energy]],0))*
INDEX(Input_Usage[[F-CurrentVDO_Input]:[F-NextVDO_Input]],MATCH(OP_CMAB!$L34&amp;" - Annual",Input_Usage[[Ref]:[Ref]],0),MATCH(OP_CMAB!$D$24,Inputs!$I$131:$M$131,0))),0)),0),0,1),
IF(N34=
ROUNDUP(
(INDEX(OP_Rates_SME_2[[Ausnet]:[United Energy]],MATCH("TOU - supply",OP_Rates_SME_2[[Rate name]:[Rate name]],0),MATCH(OP_CMAB!N$31,OP_Rates_SME_2[[#Headers],[Ausnet]:[United Energy]],0))*DiY)+
IFERROR((INDEX(OP_RatesTU_SME_2[[Ausnet]:[United Energy]],MATCH("TOU",OP_RatesTU_SME_2[[Rate name]:[Rate name]],0),MATCH(OP_CMAB!N$31,OP_RatesTU_SME_2[[#Headers],[Ausnet]:[United Energy]],0))*$H$27),0)+
(INDEX(OP_TotalRates_SME_2[[Ausnet]:[United Energy]],MATCH("Peak",OP_TotalRates_SME_2[[Rate name]:[Rate name]],0),MATCH(OP_CMAB!N$31,OP_TotalRates_SME_2[[#Headers],[Ausnet]:[United Energy]],0))*
INDEX(Input_Usage[[F-CurrentVDO_Input]:[F-NextVDO_Input]],MATCH($L34&amp;" - Peak",Input_Usage[[Ref]:[Ref]],0),MATCH($D$24,Inputs!$I$131:$M$131,0)))+
IFERROR((INDEX(OP_TotalRates_SME_2[[Ausnet]:[United Energy]],MATCH("TOU - Shoulder",OP_TotalRates_SME_2[[Rate name]:[Rate name]],0),MATCH(OP_CMAB!N$31,OP_TotalRates_SME_2[[#Headers],[Ausnet]:[United Energy]],0))*
INDEX(Input_Usage[[F-CurrentVDO_Input]:[F-NextVDO_Input]],MATCH($L34&amp;" - Shoulder",Input_Usage[[Ref]:[Ref]],0),MATCH($D$24,Inputs!$I$131:$M$131,0))),0)+
(INDEX(OP_TotalRates_SME_2[[Ausnet]:[United Energy]],MATCH("Off peak",OP_TotalRates_SME_2[[Rate name]:[Rate name]],0),MATCH(OP_CMAB!N$31,OP_TotalRates_SME_2[[#Headers],[Ausnet]:[United Energy]],0))*
INDEX(Input_Usage[[F-CurrentVDO_Input]:[F-NextVDO_Input]],MATCH($L34&amp;" - Off peak",Input_Usage[[Ref]:[Ref]],0),MATCH($D$24,Inputs!$I$131:$M$131,0))),0),0,1))</f>
        <v>0</v>
      </c>
      <c r="O38" s="79">
        <f>IF($D$24="VDO 2021 - Final",
IF(O34=
ROUNDUP(
(INDEX(OP_Rates_SME_2[[Ausnet]:[United Energy]],MATCH("Anytime - supply",OP_Rates_SME_2[[Rate name]:[Rate name]],0),MATCH(OP_CMAB!O$31,OP_Rates_SME_2[[#Headers],[Ausnet]:[United Energy]],0))*DiY)+
IFERROR((INDEX(OP_RatesTU_SME_2[[Ausnet]:[United Energy]],MATCH("Anytime",OP_RatesTU_SME_2[[Rate name]:[Rate name]],0),MATCH(OP_CMAB!O$31,OP_RatesTU_SME_2[[#Headers],[Ausnet]:[United Energy]],0))*$H$27),0)+
(IFERROR((INDEX(OP_TotalRates_SME_2[[Ausnet]:[United Energy]],MATCH("Block 1",OP_TotalRates_SME_2[[Rate name]:[Rate name]],0),MATCH(OP_CMAB!O$31,OP_TotalRates_SME_2[[#Headers],[Ausnet]:[United Energy]],0))*
INDEX(Input_Usage[[F-CurrentVDO_Input]:[F-NextVDO_Input]],MATCH(OP_CMAB!$L34&amp;" - Block 1",Input_Usage[[Ref]:[Ref]],0),MATCH(OP_CMAB!$D$24,Inputs!$I$131:$M$131,0))),0)+
IFERROR((INDEX(OP_TotalRates_SME_2[[Ausnet]:[United Energy]],MATCH("Balance",OP_TotalRates_SME_2[[Rate name]:[Rate name]],0),MATCH(OP_CMAB!O$31,OP_TotalRates_SME_2[[#Headers],[Ausnet]:[United Energy]],0))*
INDEX(Input_Usage[[F-CurrentVDO_Input]:[F-NextVDO_Input]],MATCH(OP_CMAB!$L34&amp;" - Balance",Input_Usage[[Ref]:[Ref]],0),MATCH(OP_CMAB!$D$24,Inputs!$I$131:$M$131,0))),0)+
IFERROR((INDEX(OP_TotalRates_SME_2[[Ausnet]:[United Energy]],MATCH("Single rate",OP_TotalRates_SME_2[[Rate name]:[Rate name]],0),MATCH(OP_CMAB!O$31,OP_TotalRates_SME_2[[#Headers],[Ausnet]:[United Energy]],0))*
INDEX(Input_Usage[[F-CurrentVDO_Input]:[F-NextVDO_Input]],MATCH(OP_CMAB!$L34&amp;" - Annual",Input_Usage[[Ref]:[Ref]],0),MATCH(OP_CMAB!$D$24,Inputs!$I$131:$M$131,0))),0)),0),0,1),
IF(O34=
ROUNDUP(
(INDEX(OP_Rates_SME_2[[Ausnet]:[United Energy]],MATCH("TOU - supply",OP_Rates_SME_2[[Rate name]:[Rate name]],0),MATCH(OP_CMAB!O$31,OP_Rates_SME_2[[#Headers],[Ausnet]:[United Energy]],0))*DiY)+
IFERROR((INDEX(OP_RatesTU_SME_2[[Ausnet]:[United Energy]],MATCH("TOU",OP_RatesTU_SME_2[[Rate name]:[Rate name]],0),MATCH(OP_CMAB!O$31,OP_RatesTU_SME_2[[#Headers],[Ausnet]:[United Energy]],0))*$H$27),0)+
(INDEX(OP_TotalRates_SME_2[[Ausnet]:[United Energy]],MATCH("Peak",OP_TotalRates_SME_2[[Rate name]:[Rate name]],0),MATCH(OP_CMAB!O$31,OP_TotalRates_SME_2[[#Headers],[Ausnet]:[United Energy]],0))*
INDEX(Input_Usage[[F-CurrentVDO_Input]:[F-NextVDO_Input]],MATCH($L34&amp;" - Peak",Input_Usage[[Ref]:[Ref]],0),MATCH($D$24,Inputs!$I$131:$M$131,0)))+
IFERROR((INDEX(OP_TotalRates_SME_2[[Ausnet]:[United Energy]],MATCH("TOU - Shoulder",OP_TotalRates_SME_2[[Rate name]:[Rate name]],0),MATCH(OP_CMAB!O$31,OP_TotalRates_SME_2[[#Headers],[Ausnet]:[United Energy]],0))*
INDEX(Input_Usage[[F-CurrentVDO_Input]:[F-NextVDO_Input]],MATCH($L34&amp;" - Shoulder",Input_Usage[[Ref]:[Ref]],0),MATCH($D$24,Inputs!$I$131:$M$131,0))),0)+
(INDEX(OP_TotalRates_SME_2[[Ausnet]:[United Energy]],MATCH("Off peak",OP_TotalRates_SME_2[[Rate name]:[Rate name]],0),MATCH(OP_CMAB!O$31,OP_TotalRates_SME_2[[#Headers],[Ausnet]:[United Energy]],0))*
INDEX(Input_Usage[[F-CurrentVDO_Input]:[F-NextVDO_Input]],MATCH($L34&amp;" - Off peak",Input_Usage[[Ref]:[Ref]],0),MATCH($D$24,Inputs!$I$131:$M$131,0))),0),0,1))</f>
        <v>0</v>
      </c>
      <c r="P38" s="79">
        <f>IF($D$24="VDO 2021 - Final",
IF(P34=
ROUNDUP(
(INDEX(OP_Rates_SME_2[[Ausnet]:[United Energy]],MATCH("Anytime - supply",OP_Rates_SME_2[[Rate name]:[Rate name]],0),MATCH(OP_CMAB!P$31,OP_Rates_SME_2[[#Headers],[Ausnet]:[United Energy]],0))*DiY)+
IFERROR((INDEX(OP_RatesTU_SME_2[[Ausnet]:[United Energy]],MATCH("Anytime",OP_RatesTU_SME_2[[Rate name]:[Rate name]],0),MATCH(OP_CMAB!P$31,OP_RatesTU_SME_2[[#Headers],[Ausnet]:[United Energy]],0))*$H$27),0)+
(IFERROR((INDEX(OP_TotalRates_SME_2[[Ausnet]:[United Energy]],MATCH("Block 1",OP_TotalRates_SME_2[[Rate name]:[Rate name]],0),MATCH(OP_CMAB!P$31,OP_TotalRates_SME_2[[#Headers],[Ausnet]:[United Energy]],0))*
INDEX(Input_Usage[[F-CurrentVDO_Input]:[F-NextVDO_Input]],MATCH(OP_CMAB!$L34&amp;" - Block 1",Input_Usage[[Ref]:[Ref]],0),MATCH(OP_CMAB!$D$24,Inputs!$I$131:$M$131,0))),0)+
IFERROR((INDEX(OP_TotalRates_SME_2[[Ausnet]:[United Energy]],MATCH("Balance",OP_TotalRates_SME_2[[Rate name]:[Rate name]],0),MATCH(OP_CMAB!P$31,OP_TotalRates_SME_2[[#Headers],[Ausnet]:[United Energy]],0))*
INDEX(Input_Usage[[F-CurrentVDO_Input]:[F-NextVDO_Input]],MATCH(OP_CMAB!$L34&amp;" - Balance",Input_Usage[[Ref]:[Ref]],0),MATCH(OP_CMAB!$D$24,Inputs!$I$131:$M$131,0))),0)+
IFERROR((INDEX(OP_TotalRates_SME_2[[Ausnet]:[United Energy]],MATCH("Single rate",OP_TotalRates_SME_2[[Rate name]:[Rate name]],0),MATCH(OP_CMAB!P$31,OP_TotalRates_SME_2[[#Headers],[Ausnet]:[United Energy]],0))*
INDEX(Input_Usage[[F-CurrentVDO_Input]:[F-NextVDO_Input]],MATCH(OP_CMAB!$L34&amp;" - Annual",Input_Usage[[Ref]:[Ref]],0),MATCH(OP_CMAB!$D$24,Inputs!$I$131:$M$131,0))),0)),0),0,1),
IF(P34=
ROUNDUP(
(INDEX(OP_Rates_SME_2[[Ausnet]:[United Energy]],MATCH("TOU - supply",OP_Rates_SME_2[[Rate name]:[Rate name]],0),MATCH(OP_CMAB!P$31,OP_Rates_SME_2[[#Headers],[Ausnet]:[United Energy]],0))*DiY)+
IFERROR((INDEX(OP_RatesTU_SME_2[[Ausnet]:[United Energy]],MATCH("TOU",OP_RatesTU_SME_2[[Rate name]:[Rate name]],0),MATCH(OP_CMAB!P$31,OP_RatesTU_SME_2[[#Headers],[Ausnet]:[United Energy]],0))*$H$27),0)+
(INDEX(OP_TotalRates_SME_2[[Ausnet]:[United Energy]],MATCH("Peak",OP_TotalRates_SME_2[[Rate name]:[Rate name]],0),MATCH(OP_CMAB!P$31,OP_TotalRates_SME_2[[#Headers],[Ausnet]:[United Energy]],0))*
INDEX(Input_Usage[[F-CurrentVDO_Input]:[F-NextVDO_Input]],MATCH($L34&amp;" - Peak",Input_Usage[[Ref]:[Ref]],0),MATCH($D$24,Inputs!$I$131:$M$131,0)))+
IFERROR((INDEX(OP_TotalRates_SME_2[[Ausnet]:[United Energy]],MATCH("TOU - Shoulder",OP_TotalRates_SME_2[[Rate name]:[Rate name]],0),MATCH(OP_CMAB!P$31,OP_TotalRates_SME_2[[#Headers],[Ausnet]:[United Energy]],0))*
INDEX(Input_Usage[[F-CurrentVDO_Input]:[F-NextVDO_Input]],MATCH($L34&amp;" - Shoulder",Input_Usage[[Ref]:[Ref]],0),MATCH($D$24,Inputs!$I$131:$M$131,0))),0)+
(INDEX(OP_TotalRates_SME_2[[Ausnet]:[United Energy]],MATCH("Off peak",OP_TotalRates_SME_2[[Rate name]:[Rate name]],0),MATCH(OP_CMAB!P$31,OP_TotalRates_SME_2[[#Headers],[Ausnet]:[United Energy]],0))*
INDEX(Input_Usage[[F-CurrentVDO_Input]:[F-NextVDO_Input]],MATCH($L34&amp;" - Off peak",Input_Usage[[Ref]:[Ref]],0),MATCH($D$24,Inputs!$I$131:$M$131,0))),0),0,1))</f>
        <v>0</v>
      </c>
      <c r="Q38" s="79">
        <f>IF($D$24="VDO 2021 - Final",
IF(Q34=
ROUNDUP(
(INDEX(OP_Rates_SME_2[[Ausnet]:[United Energy]],MATCH("Anytime - supply",OP_Rates_SME_2[[Rate name]:[Rate name]],0),MATCH(OP_CMAB!Q$31,OP_Rates_SME_2[[#Headers],[Ausnet]:[United Energy]],0))*DiY)+
IFERROR((INDEX(OP_RatesTU_SME_2[[Ausnet]:[United Energy]],MATCH("Anytime",OP_RatesTU_SME_2[[Rate name]:[Rate name]],0),MATCH(OP_CMAB!Q$31,OP_RatesTU_SME_2[[#Headers],[Ausnet]:[United Energy]],0))*$H$27),0)+
(IFERROR((INDEX(OP_TotalRates_SME_2[[Ausnet]:[United Energy]],MATCH("Block 1",OP_TotalRates_SME_2[[Rate name]:[Rate name]],0),MATCH(OP_CMAB!Q$31,OP_TotalRates_SME_2[[#Headers],[Ausnet]:[United Energy]],0))*
INDEX(Input_Usage[[F-CurrentVDO_Input]:[F-NextVDO_Input]],MATCH(OP_CMAB!$L34&amp;" - Block 1",Input_Usage[[Ref]:[Ref]],0),MATCH(OP_CMAB!$D$24,Inputs!$I$131:$M$131,0))),0)+
IFERROR((INDEX(OP_TotalRates_SME_2[[Ausnet]:[United Energy]],MATCH("Balance",OP_TotalRates_SME_2[[Rate name]:[Rate name]],0),MATCH(OP_CMAB!Q$31,OP_TotalRates_SME_2[[#Headers],[Ausnet]:[United Energy]],0))*
INDEX(Input_Usage[[F-CurrentVDO_Input]:[F-NextVDO_Input]],MATCH(OP_CMAB!$L34&amp;" - Balance",Input_Usage[[Ref]:[Ref]],0),MATCH(OP_CMAB!$D$24,Inputs!$I$131:$M$131,0))),0)+
IFERROR((INDEX(OP_TotalRates_SME_2[[Ausnet]:[United Energy]],MATCH("Single rate",OP_TotalRates_SME_2[[Rate name]:[Rate name]],0),MATCH(OP_CMAB!Q$31,OP_TotalRates_SME_2[[#Headers],[Ausnet]:[United Energy]],0))*
INDEX(Input_Usage[[F-CurrentVDO_Input]:[F-NextVDO_Input]],MATCH(OP_CMAB!$L34&amp;" - Annual",Input_Usage[[Ref]:[Ref]],0),MATCH(OP_CMAB!$D$24,Inputs!$I$131:$M$131,0))),0)),0),0,1),
IF(Q34=
ROUNDUP(
(INDEX(OP_Rates_SME_2[[Ausnet]:[United Energy]],MATCH("TOU - supply",OP_Rates_SME_2[[Rate name]:[Rate name]],0),MATCH(OP_CMAB!Q$31,OP_Rates_SME_2[[#Headers],[Ausnet]:[United Energy]],0))*DiY)+
IFERROR((INDEX(OP_RatesTU_SME_2[[Ausnet]:[United Energy]],MATCH("TOU",OP_RatesTU_SME_2[[Rate name]:[Rate name]],0),MATCH(OP_CMAB!Q$31,OP_RatesTU_SME_2[[#Headers],[Ausnet]:[United Energy]],0))*$H$27),0)+
(INDEX(OP_TotalRates_SME_2[[Ausnet]:[United Energy]],MATCH("Peak",OP_TotalRates_SME_2[[Rate name]:[Rate name]],0),MATCH(OP_CMAB!Q$31,OP_TotalRates_SME_2[[#Headers],[Ausnet]:[United Energy]],0))*
INDEX(Input_Usage[[F-CurrentVDO_Input]:[F-NextVDO_Input]],MATCH($L34&amp;" - Peak",Input_Usage[[Ref]:[Ref]],0),MATCH($D$24,Inputs!$I$131:$M$131,0)))+
IFERROR((INDEX(OP_TotalRates_SME_2[[Ausnet]:[United Energy]],MATCH("TOU - Shoulder",OP_TotalRates_SME_2[[Rate name]:[Rate name]],0),MATCH(OP_CMAB!Q$31,OP_TotalRates_SME_2[[#Headers],[Ausnet]:[United Energy]],0))*
INDEX(Input_Usage[[F-CurrentVDO_Input]:[F-NextVDO_Input]],MATCH($L34&amp;" - Shoulder",Input_Usage[[Ref]:[Ref]],0),MATCH($D$24,Inputs!$I$131:$M$131,0))),0)+
(INDEX(OP_TotalRates_SME_2[[Ausnet]:[United Energy]],MATCH("Off peak",OP_TotalRates_SME_2[[Rate name]:[Rate name]],0),MATCH(OP_CMAB!Q$31,OP_TotalRates_SME_2[[#Headers],[Ausnet]:[United Energy]],0))*
INDEX(Input_Usage[[F-CurrentVDO_Input]:[F-NextVDO_Input]],MATCH($L34&amp;" - Off peak",Input_Usage[[Ref]:[Ref]],0),MATCH($D$24,Inputs!$I$131:$M$131,0))),0),0,1))</f>
        <v>0</v>
      </c>
    </row>
    <row r="40" spans="1:18" ht="16.5" hidden="1" thickBot="1" x14ac:dyDescent="0.3">
      <c r="A40" s="1" t="s">
        <v>19</v>
      </c>
      <c r="B40" s="7">
        <f ca="1">MAX(B$3:B39)+0.1</f>
        <v>11.299999999999999</v>
      </c>
      <c r="C40" s="22" t="s">
        <v>265</v>
      </c>
      <c r="D40" s="22"/>
      <c r="E40" s="22"/>
      <c r="F40" s="22"/>
      <c r="G40" s="22"/>
      <c r="H40" s="22"/>
      <c r="I40" s="22"/>
      <c r="J40" s="22"/>
      <c r="K40" s="22"/>
      <c r="L40" s="22"/>
      <c r="M40" s="22"/>
      <c r="N40" s="22"/>
      <c r="O40" s="22"/>
      <c r="P40" s="22"/>
      <c r="Q40" s="22"/>
      <c r="R40" s="22"/>
    </row>
    <row r="41" spans="1:18" hidden="1" x14ac:dyDescent="0.25"/>
    <row r="42" spans="1:18" ht="15.75" hidden="1" x14ac:dyDescent="0.25">
      <c r="C42" s="33" t="s">
        <v>30</v>
      </c>
      <c r="D42" s="33" t="s">
        <v>29</v>
      </c>
      <c r="E42" s="42" t="s">
        <v>204</v>
      </c>
      <c r="F42" s="42" t="s">
        <v>205</v>
      </c>
      <c r="G42" s="42" t="s">
        <v>206</v>
      </c>
      <c r="H42" s="42" t="s">
        <v>207</v>
      </c>
      <c r="I42" s="42" t="s">
        <v>208</v>
      </c>
      <c r="K42" s="33" t="s">
        <v>30</v>
      </c>
      <c r="L42" s="33" t="s">
        <v>29</v>
      </c>
      <c r="M42" s="42" t="s">
        <v>204</v>
      </c>
      <c r="N42" s="42" t="s">
        <v>205</v>
      </c>
      <c r="O42" s="42" t="s">
        <v>206</v>
      </c>
      <c r="P42" s="42" t="s">
        <v>207</v>
      </c>
      <c r="Q42" s="42" t="s">
        <v>208</v>
      </c>
    </row>
    <row r="43" spans="1:18" hidden="1" x14ac:dyDescent="0.25">
      <c r="C43" s="18" t="str" cm="1">
        <f t="array" ref="C43:C45">INDEX($C$32:$D$34,0,1)</f>
        <v>Residential</v>
      </c>
      <c r="D43" s="18" t="str" cm="1">
        <f t="array" ref="D43:D45">INDEX($C$32:$D$34,0,2)</f>
        <v>Residential - small</v>
      </c>
      <c r="E43" s="91">
        <f t="shared" ref="E43:I45" si="0">IFERROR((E32-E14)/E14,"-")</f>
        <v>-4.9009384775808136E-2</v>
      </c>
      <c r="F43" s="91">
        <f t="shared" si="0"/>
        <v>-2.4193548387096774E-2</v>
      </c>
      <c r="G43" s="91">
        <f t="shared" si="0"/>
        <v>-5.5164319248826289E-2</v>
      </c>
      <c r="H43" s="91">
        <f t="shared" si="0"/>
        <v>-2.9850746268656716E-2</v>
      </c>
      <c r="I43" s="91">
        <f t="shared" si="0"/>
        <v>-4.6511627906976744E-2</v>
      </c>
      <c r="K43" s="48" t="str" cm="1">
        <f t="array" ref="K43:K45">INDEX($K$32:$L$34,0,1)</f>
        <v>Small business</v>
      </c>
      <c r="L43" s="48" t="str" cm="1">
        <f t="array" ref="L43:L45">INDEX($K$32:$L$34,0,2)</f>
        <v>Small business - small</v>
      </c>
      <c r="M43" s="101">
        <f t="shared" ref="M43:Q45" si="1">IFERROR((M32-M14)/M14,"-")</f>
        <v>-7.5573167279932074E-2</v>
      </c>
      <c r="N43" s="101">
        <f t="shared" si="1"/>
        <v>-7.3911681803946139E-2</v>
      </c>
      <c r="O43" s="101">
        <f t="shared" si="1"/>
        <v>-6.3114022030366174E-2</v>
      </c>
      <c r="P43" s="101">
        <f t="shared" si="1"/>
        <v>-6.2349397590361448E-2</v>
      </c>
      <c r="Q43" s="101">
        <f t="shared" si="1"/>
        <v>-7.9036739734485953E-2</v>
      </c>
    </row>
    <row r="44" spans="1:18" hidden="1" x14ac:dyDescent="0.25">
      <c r="C44" s="18" t="str">
        <v>Residential</v>
      </c>
      <c r="D44" s="18" t="str">
        <v>Residential - medium</v>
      </c>
      <c r="E44" s="91">
        <f t="shared" si="0"/>
        <v>-6.3385030343897503E-2</v>
      </c>
      <c r="F44" s="91">
        <f t="shared" si="0"/>
        <v>-4.736842105263158E-2</v>
      </c>
      <c r="G44" s="91">
        <f t="shared" si="0"/>
        <v>-7.1646341463414628E-2</v>
      </c>
      <c r="H44" s="91">
        <f t="shared" si="0"/>
        <v>-5.2370842179759375E-2</v>
      </c>
      <c r="I44" s="91">
        <f t="shared" si="0"/>
        <v>-6.6964285714285712E-2</v>
      </c>
      <c r="K44" s="48" t="str">
        <v>Small business</v>
      </c>
      <c r="L44" s="48" t="str">
        <v>Small business - medium</v>
      </c>
      <c r="M44" s="101">
        <f t="shared" si="1"/>
        <v>-7.4146864391638381E-2</v>
      </c>
      <c r="N44" s="101">
        <f t="shared" si="1"/>
        <v>-8.0048028817290368E-2</v>
      </c>
      <c r="O44" s="101">
        <f t="shared" si="1"/>
        <v>-7.0195627157652471E-2</v>
      </c>
      <c r="P44" s="101">
        <f t="shared" si="1"/>
        <v>-6.7783554785287886E-2</v>
      </c>
      <c r="Q44" s="101">
        <f t="shared" si="1"/>
        <v>-8.3268178264268966E-2</v>
      </c>
    </row>
    <row r="45" spans="1:18" hidden="1" x14ac:dyDescent="0.25">
      <c r="C45" s="18" t="str">
        <v>Residential</v>
      </c>
      <c r="D45" s="18" t="str">
        <v>Residential - large</v>
      </c>
      <c r="E45" s="91">
        <f t="shared" si="0"/>
        <v>-7.3151443258204829E-2</v>
      </c>
      <c r="F45" s="91">
        <f t="shared" si="0"/>
        <v>-6.4773735581188999E-2</v>
      </c>
      <c r="G45" s="91">
        <f t="shared" si="0"/>
        <v>-8.5087326466636817E-2</v>
      </c>
      <c r="H45" s="91">
        <f t="shared" si="0"/>
        <v>-6.9403300888700808E-2</v>
      </c>
      <c r="I45" s="91">
        <f t="shared" si="0"/>
        <v>-8.25767401642888E-2</v>
      </c>
      <c r="K45" s="48" t="str">
        <v>Small business</v>
      </c>
      <c r="L45" s="48" t="str">
        <v>Small business - large</v>
      </c>
      <c r="M45" s="101">
        <f t="shared" si="1"/>
        <v>-7.3061907417735633E-2</v>
      </c>
      <c r="N45" s="101">
        <f t="shared" si="1"/>
        <v>-8.5007890583903206E-2</v>
      </c>
      <c r="O45" s="101">
        <f t="shared" si="1"/>
        <v>-7.5845263478525743E-2</v>
      </c>
      <c r="P45" s="101">
        <f t="shared" si="1"/>
        <v>-7.2296476306196844E-2</v>
      </c>
      <c r="Q45" s="101">
        <f t="shared" si="1"/>
        <v>-8.6850152905198777E-2</v>
      </c>
    </row>
    <row r="46" spans="1:18" hidden="1" x14ac:dyDescent="0.25"/>
    <row r="47" spans="1:18" hidden="1" x14ac:dyDescent="0.25"/>
    <row r="51" spans="8:8" x14ac:dyDescent="0.25">
      <c r="H51" s="74"/>
    </row>
  </sheetData>
  <sheetProtection algorithmName="SHA-512" hashValue="k7Z0U/pfHj1Vu/Yd7Sy5DaYqiSfaPg83STFX/aIHj+Igzj4u9Do44C5FnN0SEhTPmdwjDFez8qMUZiDDBcBeMg==" saltValue="+MvN1442Sprj8zbf6OwSKw==" spinCount="100000" sheet="1" objects="1" scenarios="1"/>
  <mergeCells count="1">
    <mergeCell ref="A2:A3"/>
  </mergeCells>
  <dataValidations count="2">
    <dataValidation type="list" allowBlank="1" showInputMessage="1" showErrorMessage="1" sqref="K14:K16 C14:C16 K32:K34 C32:C39" xr:uid="{B7840FAA-381E-4BFC-8632-0963076DE389}">
      <formula1>#REF!</formula1>
    </dataValidation>
    <dataValidation type="list" allowBlank="1" showInputMessage="1" showErrorMessage="1" sqref="D14:D16 L14:L16 L32:L34 D32:D39" xr:uid="{63AEA5C8-119D-41ED-8ABB-2707A0C4A19F}">
      <formula1>#REF!</formula1>
    </dataValidation>
  </dataValidations>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545575D9E03F4492DD3C4DA6FC0DC0" ma:contentTypeVersion="5" ma:contentTypeDescription="Create a new document." ma:contentTypeScope="" ma:versionID="7d95e092565c731f4ad071a2de3b31ba">
  <xsd:schema xmlns:xsd="http://www.w3.org/2001/XMLSchema" xmlns:xs="http://www.w3.org/2001/XMLSchema" xmlns:p="http://schemas.microsoft.com/office/2006/metadata/properties" xmlns:ns3="7e14ee29-ff38-48b8-9fe1-bb9ec2179f19" xmlns:ns4="e8cbbe4c-1ec4-4b8c-a95b-d171fe90b0f4" targetNamespace="http://schemas.microsoft.com/office/2006/metadata/properties" ma:root="true" ma:fieldsID="bbf50bbe4bdd64e324b0554ec052d2f7" ns3:_="" ns4:_="">
    <xsd:import namespace="7e14ee29-ff38-48b8-9fe1-bb9ec2179f19"/>
    <xsd:import namespace="e8cbbe4c-1ec4-4b8c-a95b-d171fe90b0f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4ee29-ff38-48b8-9fe1-bb9ec217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cbbe4c-1ec4-4b8c-a95b-d171fe90b0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50ABAC-58D2-4E79-80F1-117C47AA00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4ee29-ff38-48b8-9fe1-bb9ec2179f19"/>
    <ds:schemaRef ds:uri="e8cbbe4c-1ec4-4b8c-a95b-d171fe90b0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39258F-1C21-4DD8-9213-AB97CD8302AB}">
  <ds:schemaRefs>
    <ds:schemaRef ds:uri="http://schemas.microsoft.com/DataMashup"/>
  </ds:schemaRefs>
</ds:datastoreItem>
</file>

<file path=customXml/itemProps3.xml><?xml version="1.0" encoding="utf-8"?>
<ds:datastoreItem xmlns:ds="http://schemas.openxmlformats.org/officeDocument/2006/customXml" ds:itemID="{F5F5AD19-D35C-4D0A-B8E2-C3C781D0CC4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e14ee29-ff38-48b8-9fe1-bb9ec2179f19"/>
    <ds:schemaRef ds:uri="e8cbbe4c-1ec4-4b8c-a95b-d171fe90b0f4"/>
    <ds:schemaRef ds:uri="http://www.w3.org/XML/1998/namespace"/>
    <ds:schemaRef ds:uri="http://purl.org/dc/dcmitype/"/>
  </ds:schemaRefs>
</ds:datastoreItem>
</file>

<file path=customXml/itemProps4.xml><?xml version="1.0" encoding="utf-8"?>
<ds:datastoreItem xmlns:ds="http://schemas.openxmlformats.org/officeDocument/2006/customXml" ds:itemID="{FB774C02-8D8E-4FC3-9D41-C33DCB6683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21</vt:i4>
      </vt:variant>
    </vt:vector>
  </HeadingPairs>
  <TitlesOfParts>
    <vt:vector size="32" baseType="lpstr">
      <vt:lpstr>Disclaimer</vt:lpstr>
      <vt:lpstr>Contents</vt:lpstr>
      <vt:lpstr>User Guide</vt:lpstr>
      <vt:lpstr>Inputs</vt:lpstr>
      <vt:lpstr>General Assumptions</vt:lpstr>
      <vt:lpstr>CPI</vt:lpstr>
      <vt:lpstr>Calc_Rates</vt:lpstr>
      <vt:lpstr>Calc_TU_values</vt:lpstr>
      <vt:lpstr>Calc_TU_rates</vt:lpstr>
      <vt:lpstr>OP_Rates</vt:lpstr>
      <vt:lpstr>OP_CMAB</vt:lpstr>
      <vt:lpstr>AUD</vt:lpstr>
      <vt:lpstr>DiY</vt:lpstr>
      <vt:lpstr>GST</vt:lpstr>
      <vt:lpstr>MiQ</vt:lpstr>
      <vt:lpstr>MiY</vt:lpstr>
      <vt:lpstr>TU_Days</vt:lpstr>
      <vt:lpstr>TU_ENV_CostMths</vt:lpstr>
      <vt:lpstr>TU_ENV_RateMths</vt:lpstr>
      <vt:lpstr>TU_NET_CostMths</vt:lpstr>
      <vt:lpstr>TU_NET_RateMths</vt:lpstr>
      <vt:lpstr>TUC_EndDate</vt:lpstr>
      <vt:lpstr>TUC_StartDate</vt:lpstr>
      <vt:lpstr>TUProp_Days_1</vt:lpstr>
      <vt:lpstr>TUProp_Days_2</vt:lpstr>
      <vt:lpstr>TUR_Days</vt:lpstr>
      <vt:lpstr>TUR_EndDate</vt:lpstr>
      <vt:lpstr>TUR_StartDate</vt:lpstr>
      <vt:lpstr>WACC</vt:lpstr>
      <vt:lpstr>WACC_adj_1</vt:lpstr>
      <vt:lpstr>WACC_adj_2</vt:lpstr>
      <vt:lpstr>WiY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Murry Greasley (ESC)</dc:creator>
  <cp:keywords/>
  <dc:description/>
  <cp:lastModifiedBy>Jonathan Roberts (ESC)</cp:lastModifiedBy>
  <cp:revision/>
  <cp:lastPrinted>2021-07-14T00:19:01Z</cp:lastPrinted>
  <dcterms:created xsi:type="dcterms:W3CDTF">2020-01-15T04:05:27Z</dcterms:created>
  <dcterms:modified xsi:type="dcterms:W3CDTF">2021-09-09T07:22:02Z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0x01010060545575D9E03F4492DD3C4DA6FC0DC0</vt:lpwstr>
  </property>
</Properties>
</file>