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3.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queryTables/queryTable1.xml" ContentType="application/vnd.openxmlformats-officedocument.spreadsheetml.query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codeName="ThisWorkbook" hidePivotFieldList="1" defaultThemeVersion="166925"/>
  <mc:AlternateContent xmlns:mc="http://schemas.openxmlformats.org/markup-compatibility/2006">
    <mc:Choice Requires="x15">
      <x15ac:absPath xmlns:x15ac="http://schemas.microsoft.com/office/spreadsheetml/2010/11/ac" url="C:\Users\ZZhang\OneDrive - Essential Services Commission\2024-25 VDO\Final decision release\Document copy for website upload\"/>
    </mc:Choice>
  </mc:AlternateContent>
  <xr:revisionPtr revIDLastSave="0" documentId="13_ncr:1_{4CC7CC25-A21C-4AA0-8D0E-B824E4965E5F}" xr6:coauthVersionLast="47" xr6:coauthVersionMax="47" xr10:uidLastSave="{00000000-0000-0000-0000-000000000000}"/>
  <bookViews>
    <workbookView xWindow="28845" yWindow="-120" windowWidth="29040" windowHeight="15840" tabRatio="988" xr2:uid="{7D2DFC98-FAB5-43BC-B4E4-A25601635F0E}"/>
  </bookViews>
  <sheets>
    <sheet name="Cover" sheetId="81" r:id="rId1"/>
    <sheet name="Disclaimer" sheetId="46" r:id="rId2"/>
    <sheet name="Contents" sheetId="4" r:id="rId3"/>
    <sheet name="User Guide" sheetId="40" r:id="rId4"/>
    <sheet name="OP_Rates" sheetId="51" r:id="rId5"/>
    <sheet name="OP_CMAB" sheetId="50" r:id="rId6"/>
    <sheet name="CH_CostStack_RES" sheetId="52" r:id="rId7"/>
    <sheet name="CH_CostStack_SME" sheetId="80" r:id="rId8"/>
    <sheet name="CH_CostStack_SME 10k" sheetId="84" r:id="rId9"/>
    <sheet name="Inputs" sheetId="42" r:id="rId10"/>
    <sheet name="General Assumptions" sheetId="39" r:id="rId11"/>
    <sheet name="CPI" sheetId="48" r:id="rId12"/>
    <sheet name="Calc_Rates" sheetId="44" r:id="rId13"/>
    <sheet name="Calc_TU_values" sheetId="49" r:id="rId14"/>
    <sheet name="Calc_TU_rates" sheetId="63" r:id="rId15"/>
    <sheet name="Sources" sheetId="82" r:id="rId16"/>
    <sheet name="Lookup refs" sheetId="47" r:id="rId17"/>
  </sheets>
  <definedNames>
    <definedName name="_xlnm._FilterDatabase" localSheetId="14" hidden="1">Calc_TU_rates!$C$99:$L$132</definedName>
    <definedName name="_xlnm._FilterDatabase" localSheetId="9" hidden="1">Inputs!$A$17:$B$141</definedName>
    <definedName name="_xlnm._FilterDatabase" localSheetId="15" hidden="1">Sources!$K$1:$K$184</definedName>
    <definedName name="AUD">'General Assumptions'!$D$21</definedName>
    <definedName name="Calc_TU_values">Inputs!#REF!</definedName>
    <definedName name="CostStackCalcs_remove2\">CH_CostStack_RES!$N$66</definedName>
    <definedName name="DecisionPeriodMultiplierLastFY">Calc_TU_rates!$F$190</definedName>
    <definedName name="DecisionPeriodMultiplierTU">Calc_TU_rates!$F$60</definedName>
    <definedName name="DiPY">'General Assumptions'!$D$10</definedName>
    <definedName name="DiY">'General Assumptions'!$D$9</definedName>
    <definedName name="ExternalData_1" localSheetId="10" hidden="1">'General Assumptions'!$C$30:$D$35</definedName>
    <definedName name="FY">Calc_Rates!$D$5</definedName>
    <definedName name="GST">'General Assumptions'!$D$24</definedName>
    <definedName name="hi">CH_CostStack_RES!$N$66</definedName>
    <definedName name="Input_TUEnv_Actua">Calc_TU_values!$K$18</definedName>
    <definedName name="MiQ">'General Assumptions'!$D$14</definedName>
    <definedName name="MiY">'General Assumptions'!$D$13</definedName>
    <definedName name="PY">Calc_Rates!$D$267</definedName>
    <definedName name="Standard_regulatory_period">'General Assumptions'!$D$11</definedName>
    <definedName name="TUProp_CLLoad_1">Calc_TU_values!$F$88</definedName>
    <definedName name="TUProp_CLLoad_2">Calc_TU_values!$F$308</definedName>
    <definedName name="TUProp_Days_1">Calc_TU_values!$D$76</definedName>
    <definedName name="TUProp_Days_2">Calc_TU_values!$D$296</definedName>
    <definedName name="WACC">Inputs!#REF!</definedName>
    <definedName name="WACC_adj_1">Calc_TU_values!$D$78</definedName>
    <definedName name="WACC_adj_2">Calc_TU_values!$D$298</definedName>
    <definedName name="WiPY">'General Assumptions'!$D$18</definedName>
    <definedName name="WiY">'General Assumptions'!$D$17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44" l="1"/>
  <c r="H15" i="42"/>
  <c r="I15" i="42"/>
  <c r="J15" i="42"/>
  <c r="K15" i="42"/>
  <c r="L15" i="42"/>
  <c r="M15" i="42"/>
  <c r="N15" i="42"/>
  <c r="O15" i="42"/>
  <c r="P15" i="42"/>
  <c r="Q15" i="42"/>
  <c r="R15" i="42"/>
  <c r="S15" i="42"/>
  <c r="T15" i="42"/>
  <c r="U15" i="42"/>
  <c r="V15" i="42"/>
  <c r="W15" i="42"/>
  <c r="X15" i="42"/>
  <c r="Y15" i="42"/>
  <c r="Z15" i="42"/>
  <c r="AA15" i="42"/>
  <c r="AB15" i="42"/>
  <c r="AC15" i="42"/>
  <c r="G244" i="44" a="1"/>
  <c r="G244" i="44"/>
  <c r="G245" i="44" a="1"/>
  <c r="G245" i="44"/>
  <c r="G246" i="44"/>
  <c r="G250" i="44" a="1"/>
  <c r="G250" i="44"/>
  <c r="G251" i="44" a="1"/>
  <c r="G251" i="44"/>
  <c r="G252" i="44"/>
  <c r="G256" i="44" a="1"/>
  <c r="G256" i="44"/>
  <c r="G257" i="44" a="1"/>
  <c r="G257" i="44"/>
  <c r="G258" i="44"/>
  <c r="G51" i="44"/>
  <c r="G152" i="44"/>
  <c r="H152" i="44" a="1"/>
  <c r="H152" i="44"/>
  <c r="I152" i="44" a="1"/>
  <c r="I152" i="44"/>
  <c r="G262" i="44" a="1"/>
  <c r="G262" i="44"/>
  <c r="G52" i="44"/>
  <c r="D186" i="44"/>
  <c r="D187" i="44"/>
  <c r="G187" i="44" a="1"/>
  <c r="G187" i="44"/>
  <c r="G153" i="44"/>
  <c r="E21" i="48"/>
  <c r="D146" i="44"/>
  <c r="H153" i="44" a="1"/>
  <c r="H153" i="44"/>
  <c r="I153" i="44" a="1"/>
  <c r="I153" i="44"/>
  <c r="E186" i="44"/>
  <c r="G186" i="44" a="1"/>
  <c r="D188" i="44"/>
  <c r="G154" i="44"/>
  <c r="H154" i="44" a="1"/>
  <c r="H154" i="44"/>
  <c r="I154" i="44" a="1"/>
  <c r="I154" i="44"/>
  <c r="E188" i="44"/>
  <c r="D17" i="39"/>
  <c r="G188" i="44" a="1"/>
  <c r="D189" i="44"/>
  <c r="G155" i="44"/>
  <c r="H155" i="44" a="1"/>
  <c r="H155" i="44"/>
  <c r="I155" i="44" a="1"/>
  <c r="I155" i="44"/>
  <c r="E189" i="44"/>
  <c r="G189" i="44" a="1"/>
  <c r="D190" i="44"/>
  <c r="G156" i="44"/>
  <c r="H156" i="44" a="1"/>
  <c r="H156" i="44"/>
  <c r="I156" i="44" a="1"/>
  <c r="I156" i="44"/>
  <c r="G190" i="44" a="1"/>
  <c r="D191" i="44"/>
  <c r="G191" i="44" a="1"/>
  <c r="D192" i="44"/>
  <c r="G157" i="44"/>
  <c r="H157" i="44" a="1"/>
  <c r="H157" i="44"/>
  <c r="I157" i="44" a="1"/>
  <c r="I157" i="44"/>
  <c r="G192" i="44" a="1"/>
  <c r="D193" i="44"/>
  <c r="G158" i="44"/>
  <c r="H158" i="44" a="1"/>
  <c r="H158" i="44"/>
  <c r="I158" i="44" a="1"/>
  <c r="I158" i="44"/>
  <c r="G193" i="44" a="1"/>
  <c r="D194" i="44"/>
  <c r="G194" i="44" a="1"/>
  <c r="D195" i="44"/>
  <c r="G159" i="44"/>
  <c r="H159" i="44" a="1"/>
  <c r="H159" i="44"/>
  <c r="I159" i="44" a="1"/>
  <c r="I159" i="44"/>
  <c r="E195" i="44"/>
  <c r="G195" i="44" a="1"/>
  <c r="D196" i="44"/>
  <c r="G160" i="44"/>
  <c r="H160" i="44" a="1"/>
  <c r="H160" i="44"/>
  <c r="I160" i="44" a="1"/>
  <c r="I160" i="44"/>
  <c r="E196" i="44"/>
  <c r="G196" i="44" a="1"/>
  <c r="D197" i="44"/>
  <c r="G161" i="44"/>
  <c r="H161" i="44" a="1"/>
  <c r="H161" i="44"/>
  <c r="I161" i="44" a="1"/>
  <c r="I161" i="44"/>
  <c r="E197" i="44"/>
  <c r="G197" i="44" a="1"/>
  <c r="D198" i="44"/>
  <c r="G162" i="44"/>
  <c r="H162" i="44" a="1"/>
  <c r="H162" i="44"/>
  <c r="I162" i="44" a="1"/>
  <c r="I162" i="44"/>
  <c r="G198" i="44" a="1"/>
  <c r="D199" i="44"/>
  <c r="G163" i="44"/>
  <c r="H163" i="44" a="1"/>
  <c r="H163" i="44"/>
  <c r="I163" i="44" a="1"/>
  <c r="I163" i="44"/>
  <c r="G199" i="44" a="1"/>
  <c r="D200" i="44"/>
  <c r="G164" i="44"/>
  <c r="H164" i="44" a="1"/>
  <c r="H164" i="44"/>
  <c r="I164" i="44" a="1"/>
  <c r="I164" i="44"/>
  <c r="G200" i="44" a="1"/>
  <c r="G186" i="44"/>
  <c r="G188" i="44"/>
  <c r="G189" i="44"/>
  <c r="G190" i="44"/>
  <c r="G191" i="44"/>
  <c r="G192" i="44"/>
  <c r="G193" i="44"/>
  <c r="G194" i="44"/>
  <c r="G195" i="44"/>
  <c r="G196" i="44"/>
  <c r="G197" i="44"/>
  <c r="G198" i="44"/>
  <c r="G199" i="44"/>
  <c r="G200" i="44"/>
  <c r="G53" i="44"/>
  <c r="G230" i="44" a="1"/>
  <c r="G230" i="44"/>
  <c r="G231" i="44" a="1"/>
  <c r="G231" i="44"/>
  <c r="G232" i="44"/>
  <c r="G54" i="44"/>
  <c r="G236" i="44" a="1"/>
  <c r="G236" i="44"/>
  <c r="AC72" i="42"/>
  <c r="G237" i="44" a="1"/>
  <c r="G237" i="44"/>
  <c r="G238" i="44"/>
  <c r="G55" i="44"/>
  <c r="G168" i="44" a="1"/>
  <c r="G168" i="44"/>
  <c r="G169" i="44" a="1"/>
  <c r="G169" i="44"/>
  <c r="G170" i="44"/>
  <c r="G56" i="44"/>
  <c r="G57" i="44"/>
  <c r="G92" i="44"/>
  <c r="D19" i="39"/>
  <c r="D267" i="44"/>
  <c r="L45" i="80"/>
  <c r="P51" i="80"/>
  <c r="D45" i="80"/>
  <c r="H51" i="80"/>
  <c r="Q50" i="80"/>
  <c r="I50" i="80"/>
  <c r="P51" i="84"/>
  <c r="Q50" i="84"/>
  <c r="D45" i="84"/>
  <c r="H51" i="84"/>
  <c r="I50" i="84"/>
  <c r="Q50" i="52"/>
  <c r="P51" i="52"/>
  <c r="I50" i="52"/>
  <c r="H51" i="52"/>
  <c r="G210" i="44" a="1"/>
  <c r="G210" i="44"/>
  <c r="G207" i="44" a="1"/>
  <c r="G207" i="44"/>
  <c r="D79" i="84"/>
  <c r="G220" i="44" a="1"/>
  <c r="G220" i="44"/>
  <c r="D95" i="84"/>
  <c r="G221" i="44" a="1"/>
  <c r="G221" i="44"/>
  <c r="D96" i="84"/>
  <c r="G222" i="44" a="1"/>
  <c r="G222" i="44"/>
  <c r="D97" i="84"/>
  <c r="E150" i="42"/>
  <c r="E151" i="42"/>
  <c r="E152" i="42"/>
  <c r="E153" i="42"/>
  <c r="H147" i="42"/>
  <c r="I147" i="42"/>
  <c r="J147" i="42"/>
  <c r="K147" i="42"/>
  <c r="L147" i="42"/>
  <c r="M147" i="42"/>
  <c r="N147" i="42"/>
  <c r="O147" i="42"/>
  <c r="P147" i="42"/>
  <c r="Q147" i="42"/>
  <c r="R147" i="42"/>
  <c r="D50" i="84"/>
  <c r="E154" i="42"/>
  <c r="E155" i="42"/>
  <c r="E156" i="42"/>
  <c r="E157" i="42"/>
  <c r="E158" i="42"/>
  <c r="E159" i="42"/>
  <c r="E160" i="42"/>
  <c r="E161" i="42"/>
  <c r="E162" i="42"/>
  <c r="E163" i="42"/>
  <c r="E164" i="42"/>
  <c r="E165" i="42"/>
  <c r="E166" i="42"/>
  <c r="E167" i="42"/>
  <c r="E168" i="42"/>
  <c r="E169" i="42"/>
  <c r="E170" i="42"/>
  <c r="E171" i="42"/>
  <c r="E172" i="42"/>
  <c r="E173" i="42"/>
  <c r="E174" i="42"/>
  <c r="E175" i="42"/>
  <c r="E176" i="42"/>
  <c r="E177" i="42"/>
  <c r="E178" i="42"/>
  <c r="E179" i="42"/>
  <c r="E180" i="42"/>
  <c r="E181" i="42"/>
  <c r="E182" i="42"/>
  <c r="E183" i="42"/>
  <c r="E184" i="42"/>
  <c r="E185" i="42"/>
  <c r="E186" i="42"/>
  <c r="D51" i="84"/>
  <c r="D48" i="84"/>
  <c r="D56" i="84"/>
  <c r="H210" i="44" a="1"/>
  <c r="H210" i="44"/>
  <c r="H207" i="44" a="1"/>
  <c r="H207" i="44"/>
  <c r="E79" i="84"/>
  <c r="H220" i="44" a="1"/>
  <c r="H220" i="44"/>
  <c r="E95" i="84"/>
  <c r="H221" i="44" a="1"/>
  <c r="H221" i="44"/>
  <c r="E96" i="84"/>
  <c r="H222" i="44" a="1"/>
  <c r="H222" i="44"/>
  <c r="E97" i="84"/>
  <c r="E56" i="84"/>
  <c r="I210" i="44" a="1"/>
  <c r="I210" i="44"/>
  <c r="I207" i="44" a="1"/>
  <c r="I207" i="44"/>
  <c r="F79" i="84"/>
  <c r="I220" i="44" a="1"/>
  <c r="I220" i="44"/>
  <c r="F95" i="84"/>
  <c r="I221" i="44" a="1"/>
  <c r="I221" i="44"/>
  <c r="F96" i="84"/>
  <c r="I222" i="44" a="1"/>
  <c r="I222" i="44"/>
  <c r="F97" i="84"/>
  <c r="F56" i="84"/>
  <c r="J210" i="44" a="1"/>
  <c r="J210" i="44"/>
  <c r="J207" i="44" a="1"/>
  <c r="J207" i="44"/>
  <c r="G79" i="84"/>
  <c r="J220" i="44" a="1"/>
  <c r="J220" i="44"/>
  <c r="G95" i="84"/>
  <c r="J221" i="44" a="1"/>
  <c r="J221" i="44"/>
  <c r="G96" i="84"/>
  <c r="J222" i="44" a="1"/>
  <c r="J222" i="44"/>
  <c r="G97" i="84"/>
  <c r="G56" i="84"/>
  <c r="K210" i="44" a="1"/>
  <c r="K210" i="44"/>
  <c r="K207" i="44" a="1"/>
  <c r="K207" i="44"/>
  <c r="H79" i="84"/>
  <c r="K220" i="44" a="1"/>
  <c r="K220" i="44"/>
  <c r="H95" i="84"/>
  <c r="K221" i="44" a="1"/>
  <c r="K221" i="44"/>
  <c r="H96" i="84"/>
  <c r="K222" i="44" a="1"/>
  <c r="K222" i="44"/>
  <c r="H97" i="84"/>
  <c r="H56" i="84"/>
  <c r="I56" i="84"/>
  <c r="E36" i="84"/>
  <c r="G471" i="44" a="1"/>
  <c r="G471" i="44"/>
  <c r="G468" i="44" a="1"/>
  <c r="G468" i="44"/>
  <c r="K48" i="84"/>
  <c r="L79" i="84"/>
  <c r="G481" i="44" a="1"/>
  <c r="G481" i="44"/>
  <c r="L95" i="84"/>
  <c r="G482" i="44" a="1"/>
  <c r="G482" i="44"/>
  <c r="L96" i="84"/>
  <c r="G483" i="44" a="1"/>
  <c r="G483" i="44"/>
  <c r="L97" i="84"/>
  <c r="L45" i="84"/>
  <c r="L50" i="84"/>
  <c r="L51" i="84"/>
  <c r="L48" i="84"/>
  <c r="L56" i="84"/>
  <c r="H471" i="44" a="1"/>
  <c r="H471" i="44"/>
  <c r="H468" i="44" a="1"/>
  <c r="H468" i="44"/>
  <c r="M79" i="84"/>
  <c r="H481" i="44" a="1"/>
  <c r="H481" i="44"/>
  <c r="M95" i="84"/>
  <c r="H482" i="44" a="1"/>
  <c r="H482" i="44"/>
  <c r="M96" i="84"/>
  <c r="H483" i="44" a="1"/>
  <c r="H483" i="44"/>
  <c r="M97" i="84"/>
  <c r="M56" i="84"/>
  <c r="I471" i="44" a="1"/>
  <c r="I471" i="44"/>
  <c r="I468" i="44" a="1"/>
  <c r="I468" i="44"/>
  <c r="N79" i="84"/>
  <c r="I481" i="44" a="1"/>
  <c r="I481" i="44"/>
  <c r="N95" i="84"/>
  <c r="I482" i="44" a="1"/>
  <c r="I482" i="44"/>
  <c r="N96" i="84"/>
  <c r="I483" i="44" a="1"/>
  <c r="I483" i="44"/>
  <c r="N97" i="84"/>
  <c r="N56" i="84"/>
  <c r="J471" i="44" a="1"/>
  <c r="J471" i="44"/>
  <c r="J468" i="44" a="1"/>
  <c r="J468" i="44"/>
  <c r="O79" i="84"/>
  <c r="J481" i="44" a="1"/>
  <c r="J481" i="44"/>
  <c r="O95" i="84"/>
  <c r="J482" i="44" a="1"/>
  <c r="J482" i="44"/>
  <c r="O96" i="84"/>
  <c r="J483" i="44" a="1"/>
  <c r="J483" i="44"/>
  <c r="O97" i="84"/>
  <c r="O56" i="84"/>
  <c r="K471" i="44" a="1"/>
  <c r="K471" i="44"/>
  <c r="K468" i="44" a="1"/>
  <c r="K468" i="44"/>
  <c r="P79" i="84"/>
  <c r="K481" i="44" a="1"/>
  <c r="K481" i="44"/>
  <c r="P95" i="84"/>
  <c r="K482" i="44" a="1"/>
  <c r="K482" i="44"/>
  <c r="P96" i="84"/>
  <c r="K483" i="44" a="1"/>
  <c r="K483" i="44"/>
  <c r="P97" i="84"/>
  <c r="P56" i="84"/>
  <c r="Q56" i="84"/>
  <c r="E35" i="84"/>
  <c r="E40" i="84"/>
  <c r="D88" i="52"/>
  <c r="D45" i="52"/>
  <c r="D48" i="52"/>
  <c r="D74" i="52"/>
  <c r="D55" i="52"/>
  <c r="H230" i="44" a="1"/>
  <c r="H230" i="44"/>
  <c r="H231" i="44" a="1"/>
  <c r="H231" i="44"/>
  <c r="H232" i="44"/>
  <c r="E88" i="52"/>
  <c r="H168" i="44" a="1"/>
  <c r="H168" i="44"/>
  <c r="H169" i="44" a="1"/>
  <c r="H169" i="44"/>
  <c r="H170" i="44"/>
  <c r="E74" i="52"/>
  <c r="E55" i="52"/>
  <c r="I230" i="44" a="1"/>
  <c r="I230" i="44"/>
  <c r="I231" i="44" a="1"/>
  <c r="I231" i="44"/>
  <c r="I232" i="44"/>
  <c r="F88" i="52"/>
  <c r="I168" i="44" a="1"/>
  <c r="I168" i="44"/>
  <c r="I169" i="44" a="1"/>
  <c r="I169" i="44"/>
  <c r="I170" i="44"/>
  <c r="F74" i="52"/>
  <c r="F55" i="52"/>
  <c r="J230" i="44" a="1"/>
  <c r="J230" i="44"/>
  <c r="J231" i="44" a="1"/>
  <c r="J231" i="44"/>
  <c r="J232" i="44"/>
  <c r="G88" i="52"/>
  <c r="J168" i="44" a="1"/>
  <c r="J168" i="44"/>
  <c r="J169" i="44" a="1"/>
  <c r="J169" i="44"/>
  <c r="J170" i="44"/>
  <c r="G74" i="52"/>
  <c r="G55" i="52"/>
  <c r="K230" i="44" a="1"/>
  <c r="K230" i="44"/>
  <c r="K231" i="44" a="1"/>
  <c r="K231" i="44"/>
  <c r="K232" i="44"/>
  <c r="H88" i="52"/>
  <c r="K168" i="44" a="1"/>
  <c r="K168" i="44"/>
  <c r="K169" i="44" a="1"/>
  <c r="K169" i="44"/>
  <c r="K170" i="44"/>
  <c r="H74" i="52"/>
  <c r="H55" i="52"/>
  <c r="I55" i="52"/>
  <c r="D36" i="52"/>
  <c r="G491" i="44" a="1"/>
  <c r="G491" i="44"/>
  <c r="G492" i="44" a="1"/>
  <c r="G492" i="44"/>
  <c r="G493" i="44"/>
  <c r="K48" i="52"/>
  <c r="L88" i="52"/>
  <c r="L45" i="52"/>
  <c r="L48" i="52"/>
  <c r="G429" i="44" a="1"/>
  <c r="G429" i="44"/>
  <c r="G430" i="44" a="1"/>
  <c r="G430" i="44"/>
  <c r="G431" i="44"/>
  <c r="L74" i="52"/>
  <c r="L55" i="52"/>
  <c r="H491" i="44" a="1"/>
  <c r="H491" i="44"/>
  <c r="H492" i="44" a="1"/>
  <c r="H492" i="44"/>
  <c r="H493" i="44"/>
  <c r="M88" i="52"/>
  <c r="H429" i="44" a="1"/>
  <c r="H429" i="44"/>
  <c r="H430" i="44" a="1"/>
  <c r="H430" i="44"/>
  <c r="H431" i="44"/>
  <c r="M74" i="52"/>
  <c r="M55" i="52"/>
  <c r="I491" i="44" a="1"/>
  <c r="I491" i="44"/>
  <c r="I492" i="44" a="1"/>
  <c r="I492" i="44"/>
  <c r="I493" i="44"/>
  <c r="N88" i="52"/>
  <c r="I429" i="44" a="1"/>
  <c r="I429" i="44"/>
  <c r="I430" i="44" a="1"/>
  <c r="I430" i="44"/>
  <c r="I431" i="44"/>
  <c r="N74" i="52"/>
  <c r="N55" i="52"/>
  <c r="J491" i="44" a="1"/>
  <c r="J491" i="44"/>
  <c r="J492" i="44" a="1"/>
  <c r="J492" i="44"/>
  <c r="J493" i="44"/>
  <c r="O88" i="52"/>
  <c r="J429" i="44" a="1"/>
  <c r="J429" i="44"/>
  <c r="J430" i="44" a="1"/>
  <c r="J430" i="44"/>
  <c r="J431" i="44"/>
  <c r="O74" i="52"/>
  <c r="O55" i="52"/>
  <c r="K491" i="44" a="1"/>
  <c r="K491" i="44"/>
  <c r="K492" i="44" a="1"/>
  <c r="K492" i="44"/>
  <c r="K493" i="44"/>
  <c r="P88" i="52"/>
  <c r="K429" i="44" a="1"/>
  <c r="K429" i="44"/>
  <c r="K430" i="44" a="1"/>
  <c r="K430" i="44"/>
  <c r="K431" i="44"/>
  <c r="P74" i="52"/>
  <c r="P55" i="52"/>
  <c r="Q55" i="52"/>
  <c r="D35" i="52"/>
  <c r="D37" i="52"/>
  <c r="G206" i="44" a="1"/>
  <c r="G206" i="44"/>
  <c r="G17" i="44"/>
  <c r="G149" i="44"/>
  <c r="H149" i="44" a="1"/>
  <c r="H149" i="44"/>
  <c r="I149" i="44" a="1"/>
  <c r="I149" i="44"/>
  <c r="G150" i="44"/>
  <c r="H150" i="44" a="1"/>
  <c r="H150" i="44"/>
  <c r="I150" i="44" a="1"/>
  <c r="I150" i="44"/>
  <c r="G180" i="44" a="1"/>
  <c r="G180" i="44"/>
  <c r="G151" i="44"/>
  <c r="H151" i="44" a="1"/>
  <c r="H151" i="44"/>
  <c r="I151" i="44" a="1"/>
  <c r="I151" i="44"/>
  <c r="G181" i="44" a="1"/>
  <c r="G181" i="44"/>
  <c r="G10" i="44"/>
  <c r="G11" i="44"/>
  <c r="G12" i="44"/>
  <c r="G13" i="44"/>
  <c r="G18" i="44"/>
  <c r="G174" i="44" a="1"/>
  <c r="G174" i="44"/>
  <c r="G19" i="44" a="1"/>
  <c r="G19" i="44"/>
  <c r="G20" i="44"/>
  <c r="G21" i="44"/>
  <c r="G22" i="44"/>
  <c r="C22" i="44"/>
  <c r="C30" i="44"/>
  <c r="C39" i="44"/>
  <c r="C47" i="44"/>
  <c r="G20" i="51"/>
  <c r="G214" i="44" a="1"/>
  <c r="G214" i="44"/>
  <c r="G62" i="44"/>
  <c r="G63" i="44"/>
  <c r="G64" i="44" a="1"/>
  <c r="G64" i="44"/>
  <c r="G65" i="44"/>
  <c r="G66" i="44"/>
  <c r="C66" i="44"/>
  <c r="C73" i="44"/>
  <c r="C80" i="44"/>
  <c r="C88" i="44"/>
  <c r="G67" i="44" a="1"/>
  <c r="G215" i="44" a="1"/>
  <c r="G215" i="44"/>
  <c r="G69" i="44"/>
  <c r="G70" i="44"/>
  <c r="G71" i="44" a="1"/>
  <c r="G71" i="44"/>
  <c r="G72" i="44"/>
  <c r="G73" i="44"/>
  <c r="G74" i="44" a="1"/>
  <c r="G216" i="44" a="1"/>
  <c r="G216" i="44"/>
  <c r="G76" i="44"/>
  <c r="G77" i="44"/>
  <c r="G78" i="44" a="1"/>
  <c r="G79" i="44"/>
  <c r="G80" i="44"/>
  <c r="G81" i="44" a="1"/>
  <c r="G217" i="44" a="1"/>
  <c r="G217" i="44"/>
  <c r="G84" i="44"/>
  <c r="G85" i="44"/>
  <c r="G86" i="44" a="1"/>
  <c r="G86" i="44"/>
  <c r="G87" i="44"/>
  <c r="G88" i="44"/>
  <c r="G89" i="44" a="1"/>
  <c r="G218" i="44" a="1"/>
  <c r="G218" i="44"/>
  <c r="G91" i="44"/>
  <c r="G93" i="44" a="1"/>
  <c r="G93" i="44"/>
  <c r="G94" i="44"/>
  <c r="G95" i="44"/>
  <c r="G96" i="44" a="1"/>
  <c r="G219" i="44" a="1"/>
  <c r="G219" i="44"/>
  <c r="G98" i="44"/>
  <c r="G99" i="44"/>
  <c r="G100" i="44" a="1"/>
  <c r="G100" i="44"/>
  <c r="G101" i="44"/>
  <c r="G102" i="44"/>
  <c r="G103" i="44" a="1"/>
  <c r="G107" i="44"/>
  <c r="G108" i="44"/>
  <c r="G109" i="44" a="1"/>
  <c r="G109" i="44"/>
  <c r="G110" i="44"/>
  <c r="G111" i="44"/>
  <c r="G112" i="44" a="1"/>
  <c r="G114" i="44"/>
  <c r="G115" i="44"/>
  <c r="G116" i="44" a="1"/>
  <c r="G116" i="44"/>
  <c r="G117" i="44"/>
  <c r="G118" i="44"/>
  <c r="G119" i="44" a="1"/>
  <c r="G121" i="44"/>
  <c r="G122" i="44"/>
  <c r="G123" i="44" a="1"/>
  <c r="G124" i="44"/>
  <c r="G125" i="44"/>
  <c r="G126" i="44" a="1"/>
  <c r="G223" i="44" a="1"/>
  <c r="G223" i="44"/>
  <c r="G129" i="44"/>
  <c r="G130" i="44"/>
  <c r="G131" i="44" a="1"/>
  <c r="G131" i="44"/>
  <c r="G132" i="44"/>
  <c r="G133" i="44"/>
  <c r="G134" i="44" a="1"/>
  <c r="G224" i="44" a="1"/>
  <c r="G224" i="44"/>
  <c r="G136" i="44"/>
  <c r="G137" i="44"/>
  <c r="G138" i="44" a="1"/>
  <c r="G138" i="44"/>
  <c r="G139" i="44"/>
  <c r="G140" i="44"/>
  <c r="C95" i="44"/>
  <c r="C102" i="44"/>
  <c r="C111" i="44"/>
  <c r="C118" i="44"/>
  <c r="C125" i="44"/>
  <c r="C133" i="44"/>
  <c r="C140" i="44"/>
  <c r="G21" i="51"/>
  <c r="G22" i="51"/>
  <c r="G23" i="51"/>
  <c r="D5" i="49"/>
  <c r="I210" i="42"/>
  <c r="K210" i="42"/>
  <c r="M210" i="42"/>
  <c r="O210" i="42"/>
  <c r="Q210" i="42"/>
  <c r="S210" i="42"/>
  <c r="U210" i="42"/>
  <c r="W210" i="42"/>
  <c r="Y210" i="42"/>
  <c r="AA210" i="42"/>
  <c r="AC210" i="42"/>
  <c r="G102" i="49"/>
  <c r="G140" i="49"/>
  <c r="G168" i="49"/>
  <c r="G194" i="49"/>
  <c r="C11" i="63"/>
  <c r="C12" i="63"/>
  <c r="C13" i="63"/>
  <c r="C14" i="63"/>
  <c r="H11" i="63"/>
  <c r="H12" i="63" a="1"/>
  <c r="H13" i="63" a="1"/>
  <c r="H14" i="63" a="1"/>
  <c r="C15" i="63"/>
  <c r="H15" i="63" a="1"/>
  <c r="C16" i="63"/>
  <c r="H16" i="63" a="1"/>
  <c r="C17" i="63"/>
  <c r="H17" i="63" a="1"/>
  <c r="C18" i="63"/>
  <c r="H18" i="63" a="1"/>
  <c r="C19" i="63"/>
  <c r="H19" i="63" a="1"/>
  <c r="D5" i="63"/>
  <c r="D22" i="63"/>
  <c r="E22" i="63"/>
  <c r="D21" i="63"/>
  <c r="E21" i="63"/>
  <c r="E24" i="63"/>
  <c r="H28" i="63"/>
  <c r="G31" i="51" a="1"/>
  <c r="I28" i="63" a="1"/>
  <c r="I28" i="63"/>
  <c r="H31" i="51" a="1"/>
  <c r="J28" i="63" a="1"/>
  <c r="J28" i="63"/>
  <c r="I31" i="51" a="1"/>
  <c r="K28" i="63" a="1"/>
  <c r="K28" i="63"/>
  <c r="J31" i="51" a="1"/>
  <c r="L28" i="63" a="1"/>
  <c r="L28" i="63"/>
  <c r="K31" i="51" a="1"/>
  <c r="H30" i="63" a="1"/>
  <c r="H30" i="63"/>
  <c r="G32" i="51" a="1"/>
  <c r="I30" i="63" a="1"/>
  <c r="I30" i="63"/>
  <c r="H32" i="51" a="1"/>
  <c r="J30" i="63" a="1"/>
  <c r="J30" i="63"/>
  <c r="I32" i="51" a="1"/>
  <c r="K30" i="63" a="1"/>
  <c r="K30" i="63"/>
  <c r="J32" i="51" a="1"/>
  <c r="L30" i="63" a="1"/>
  <c r="L30" i="63"/>
  <c r="K32" i="51" a="1"/>
  <c r="E33" i="63"/>
  <c r="E34" i="63"/>
  <c r="H40" i="63" a="1"/>
  <c r="H40" i="63"/>
  <c r="G33" i="51" a="1"/>
  <c r="I40" i="63" a="1"/>
  <c r="I40" i="63"/>
  <c r="H33" i="51" a="1"/>
  <c r="J40" i="63" a="1"/>
  <c r="J40" i="63"/>
  <c r="I33" i="51" a="1"/>
  <c r="K40" i="63" a="1"/>
  <c r="K40" i="63"/>
  <c r="J33" i="51" a="1"/>
  <c r="L40" i="63" a="1"/>
  <c r="L40" i="63"/>
  <c r="K33" i="51" a="1"/>
  <c r="D21" i="49"/>
  <c r="F21" i="49"/>
  <c r="K21" i="49"/>
  <c r="D22" i="49"/>
  <c r="F22" i="49"/>
  <c r="K22" i="49"/>
  <c r="K23" i="49"/>
  <c r="D18" i="49"/>
  <c r="F18" i="49"/>
  <c r="K18" i="49"/>
  <c r="D19" i="49"/>
  <c r="F19" i="49"/>
  <c r="K19" i="49"/>
  <c r="K20" i="49"/>
  <c r="K24" i="49"/>
  <c r="D25" i="49"/>
  <c r="F25" i="49"/>
  <c r="K25" i="49"/>
  <c r="D26" i="49"/>
  <c r="F26" i="49"/>
  <c r="K26" i="49"/>
  <c r="K27" i="49"/>
  <c r="K28" i="49"/>
  <c r="G17" i="49"/>
  <c r="G30" i="49"/>
  <c r="G43" i="49"/>
  <c r="C54" i="63"/>
  <c r="H54" i="63" a="1"/>
  <c r="H54" i="63"/>
  <c r="E59" i="63"/>
  <c r="E58" i="63"/>
  <c r="I203" i="42"/>
  <c r="K203" i="42"/>
  <c r="M203" i="42"/>
  <c r="O203" i="42"/>
  <c r="Q203" i="42"/>
  <c r="S203" i="42"/>
  <c r="U203" i="42"/>
  <c r="W203" i="42"/>
  <c r="Y203" i="42"/>
  <c r="AA203" i="42"/>
  <c r="AC203" i="42"/>
  <c r="F58" i="63"/>
  <c r="F59" i="63"/>
  <c r="C55" i="63"/>
  <c r="C56" i="63"/>
  <c r="H65" i="63" a="1"/>
  <c r="H65" i="63"/>
  <c r="D34" i="49"/>
  <c r="F34" i="49"/>
  <c r="K34" i="49"/>
  <c r="D35" i="49"/>
  <c r="F35" i="49"/>
  <c r="K35" i="49"/>
  <c r="K36" i="49"/>
  <c r="D31" i="49"/>
  <c r="F31" i="49"/>
  <c r="R196" i="42"/>
  <c r="K31" i="49"/>
  <c r="D32" i="49"/>
  <c r="F32" i="49"/>
  <c r="K32" i="49"/>
  <c r="K33" i="49"/>
  <c r="K37" i="49"/>
  <c r="D38" i="49"/>
  <c r="F38" i="49"/>
  <c r="K38" i="49"/>
  <c r="D39" i="49"/>
  <c r="F39" i="49"/>
  <c r="K39" i="49"/>
  <c r="K40" i="49"/>
  <c r="K41" i="49"/>
  <c r="H55" i="63"/>
  <c r="H71" i="63" a="1"/>
  <c r="H71" i="63"/>
  <c r="H64" i="63" a="1"/>
  <c r="H66" i="63" a="1"/>
  <c r="H67" i="63" a="1"/>
  <c r="H68" i="63" a="1"/>
  <c r="H69" i="63" a="1"/>
  <c r="H70" i="63" a="1"/>
  <c r="H72" i="63" a="1"/>
  <c r="H73" i="63" a="1"/>
  <c r="H74" i="63" a="1"/>
  <c r="H75" i="63" a="1"/>
  <c r="H76" i="63" a="1"/>
  <c r="H77" i="63" a="1"/>
  <c r="H78" i="63" a="1"/>
  <c r="H79" i="63" a="1"/>
  <c r="H80" i="63" a="1"/>
  <c r="H81" i="63" a="1"/>
  <c r="H82" i="63" a="1"/>
  <c r="H83" i="63" a="1"/>
  <c r="H84" i="63" a="1"/>
  <c r="H85" i="63" a="1"/>
  <c r="H86" i="63" a="1"/>
  <c r="H87" i="63" a="1"/>
  <c r="H88" i="63" a="1"/>
  <c r="H89" i="63" a="1"/>
  <c r="H90" i="63" a="1"/>
  <c r="H91" i="63" a="1"/>
  <c r="H92" i="63" a="1"/>
  <c r="H93" i="63" a="1"/>
  <c r="H94" i="63" a="1"/>
  <c r="H95" i="63" a="1"/>
  <c r="H96" i="63" a="1"/>
  <c r="H64" i="63"/>
  <c r="H66" i="63"/>
  <c r="H67" i="63"/>
  <c r="H68" i="63"/>
  <c r="H69" i="63"/>
  <c r="H70" i="63"/>
  <c r="H72" i="63"/>
  <c r="H73" i="63"/>
  <c r="H74" i="63"/>
  <c r="H75" i="63"/>
  <c r="H76" i="63"/>
  <c r="H77" i="63"/>
  <c r="H78" i="63"/>
  <c r="H79" i="63"/>
  <c r="H80" i="63"/>
  <c r="H81" i="63"/>
  <c r="H82" i="63"/>
  <c r="H83" i="63"/>
  <c r="H84" i="63"/>
  <c r="H85" i="63"/>
  <c r="H86" i="63"/>
  <c r="H87" i="63"/>
  <c r="H88" i="63"/>
  <c r="H89" i="63"/>
  <c r="H90" i="63"/>
  <c r="H91" i="63"/>
  <c r="H92" i="63"/>
  <c r="H93" i="63"/>
  <c r="H94" i="63"/>
  <c r="H95" i="63"/>
  <c r="H96" i="63"/>
  <c r="G34" i="51" a="1"/>
  <c r="I65" i="63" a="1"/>
  <c r="I65" i="63"/>
  <c r="I71" i="63" a="1"/>
  <c r="I71" i="63"/>
  <c r="L21" i="49"/>
  <c r="L22" i="49"/>
  <c r="L23" i="49"/>
  <c r="L18" i="49"/>
  <c r="L19" i="49"/>
  <c r="L20" i="49"/>
  <c r="L24" i="49"/>
  <c r="L25" i="49"/>
  <c r="L26" i="49"/>
  <c r="L27" i="49"/>
  <c r="L28" i="49"/>
  <c r="I54" i="63" a="1"/>
  <c r="I54" i="63"/>
  <c r="I64" i="63" a="1"/>
  <c r="I66" i="63" a="1"/>
  <c r="I67" i="63" a="1"/>
  <c r="I68" i="63" a="1"/>
  <c r="I69" i="63" a="1"/>
  <c r="L34" i="49"/>
  <c r="L35" i="49"/>
  <c r="L36" i="49"/>
  <c r="L31" i="49"/>
  <c r="L32" i="49"/>
  <c r="L33" i="49"/>
  <c r="L37" i="49"/>
  <c r="L38" i="49"/>
  <c r="L39" i="49"/>
  <c r="L40" i="49"/>
  <c r="L41" i="49"/>
  <c r="I55" i="63" a="1"/>
  <c r="I55" i="63"/>
  <c r="I70" i="63" a="1"/>
  <c r="I72" i="63" a="1"/>
  <c r="I73" i="63" a="1"/>
  <c r="I74" i="63" a="1"/>
  <c r="I75" i="63" a="1"/>
  <c r="I76" i="63" a="1"/>
  <c r="I77" i="63" a="1"/>
  <c r="I78" i="63" a="1"/>
  <c r="I79" i="63" a="1"/>
  <c r="I80" i="63" a="1"/>
  <c r="I81" i="63" a="1"/>
  <c r="I82" i="63" a="1"/>
  <c r="I83" i="63" a="1"/>
  <c r="I84" i="63" a="1"/>
  <c r="I85" i="63" a="1"/>
  <c r="I86" i="63" a="1"/>
  <c r="I87" i="63" a="1"/>
  <c r="I88" i="63" a="1"/>
  <c r="I89" i="63" a="1"/>
  <c r="I90" i="63" a="1"/>
  <c r="I91" i="63" a="1"/>
  <c r="I92" i="63" a="1"/>
  <c r="I93" i="63" a="1"/>
  <c r="I94" i="63" a="1"/>
  <c r="I95" i="63" a="1"/>
  <c r="I96" i="63" a="1"/>
  <c r="I64" i="63"/>
  <c r="I66" i="63"/>
  <c r="I67" i="63"/>
  <c r="I68" i="63"/>
  <c r="I69" i="63"/>
  <c r="I70" i="63"/>
  <c r="I72" i="63"/>
  <c r="I73" i="63"/>
  <c r="I74" i="63"/>
  <c r="I75" i="63"/>
  <c r="I76" i="63"/>
  <c r="I77" i="63"/>
  <c r="I78" i="63"/>
  <c r="I79" i="63"/>
  <c r="I80" i="63"/>
  <c r="I81" i="63"/>
  <c r="I82" i="63"/>
  <c r="I83" i="63"/>
  <c r="I84" i="63"/>
  <c r="I85" i="63"/>
  <c r="I86" i="63"/>
  <c r="I87" i="63"/>
  <c r="I88" i="63"/>
  <c r="I89" i="63"/>
  <c r="I90" i="63"/>
  <c r="I91" i="63"/>
  <c r="I92" i="63"/>
  <c r="I93" i="63"/>
  <c r="I94" i="63"/>
  <c r="I95" i="63"/>
  <c r="I96" i="63"/>
  <c r="H34" i="51" a="1"/>
  <c r="J65" i="63" a="1"/>
  <c r="J65" i="63"/>
  <c r="J71" i="63" a="1"/>
  <c r="J71" i="63"/>
  <c r="M21" i="49"/>
  <c r="M22" i="49"/>
  <c r="M23" i="49"/>
  <c r="M18" i="49"/>
  <c r="M19" i="49"/>
  <c r="M20" i="49"/>
  <c r="M24" i="49"/>
  <c r="M25" i="49"/>
  <c r="M26" i="49"/>
  <c r="M27" i="49"/>
  <c r="M28" i="49"/>
  <c r="J54" i="63" a="1"/>
  <c r="J54" i="63"/>
  <c r="J64" i="63" a="1"/>
  <c r="J66" i="63" a="1"/>
  <c r="J67" i="63" a="1"/>
  <c r="J68" i="63" a="1"/>
  <c r="J69" i="63" a="1"/>
  <c r="M34" i="49"/>
  <c r="M35" i="49"/>
  <c r="M36" i="49"/>
  <c r="M31" i="49"/>
  <c r="M32" i="49"/>
  <c r="M33" i="49"/>
  <c r="M37" i="49"/>
  <c r="M38" i="49"/>
  <c r="M39" i="49"/>
  <c r="M40" i="49"/>
  <c r="M41" i="49"/>
  <c r="J55" i="63" a="1"/>
  <c r="J55" i="63"/>
  <c r="J70" i="63" a="1"/>
  <c r="J72" i="63" a="1"/>
  <c r="J73" i="63" a="1"/>
  <c r="J74" i="63" a="1"/>
  <c r="J75" i="63" a="1"/>
  <c r="J76" i="63" a="1"/>
  <c r="J77" i="63" a="1"/>
  <c r="J78" i="63" a="1"/>
  <c r="J79" i="63" a="1"/>
  <c r="J80" i="63" a="1"/>
  <c r="J81" i="63" a="1"/>
  <c r="J82" i="63" a="1"/>
  <c r="J83" i="63" a="1"/>
  <c r="J84" i="63" a="1"/>
  <c r="J85" i="63" a="1"/>
  <c r="J86" i="63" a="1"/>
  <c r="J87" i="63" a="1"/>
  <c r="J88" i="63" a="1"/>
  <c r="J89" i="63" a="1"/>
  <c r="J90" i="63" a="1"/>
  <c r="J91" i="63" a="1"/>
  <c r="J92" i="63" a="1"/>
  <c r="J93" i="63" a="1"/>
  <c r="J94" i="63" a="1"/>
  <c r="J95" i="63" a="1"/>
  <c r="J96" i="63" a="1"/>
  <c r="J64" i="63"/>
  <c r="J66" i="63"/>
  <c r="J67" i="63"/>
  <c r="J68" i="63"/>
  <c r="J69" i="63"/>
  <c r="J70" i="63"/>
  <c r="J72" i="63"/>
  <c r="J73" i="63"/>
  <c r="J74" i="63"/>
  <c r="J75" i="63"/>
  <c r="J76" i="63"/>
  <c r="J77" i="63"/>
  <c r="J78" i="63"/>
  <c r="J79" i="63"/>
  <c r="J80" i="63"/>
  <c r="J81" i="63"/>
  <c r="J82" i="63"/>
  <c r="J83" i="63"/>
  <c r="J84" i="63"/>
  <c r="J85" i="63"/>
  <c r="J86" i="63"/>
  <c r="J87" i="63"/>
  <c r="J88" i="63"/>
  <c r="J89" i="63"/>
  <c r="J90" i="63"/>
  <c r="J91" i="63"/>
  <c r="J92" i="63"/>
  <c r="J93" i="63"/>
  <c r="J94" i="63"/>
  <c r="J95" i="63"/>
  <c r="J96" i="63"/>
  <c r="I34" i="51" a="1"/>
  <c r="K65" i="63" a="1"/>
  <c r="K65" i="63"/>
  <c r="K71" i="63" a="1"/>
  <c r="K71" i="63"/>
  <c r="N21" i="49"/>
  <c r="N22" i="49"/>
  <c r="N23" i="49"/>
  <c r="N18" i="49"/>
  <c r="N19" i="49"/>
  <c r="N20" i="49"/>
  <c r="N24" i="49"/>
  <c r="N25" i="49"/>
  <c r="N26" i="49"/>
  <c r="N27" i="49"/>
  <c r="N28" i="49"/>
  <c r="K54" i="63" a="1"/>
  <c r="K54" i="63"/>
  <c r="K64" i="63" a="1"/>
  <c r="K66" i="63" a="1"/>
  <c r="K67" i="63" a="1"/>
  <c r="K68" i="63" a="1"/>
  <c r="K69" i="63" a="1"/>
  <c r="N34" i="49"/>
  <c r="N35" i="49"/>
  <c r="N36" i="49"/>
  <c r="N31" i="49"/>
  <c r="N32" i="49"/>
  <c r="N33" i="49"/>
  <c r="N37" i="49"/>
  <c r="N38" i="49"/>
  <c r="N39" i="49"/>
  <c r="N40" i="49"/>
  <c r="N41" i="49"/>
  <c r="K55" i="63" a="1"/>
  <c r="K55" i="63"/>
  <c r="K70" i="63" a="1"/>
  <c r="K72" i="63" a="1"/>
  <c r="K73" i="63" a="1"/>
  <c r="K74" i="63" a="1"/>
  <c r="K75" i="63" a="1"/>
  <c r="K76" i="63" a="1"/>
  <c r="K77" i="63" a="1"/>
  <c r="K78" i="63" a="1"/>
  <c r="K79" i="63" a="1"/>
  <c r="K80" i="63" a="1"/>
  <c r="K81" i="63" a="1"/>
  <c r="K82" i="63" a="1"/>
  <c r="K83" i="63" a="1"/>
  <c r="K84" i="63" a="1"/>
  <c r="K85" i="63" a="1"/>
  <c r="K86" i="63" a="1"/>
  <c r="K87" i="63" a="1"/>
  <c r="K88" i="63" a="1"/>
  <c r="K89" i="63" a="1"/>
  <c r="K90" i="63" a="1"/>
  <c r="K91" i="63" a="1"/>
  <c r="K92" i="63" a="1"/>
  <c r="K93" i="63" a="1"/>
  <c r="K94" i="63" a="1"/>
  <c r="K95" i="63" a="1"/>
  <c r="K96" i="63" a="1"/>
  <c r="K64" i="63"/>
  <c r="K66" i="63"/>
  <c r="K67" i="63"/>
  <c r="K68" i="63"/>
  <c r="K69" i="63"/>
  <c r="K70" i="63"/>
  <c r="K72" i="63"/>
  <c r="K73" i="63"/>
  <c r="K74" i="63"/>
  <c r="K75" i="63"/>
  <c r="K76" i="63"/>
  <c r="K77" i="63"/>
  <c r="K78" i="63"/>
  <c r="K79" i="63"/>
  <c r="K80" i="63"/>
  <c r="K81" i="63"/>
  <c r="K82" i="63"/>
  <c r="K83" i="63"/>
  <c r="K84" i="63"/>
  <c r="K85" i="63"/>
  <c r="K86" i="63"/>
  <c r="K87" i="63"/>
  <c r="K88" i="63"/>
  <c r="K89" i="63"/>
  <c r="K90" i="63"/>
  <c r="K91" i="63"/>
  <c r="K92" i="63"/>
  <c r="K93" i="63"/>
  <c r="K94" i="63"/>
  <c r="K95" i="63"/>
  <c r="K96" i="63"/>
  <c r="J34" i="51" a="1"/>
  <c r="L65" i="63" a="1"/>
  <c r="L65" i="63"/>
  <c r="L71" i="63" a="1"/>
  <c r="L71" i="63"/>
  <c r="O21" i="49"/>
  <c r="O22" i="49"/>
  <c r="O23" i="49"/>
  <c r="O18" i="49"/>
  <c r="O19" i="49"/>
  <c r="O20" i="49"/>
  <c r="O24" i="49"/>
  <c r="O25" i="49"/>
  <c r="O26" i="49"/>
  <c r="O27" i="49"/>
  <c r="O28" i="49"/>
  <c r="L54" i="63" a="1"/>
  <c r="L54" i="63"/>
  <c r="L64" i="63" a="1"/>
  <c r="L66" i="63" a="1"/>
  <c r="L67" i="63" a="1"/>
  <c r="L68" i="63" a="1"/>
  <c r="L69" i="63" a="1"/>
  <c r="O34" i="49"/>
  <c r="O35" i="49"/>
  <c r="O36" i="49"/>
  <c r="O31" i="49"/>
  <c r="O32" i="49"/>
  <c r="O33" i="49"/>
  <c r="O37" i="49"/>
  <c r="O38" i="49"/>
  <c r="O39" i="49"/>
  <c r="O40" i="49"/>
  <c r="O41" i="49"/>
  <c r="L55" i="63" a="1"/>
  <c r="L55" i="63"/>
  <c r="L70" i="63" a="1"/>
  <c r="L72" i="63" a="1"/>
  <c r="L73" i="63" a="1"/>
  <c r="L74" i="63" a="1"/>
  <c r="L75" i="63" a="1"/>
  <c r="L76" i="63" a="1"/>
  <c r="L77" i="63" a="1"/>
  <c r="L78" i="63" a="1"/>
  <c r="L79" i="63" a="1"/>
  <c r="L80" i="63" a="1"/>
  <c r="L81" i="63" a="1"/>
  <c r="L82" i="63" a="1"/>
  <c r="L83" i="63" a="1"/>
  <c r="L84" i="63" a="1"/>
  <c r="L85" i="63" a="1"/>
  <c r="L86" i="63" a="1"/>
  <c r="L87" i="63" a="1"/>
  <c r="L88" i="63" a="1"/>
  <c r="L89" i="63" a="1"/>
  <c r="L90" i="63" a="1"/>
  <c r="L91" i="63" a="1"/>
  <c r="L92" i="63" a="1"/>
  <c r="L93" i="63" a="1"/>
  <c r="L94" i="63" a="1"/>
  <c r="L95" i="63" a="1"/>
  <c r="L96" i="63" a="1"/>
  <c r="L64" i="63"/>
  <c r="L66" i="63"/>
  <c r="L67" i="63"/>
  <c r="L68" i="63"/>
  <c r="L69" i="63"/>
  <c r="L70" i="63"/>
  <c r="L72" i="63"/>
  <c r="L73" i="63"/>
  <c r="L74" i="63"/>
  <c r="L75" i="63"/>
  <c r="L76" i="63"/>
  <c r="L77" i="63"/>
  <c r="L78" i="63"/>
  <c r="L79" i="63"/>
  <c r="L80" i="63"/>
  <c r="L81" i="63"/>
  <c r="L82" i="63"/>
  <c r="L83" i="63"/>
  <c r="L84" i="63"/>
  <c r="L85" i="63"/>
  <c r="L86" i="63"/>
  <c r="L87" i="63"/>
  <c r="L88" i="63"/>
  <c r="L89" i="63"/>
  <c r="L90" i="63"/>
  <c r="L91" i="63"/>
  <c r="L92" i="63"/>
  <c r="L93" i="63"/>
  <c r="L94" i="63"/>
  <c r="L95" i="63"/>
  <c r="L96" i="63"/>
  <c r="K34" i="51" a="1"/>
  <c r="G35" i="51" a="1"/>
  <c r="H35" i="51" a="1"/>
  <c r="I35" i="51" a="1"/>
  <c r="J35" i="51" a="1"/>
  <c r="K35" i="51" a="1"/>
  <c r="G36" i="51" a="1"/>
  <c r="H36" i="51" a="1"/>
  <c r="I36" i="51" a="1"/>
  <c r="J36" i="51" a="1"/>
  <c r="K36" i="51" a="1"/>
  <c r="G37" i="51" a="1"/>
  <c r="H37" i="51" a="1"/>
  <c r="I37" i="51" a="1"/>
  <c r="J37" i="51" a="1"/>
  <c r="K37" i="51" a="1"/>
  <c r="G38" i="51" a="1"/>
  <c r="H38" i="51" a="1"/>
  <c r="I38" i="51" a="1"/>
  <c r="J38" i="51" a="1"/>
  <c r="K38" i="51" a="1"/>
  <c r="G39" i="51" a="1"/>
  <c r="H39" i="51" a="1"/>
  <c r="I39" i="51" a="1"/>
  <c r="J39" i="51" a="1"/>
  <c r="K39" i="51" a="1"/>
  <c r="G31" i="51"/>
  <c r="H31" i="51"/>
  <c r="I31" i="51"/>
  <c r="J31" i="51"/>
  <c r="K31" i="51"/>
  <c r="G32" i="51"/>
  <c r="H32" i="51"/>
  <c r="I32" i="51"/>
  <c r="J32" i="51"/>
  <c r="K32" i="51"/>
  <c r="G33" i="51"/>
  <c r="H33" i="51"/>
  <c r="I33" i="51"/>
  <c r="J33" i="51"/>
  <c r="K33" i="51"/>
  <c r="G34" i="51"/>
  <c r="H34" i="51"/>
  <c r="I34" i="51"/>
  <c r="J34" i="51"/>
  <c r="K34" i="51"/>
  <c r="G35" i="51"/>
  <c r="H35" i="51"/>
  <c r="I35" i="51"/>
  <c r="J35" i="51"/>
  <c r="K35" i="51"/>
  <c r="G36" i="51"/>
  <c r="H36" i="51"/>
  <c r="I36" i="51"/>
  <c r="J36" i="51"/>
  <c r="K36" i="51"/>
  <c r="G37" i="51"/>
  <c r="H37" i="51"/>
  <c r="I37" i="51"/>
  <c r="J37" i="51"/>
  <c r="K37" i="51"/>
  <c r="G38" i="51"/>
  <c r="H38" i="51"/>
  <c r="I38" i="51"/>
  <c r="J38" i="51"/>
  <c r="K38" i="51"/>
  <c r="G39" i="51"/>
  <c r="H39" i="51"/>
  <c r="I39" i="51"/>
  <c r="J39" i="51"/>
  <c r="K39" i="51"/>
  <c r="D50" i="52"/>
  <c r="D51" i="52"/>
  <c r="D66" i="52"/>
  <c r="G467" i="44" a="1"/>
  <c r="G467" i="44"/>
  <c r="G279" i="44"/>
  <c r="G410" i="44"/>
  <c r="E19" i="48"/>
  <c r="D407" i="44"/>
  <c r="H410" i="44" a="1"/>
  <c r="H410" i="44"/>
  <c r="I410" i="44" a="1"/>
  <c r="I410" i="44"/>
  <c r="G411" i="44"/>
  <c r="H411" i="44" a="1"/>
  <c r="H411" i="44"/>
  <c r="I411" i="44" a="1"/>
  <c r="I411" i="44"/>
  <c r="G441" i="44" a="1"/>
  <c r="G441" i="44"/>
  <c r="G412" i="44"/>
  <c r="H412" i="44" a="1"/>
  <c r="H412" i="44"/>
  <c r="I412" i="44" a="1"/>
  <c r="I412" i="44"/>
  <c r="G442" i="44" a="1"/>
  <c r="G442" i="44"/>
  <c r="G272" i="44"/>
  <c r="G414" i="44"/>
  <c r="H414" i="44" a="1"/>
  <c r="H414" i="44"/>
  <c r="I414" i="44" a="1"/>
  <c r="I414" i="44"/>
  <c r="G447" i="44" a="1"/>
  <c r="G447" i="44"/>
  <c r="G448" i="44" a="1"/>
  <c r="G448" i="44"/>
  <c r="G415" i="44"/>
  <c r="H415" i="44" a="1"/>
  <c r="H415" i="44"/>
  <c r="I415" i="44" a="1"/>
  <c r="I415" i="44"/>
  <c r="D18" i="39" a="1"/>
  <c r="D18" i="39"/>
  <c r="G449" i="44" a="1"/>
  <c r="G416" i="44"/>
  <c r="H416" i="44" a="1"/>
  <c r="H416" i="44"/>
  <c r="I416" i="44" a="1"/>
  <c r="I416" i="44"/>
  <c r="G450" i="44" a="1"/>
  <c r="G417" i="44"/>
  <c r="H417" i="44" a="1"/>
  <c r="H417" i="44"/>
  <c r="I417" i="44" a="1"/>
  <c r="I417" i="44"/>
  <c r="G451" i="44" a="1"/>
  <c r="G452" i="44" a="1"/>
  <c r="G418" i="44"/>
  <c r="H418" i="44" a="1"/>
  <c r="H418" i="44"/>
  <c r="I418" i="44" a="1"/>
  <c r="I418" i="44"/>
  <c r="G453" i="44" a="1"/>
  <c r="G419" i="44"/>
  <c r="H419" i="44" a="1"/>
  <c r="H419" i="44"/>
  <c r="I419" i="44" a="1"/>
  <c r="I419" i="44"/>
  <c r="G454" i="44" a="1"/>
  <c r="G455" i="44" a="1"/>
  <c r="G420" i="44"/>
  <c r="H420" i="44" a="1"/>
  <c r="H420" i="44"/>
  <c r="I420" i="44" a="1"/>
  <c r="I420" i="44"/>
  <c r="G456" i="44" a="1"/>
  <c r="G421" i="44"/>
  <c r="H421" i="44" a="1"/>
  <c r="H421" i="44"/>
  <c r="I421" i="44" a="1"/>
  <c r="I421" i="44"/>
  <c r="G457" i="44" a="1"/>
  <c r="G422" i="44"/>
  <c r="H422" i="44" a="1"/>
  <c r="H422" i="44"/>
  <c r="I422" i="44" a="1"/>
  <c r="I422" i="44"/>
  <c r="G458" i="44" a="1"/>
  <c r="G423" i="44"/>
  <c r="H423" i="44" a="1"/>
  <c r="H423" i="44"/>
  <c r="I423" i="44" a="1"/>
  <c r="I423" i="44"/>
  <c r="G459" i="44" a="1"/>
  <c r="G424" i="44"/>
  <c r="H424" i="44" a="1"/>
  <c r="H424" i="44"/>
  <c r="I424" i="44" a="1"/>
  <c r="I424" i="44"/>
  <c r="G460" i="44" a="1"/>
  <c r="G425" i="44"/>
  <c r="H425" i="44" a="1"/>
  <c r="H425" i="44"/>
  <c r="I425" i="44" a="1"/>
  <c r="I425" i="44"/>
  <c r="G461" i="44" a="1"/>
  <c r="G449" i="44"/>
  <c r="G450" i="44"/>
  <c r="G451" i="44"/>
  <c r="G452" i="44"/>
  <c r="G453" i="44"/>
  <c r="G454" i="44"/>
  <c r="G455" i="44"/>
  <c r="G456" i="44"/>
  <c r="G457" i="44"/>
  <c r="G458" i="44"/>
  <c r="G459" i="44"/>
  <c r="G460" i="44"/>
  <c r="G461" i="44"/>
  <c r="G273" i="44"/>
  <c r="G413" i="44"/>
  <c r="H413" i="44" a="1"/>
  <c r="H413" i="44"/>
  <c r="I413" i="44" a="1"/>
  <c r="I413" i="44"/>
  <c r="G523" i="44" a="1"/>
  <c r="G523" i="44"/>
  <c r="G274" i="44"/>
  <c r="G275" i="44"/>
  <c r="G280" i="44"/>
  <c r="G435" i="44" a="1"/>
  <c r="G435" i="44"/>
  <c r="G281" i="44" a="1"/>
  <c r="G281" i="44"/>
  <c r="G282" i="44"/>
  <c r="G283" i="44"/>
  <c r="G284" i="44"/>
  <c r="C284" i="44"/>
  <c r="C292" i="44"/>
  <c r="C301" i="44"/>
  <c r="C309" i="44"/>
  <c r="G93" i="51"/>
  <c r="G475" i="44" a="1"/>
  <c r="G475" i="44"/>
  <c r="G323" i="44"/>
  <c r="G505" i="44" a="1"/>
  <c r="G505" i="44"/>
  <c r="G506" i="44" a="1"/>
  <c r="G506" i="44"/>
  <c r="G507" i="44"/>
  <c r="G511" i="44" a="1"/>
  <c r="G511" i="44"/>
  <c r="G512" i="44" a="1"/>
  <c r="G512" i="44"/>
  <c r="G513" i="44"/>
  <c r="G517" i="44" a="1"/>
  <c r="G517" i="44"/>
  <c r="G518" i="44" a="1"/>
  <c r="G518" i="44"/>
  <c r="G519" i="44"/>
  <c r="G313" i="44"/>
  <c r="G314" i="44"/>
  <c r="G315" i="44"/>
  <c r="G317" i="44"/>
  <c r="G324" i="44"/>
  <c r="G325" i="44" a="1"/>
  <c r="G325" i="44"/>
  <c r="G326" i="44"/>
  <c r="G327" i="44"/>
  <c r="C327" i="44"/>
  <c r="C334" i="44"/>
  <c r="C341" i="44"/>
  <c r="C349" i="44"/>
  <c r="G328" i="44" a="1"/>
  <c r="G476" i="44" a="1"/>
  <c r="G476" i="44"/>
  <c r="G330" i="44"/>
  <c r="G331" i="44"/>
  <c r="G332" i="44" a="1"/>
  <c r="G332" i="44"/>
  <c r="G333" i="44"/>
  <c r="G334" i="44"/>
  <c r="G335" i="44" a="1"/>
  <c r="G477" i="44" a="1"/>
  <c r="G477" i="44"/>
  <c r="G337" i="44"/>
  <c r="G338" i="44"/>
  <c r="G339" i="44" a="1"/>
  <c r="G340" i="44"/>
  <c r="G341" i="44"/>
  <c r="G342" i="44" a="1"/>
  <c r="G478" i="44" a="1"/>
  <c r="G478" i="44"/>
  <c r="G345" i="44"/>
  <c r="G346" i="44"/>
  <c r="G347" i="44" a="1"/>
  <c r="G347" i="44"/>
  <c r="G348" i="44"/>
  <c r="G349" i="44"/>
  <c r="G350" i="44" a="1"/>
  <c r="G479" i="44" a="1"/>
  <c r="G479" i="44"/>
  <c r="G352" i="44"/>
  <c r="G353" i="44"/>
  <c r="G354" i="44" a="1"/>
  <c r="G354" i="44"/>
  <c r="G355" i="44"/>
  <c r="G356" i="44"/>
  <c r="G357" i="44" a="1"/>
  <c r="G480" i="44" a="1"/>
  <c r="G480" i="44"/>
  <c r="G359" i="44"/>
  <c r="G360" i="44"/>
  <c r="G361" i="44" a="1"/>
  <c r="G361" i="44"/>
  <c r="G362" i="44"/>
  <c r="G363" i="44"/>
  <c r="G364" i="44" a="1"/>
  <c r="C356" i="44"/>
  <c r="C363" i="44"/>
  <c r="C372" i="44"/>
  <c r="C379" i="44"/>
  <c r="C386" i="44"/>
  <c r="C394" i="44"/>
  <c r="G368" i="44"/>
  <c r="G497" i="44" a="1"/>
  <c r="G497" i="44"/>
  <c r="G498" i="44" a="1"/>
  <c r="G498" i="44"/>
  <c r="G499" i="44"/>
  <c r="G316" i="44"/>
  <c r="G318" i="44"/>
  <c r="G369" i="44"/>
  <c r="G370" i="44" a="1"/>
  <c r="G370" i="44"/>
  <c r="G371" i="44"/>
  <c r="G372" i="44"/>
  <c r="G373" i="44" a="1"/>
  <c r="G375" i="44"/>
  <c r="G376" i="44"/>
  <c r="G377" i="44" a="1"/>
  <c r="G377" i="44"/>
  <c r="G378" i="44"/>
  <c r="G379" i="44"/>
  <c r="G380" i="44" a="1"/>
  <c r="G382" i="44"/>
  <c r="G383" i="44"/>
  <c r="G384" i="44" a="1"/>
  <c r="G385" i="44"/>
  <c r="G386" i="44"/>
  <c r="G387" i="44" a="1"/>
  <c r="G484" i="44" a="1"/>
  <c r="G484" i="44"/>
  <c r="G390" i="44"/>
  <c r="G391" i="44"/>
  <c r="G392" i="44" a="1"/>
  <c r="G392" i="44"/>
  <c r="G393" i="44"/>
  <c r="G394" i="44"/>
  <c r="G395" i="44" a="1"/>
  <c r="G485" i="44" a="1"/>
  <c r="G485" i="44"/>
  <c r="G397" i="44"/>
  <c r="G398" i="44"/>
  <c r="G399" i="44" a="1"/>
  <c r="G399" i="44"/>
  <c r="G400" i="44"/>
  <c r="G401" i="44"/>
  <c r="C401" i="44"/>
  <c r="G94" i="51"/>
  <c r="G95" i="51"/>
  <c r="G96" i="51"/>
  <c r="D224" i="49"/>
  <c r="G322" i="49"/>
  <c r="G359" i="49"/>
  <c r="G387" i="49"/>
  <c r="G413" i="49"/>
  <c r="C141" i="63"/>
  <c r="C142" i="63"/>
  <c r="C143" i="63"/>
  <c r="C144" i="63"/>
  <c r="H141" i="63"/>
  <c r="H142" i="63" a="1"/>
  <c r="H143" i="63"/>
  <c r="H144" i="63" a="1"/>
  <c r="C145" i="63"/>
  <c r="H145" i="63" a="1"/>
  <c r="C146" i="63"/>
  <c r="H146" i="63" a="1"/>
  <c r="C147" i="63"/>
  <c r="H147" i="63" a="1"/>
  <c r="C148" i="63"/>
  <c r="H148" i="63" a="1"/>
  <c r="C149" i="63"/>
  <c r="H149" i="63" a="1"/>
  <c r="D135" i="63"/>
  <c r="D152" i="63"/>
  <c r="E152" i="63"/>
  <c r="D151" i="63"/>
  <c r="E151" i="63"/>
  <c r="E154" i="63"/>
  <c r="H158" i="63" a="1"/>
  <c r="H158" i="63"/>
  <c r="G104" i="51" a="1"/>
  <c r="I158" i="63" a="1"/>
  <c r="I158" i="63"/>
  <c r="H104" i="51" a="1"/>
  <c r="J158" i="63" a="1"/>
  <c r="J158" i="63"/>
  <c r="I104" i="51" a="1"/>
  <c r="K158" i="63" a="1"/>
  <c r="K158" i="63"/>
  <c r="J104" i="51" a="1"/>
  <c r="L158" i="63" a="1"/>
  <c r="L158" i="63"/>
  <c r="K104" i="51" a="1"/>
  <c r="H160" i="63" a="1"/>
  <c r="H160" i="63"/>
  <c r="G105" i="51" a="1"/>
  <c r="I160" i="63" a="1"/>
  <c r="I160" i="63"/>
  <c r="H105" i="51" a="1"/>
  <c r="J160" i="63" a="1"/>
  <c r="J160" i="63"/>
  <c r="I105" i="51" a="1"/>
  <c r="K160" i="63" a="1"/>
  <c r="K160" i="63"/>
  <c r="J105" i="51" a="1"/>
  <c r="L160" i="63" a="1"/>
  <c r="L160" i="63"/>
  <c r="K105" i="51" a="1"/>
  <c r="D165" i="63"/>
  <c r="E165" i="63" a="1"/>
  <c r="E165" i="63"/>
  <c r="E166" i="63"/>
  <c r="H170" i="63" a="1"/>
  <c r="H170" i="63"/>
  <c r="G106" i="51" a="1"/>
  <c r="I170" i="63" a="1"/>
  <c r="I170" i="63"/>
  <c r="H106" i="51" a="1"/>
  <c r="J170" i="63" a="1"/>
  <c r="J170" i="63"/>
  <c r="I106" i="51" a="1"/>
  <c r="K170" i="63" a="1"/>
  <c r="K170" i="63"/>
  <c r="J106" i="51" a="1"/>
  <c r="L170" i="63" a="1"/>
  <c r="L170" i="63"/>
  <c r="K106" i="51" a="1"/>
  <c r="D240" i="49"/>
  <c r="F240" i="49"/>
  <c r="K240" i="49"/>
  <c r="D241" i="49"/>
  <c r="F241" i="49"/>
  <c r="K241" i="49"/>
  <c r="K242" i="49"/>
  <c r="D237" i="49"/>
  <c r="F237" i="49"/>
  <c r="K237" i="49"/>
  <c r="D238" i="49"/>
  <c r="F238" i="49"/>
  <c r="K238" i="49"/>
  <c r="K239" i="49"/>
  <c r="K243" i="49"/>
  <c r="D244" i="49"/>
  <c r="F244" i="49"/>
  <c r="K244" i="49"/>
  <c r="D245" i="49"/>
  <c r="F245" i="49"/>
  <c r="K245" i="49"/>
  <c r="K246" i="49"/>
  <c r="K247" i="49"/>
  <c r="G236" i="49"/>
  <c r="G249" i="49"/>
  <c r="G262" i="49"/>
  <c r="C184" i="63"/>
  <c r="H184" i="63" a="1"/>
  <c r="H184" i="63"/>
  <c r="E189" i="63"/>
  <c r="E188" i="63"/>
  <c r="F188" i="63"/>
  <c r="F189" i="63"/>
  <c r="C185" i="63"/>
  <c r="C186" i="63"/>
  <c r="H196" i="63" a="1"/>
  <c r="H196" i="63"/>
  <c r="D253" i="49"/>
  <c r="F253" i="49"/>
  <c r="K253" i="49"/>
  <c r="D254" i="49"/>
  <c r="F254" i="49"/>
  <c r="K254" i="49"/>
  <c r="K255" i="49"/>
  <c r="D250" i="49"/>
  <c r="F250" i="49"/>
  <c r="K250" i="49"/>
  <c r="D251" i="49"/>
  <c r="F251" i="49"/>
  <c r="K251" i="49"/>
  <c r="K252" i="49"/>
  <c r="K256" i="49"/>
  <c r="D257" i="49"/>
  <c r="F257" i="49"/>
  <c r="K257" i="49"/>
  <c r="D258" i="49"/>
  <c r="F258" i="49"/>
  <c r="K258" i="49"/>
  <c r="K259" i="49"/>
  <c r="K260" i="49"/>
  <c r="H185" i="63" a="1"/>
  <c r="H185" i="63"/>
  <c r="H207" i="63" a="1"/>
  <c r="H207" i="63"/>
  <c r="H194" i="63" a="1"/>
  <c r="H195" i="63" a="1"/>
  <c r="H197" i="63" a="1"/>
  <c r="H198" i="63" a="1"/>
  <c r="H199" i="63" a="1"/>
  <c r="H200" i="63" a="1"/>
  <c r="H201" i="63" a="1"/>
  <c r="H202" i="63" a="1"/>
  <c r="H203" i="63" a="1"/>
  <c r="H204" i="63" a="1"/>
  <c r="H205" i="63" a="1"/>
  <c r="H206" i="63" a="1"/>
  <c r="H208" i="63" a="1"/>
  <c r="H209" i="63" a="1"/>
  <c r="H210" i="63" a="1"/>
  <c r="H211" i="63" a="1"/>
  <c r="H212" i="63" a="1"/>
  <c r="H213" i="63" a="1"/>
  <c r="H214" i="63" a="1"/>
  <c r="H215" i="63" a="1"/>
  <c r="H216" i="63" a="1"/>
  <c r="H217" i="63" a="1"/>
  <c r="H218" i="63" a="1"/>
  <c r="H219" i="63" a="1"/>
  <c r="H220" i="63" a="1"/>
  <c r="H221" i="63" a="1"/>
  <c r="H222" i="63" a="1"/>
  <c r="H223" i="63" a="1"/>
  <c r="H224" i="63" a="1"/>
  <c r="H225" i="63" a="1"/>
  <c r="H226" i="63" a="1"/>
  <c r="H194" i="63"/>
  <c r="H195" i="63"/>
  <c r="H197" i="63"/>
  <c r="H198" i="63"/>
  <c r="H199" i="63"/>
  <c r="H200" i="63"/>
  <c r="H201" i="63"/>
  <c r="H202" i="63"/>
  <c r="H203" i="63"/>
  <c r="H204" i="63"/>
  <c r="H205" i="63"/>
  <c r="H206" i="63"/>
  <c r="H208" i="63"/>
  <c r="H209" i="63"/>
  <c r="H210" i="63"/>
  <c r="H211" i="63"/>
  <c r="H212" i="63"/>
  <c r="H213" i="63"/>
  <c r="H214" i="63"/>
  <c r="H215" i="63"/>
  <c r="H216" i="63"/>
  <c r="H217" i="63"/>
  <c r="H218" i="63"/>
  <c r="H219" i="63"/>
  <c r="H220" i="63"/>
  <c r="H221" i="63"/>
  <c r="H222" i="63"/>
  <c r="H223" i="63"/>
  <c r="H224" i="63"/>
  <c r="H225" i="63"/>
  <c r="H226" i="63"/>
  <c r="G107" i="51" a="1"/>
  <c r="I196" i="63" a="1"/>
  <c r="I196" i="63"/>
  <c r="I207" i="63" a="1"/>
  <c r="I207" i="63"/>
  <c r="L240" i="49"/>
  <c r="L241" i="49"/>
  <c r="L242" i="49"/>
  <c r="L237" i="49"/>
  <c r="L238" i="49"/>
  <c r="L239" i="49"/>
  <c r="L243" i="49"/>
  <c r="L244" i="49"/>
  <c r="L245" i="49"/>
  <c r="L246" i="49"/>
  <c r="L247" i="49"/>
  <c r="I184" i="63"/>
  <c r="I194" i="63" a="1"/>
  <c r="I195" i="63" a="1"/>
  <c r="I197" i="63" a="1"/>
  <c r="I198" i="63" a="1"/>
  <c r="I199" i="63" a="1"/>
  <c r="I200" i="63" a="1"/>
  <c r="I201" i="63" a="1"/>
  <c r="I202" i="63" a="1"/>
  <c r="I203" i="63" a="1"/>
  <c r="I204" i="63" a="1"/>
  <c r="L253" i="49"/>
  <c r="L254" i="49"/>
  <c r="L255" i="49"/>
  <c r="L250" i="49"/>
  <c r="L251" i="49"/>
  <c r="L252" i="49"/>
  <c r="L256" i="49"/>
  <c r="L257" i="49"/>
  <c r="L258" i="49"/>
  <c r="L259" i="49"/>
  <c r="L260" i="49"/>
  <c r="I185" i="63" a="1"/>
  <c r="I185" i="63"/>
  <c r="I205" i="63" a="1"/>
  <c r="I206" i="63" a="1"/>
  <c r="I208" i="63" a="1"/>
  <c r="I209" i="63" a="1"/>
  <c r="I210" i="63" a="1"/>
  <c r="I211" i="63" a="1"/>
  <c r="I212" i="63" a="1"/>
  <c r="I213" i="63" a="1"/>
  <c r="I214" i="63" a="1"/>
  <c r="I215" i="63" a="1"/>
  <c r="I216" i="63" a="1"/>
  <c r="I217" i="63" a="1"/>
  <c r="I218" i="63" a="1"/>
  <c r="I219" i="63" a="1"/>
  <c r="I220" i="63" a="1"/>
  <c r="I221" i="63" a="1"/>
  <c r="I222" i="63" a="1"/>
  <c r="I223" i="63" a="1"/>
  <c r="I224" i="63" a="1"/>
  <c r="I225" i="63" a="1"/>
  <c r="I226" i="63" a="1"/>
  <c r="I194" i="63"/>
  <c r="I195" i="63"/>
  <c r="I197" i="63"/>
  <c r="I198" i="63"/>
  <c r="I199" i="63"/>
  <c r="I200" i="63"/>
  <c r="I201" i="63"/>
  <c r="I202" i="63"/>
  <c r="I203" i="63"/>
  <c r="I204" i="63"/>
  <c r="I205" i="63"/>
  <c r="I206" i="63"/>
  <c r="I208" i="63"/>
  <c r="I209" i="63"/>
  <c r="I210" i="63"/>
  <c r="I211" i="63"/>
  <c r="I212" i="63"/>
  <c r="I213" i="63"/>
  <c r="I214" i="63"/>
  <c r="I215" i="63"/>
  <c r="I216" i="63"/>
  <c r="I217" i="63"/>
  <c r="I218" i="63"/>
  <c r="I219" i="63"/>
  <c r="I220" i="63"/>
  <c r="I221" i="63"/>
  <c r="I222" i="63"/>
  <c r="I223" i="63"/>
  <c r="I224" i="63"/>
  <c r="I225" i="63"/>
  <c r="I226" i="63"/>
  <c r="H107" i="51" a="1"/>
  <c r="J196" i="63" a="1"/>
  <c r="J196" i="63"/>
  <c r="J207" i="63" a="1"/>
  <c r="J207" i="63"/>
  <c r="M240" i="49"/>
  <c r="M241" i="49"/>
  <c r="M242" i="49"/>
  <c r="M237" i="49"/>
  <c r="M238" i="49"/>
  <c r="M239" i="49"/>
  <c r="M243" i="49"/>
  <c r="M244" i="49"/>
  <c r="M245" i="49"/>
  <c r="M246" i="49"/>
  <c r="M247" i="49"/>
  <c r="J184" i="63" a="1"/>
  <c r="J184" i="63"/>
  <c r="J194" i="63" a="1"/>
  <c r="J195" i="63" a="1"/>
  <c r="J197" i="63" a="1"/>
  <c r="J198" i="63" a="1"/>
  <c r="J199" i="63" a="1"/>
  <c r="J200" i="63" a="1"/>
  <c r="J201" i="63" a="1"/>
  <c r="J202" i="63" a="1"/>
  <c r="J203" i="63" a="1"/>
  <c r="J204" i="63" a="1"/>
  <c r="M253" i="49"/>
  <c r="M254" i="49"/>
  <c r="M255" i="49"/>
  <c r="M250" i="49"/>
  <c r="M251" i="49"/>
  <c r="M252" i="49"/>
  <c r="M256" i="49"/>
  <c r="M257" i="49"/>
  <c r="M258" i="49"/>
  <c r="M259" i="49"/>
  <c r="M260" i="49"/>
  <c r="J185" i="63" a="1"/>
  <c r="J185" i="63"/>
  <c r="J205" i="63" a="1"/>
  <c r="J206" i="63" a="1"/>
  <c r="J208" i="63" a="1"/>
  <c r="J209" i="63" a="1"/>
  <c r="J210" i="63" a="1"/>
  <c r="J211" i="63" a="1"/>
  <c r="J212" i="63" a="1"/>
  <c r="J213" i="63" a="1"/>
  <c r="J214" i="63" a="1"/>
  <c r="J215" i="63" a="1"/>
  <c r="J216" i="63" a="1"/>
  <c r="J217" i="63" a="1"/>
  <c r="J218" i="63" a="1"/>
  <c r="J219" i="63" a="1"/>
  <c r="J220" i="63" a="1"/>
  <c r="J221" i="63" a="1"/>
  <c r="J222" i="63" a="1"/>
  <c r="J223" i="63" a="1"/>
  <c r="J224" i="63" a="1"/>
  <c r="J225" i="63" a="1"/>
  <c r="J226" i="63" a="1"/>
  <c r="J194" i="63"/>
  <c r="J195" i="63"/>
  <c r="J197" i="63"/>
  <c r="J198" i="63"/>
  <c r="J199" i="63"/>
  <c r="J200" i="63"/>
  <c r="J201" i="63"/>
  <c r="J202" i="63"/>
  <c r="J203" i="63"/>
  <c r="J204" i="63"/>
  <c r="J205" i="63"/>
  <c r="J206" i="63"/>
  <c r="J208" i="63"/>
  <c r="J209" i="63"/>
  <c r="J210" i="63"/>
  <c r="J211" i="63"/>
  <c r="J212" i="63"/>
  <c r="J213" i="63"/>
  <c r="J214" i="63"/>
  <c r="J215" i="63"/>
  <c r="J216" i="63"/>
  <c r="J217" i="63"/>
  <c r="J218" i="63"/>
  <c r="J219" i="63"/>
  <c r="J220" i="63"/>
  <c r="J221" i="63"/>
  <c r="J222" i="63"/>
  <c r="J223" i="63"/>
  <c r="J224" i="63"/>
  <c r="J225" i="63"/>
  <c r="J226" i="63"/>
  <c r="I107" i="51" a="1"/>
  <c r="K196" i="63" a="1"/>
  <c r="K196" i="63"/>
  <c r="K207" i="63" a="1"/>
  <c r="K207" i="63"/>
  <c r="N240" i="49"/>
  <c r="N241" i="49"/>
  <c r="N242" i="49"/>
  <c r="N237" i="49"/>
  <c r="N238" i="49"/>
  <c r="N239" i="49"/>
  <c r="N243" i="49"/>
  <c r="N244" i="49"/>
  <c r="N245" i="49"/>
  <c r="N246" i="49"/>
  <c r="N247" i="49"/>
  <c r="K184" i="63" a="1"/>
  <c r="K184" i="63"/>
  <c r="K194" i="63" a="1"/>
  <c r="K195" i="63" a="1"/>
  <c r="K197" i="63" a="1"/>
  <c r="K198" i="63" a="1"/>
  <c r="K199" i="63" a="1"/>
  <c r="K200" i="63" a="1"/>
  <c r="K201" i="63" a="1"/>
  <c r="K202" i="63" a="1"/>
  <c r="K203" i="63" a="1"/>
  <c r="K204" i="63" a="1"/>
  <c r="N253" i="49"/>
  <c r="N254" i="49"/>
  <c r="N255" i="49"/>
  <c r="N250" i="49"/>
  <c r="N251" i="49"/>
  <c r="N252" i="49"/>
  <c r="N256" i="49"/>
  <c r="N257" i="49"/>
  <c r="N258" i="49"/>
  <c r="N259" i="49"/>
  <c r="N260" i="49"/>
  <c r="K185" i="63" a="1"/>
  <c r="K185" i="63"/>
  <c r="K205" i="63" a="1"/>
  <c r="K206" i="63" a="1"/>
  <c r="K208" i="63" a="1"/>
  <c r="K209" i="63" a="1"/>
  <c r="K210" i="63" a="1"/>
  <c r="K211" i="63" a="1"/>
  <c r="K212" i="63" a="1"/>
  <c r="K213" i="63" a="1"/>
  <c r="K214" i="63" a="1"/>
  <c r="K215" i="63" a="1"/>
  <c r="K216" i="63" a="1"/>
  <c r="K217" i="63" a="1"/>
  <c r="K218" i="63" a="1"/>
  <c r="K219" i="63" a="1"/>
  <c r="K220" i="63" a="1"/>
  <c r="K221" i="63" a="1"/>
  <c r="K222" i="63" a="1"/>
  <c r="K223" i="63" a="1"/>
  <c r="K224" i="63" a="1"/>
  <c r="K225" i="63" a="1"/>
  <c r="K226" i="63" a="1"/>
  <c r="K194" i="63"/>
  <c r="K195" i="63"/>
  <c r="K197" i="63"/>
  <c r="K198" i="63"/>
  <c r="K199" i="63"/>
  <c r="K200" i="63"/>
  <c r="K201" i="63"/>
  <c r="K202" i="63"/>
  <c r="K203" i="63"/>
  <c r="K204" i="63"/>
  <c r="K205" i="63"/>
  <c r="K206" i="63"/>
  <c r="K208" i="63"/>
  <c r="K209" i="63"/>
  <c r="K210" i="63"/>
  <c r="K211" i="63"/>
  <c r="K212" i="63"/>
  <c r="K213" i="63"/>
  <c r="K214" i="63"/>
  <c r="K215" i="63"/>
  <c r="K216" i="63"/>
  <c r="K217" i="63"/>
  <c r="K218" i="63"/>
  <c r="K219" i="63"/>
  <c r="K220" i="63"/>
  <c r="K221" i="63"/>
  <c r="K222" i="63"/>
  <c r="K223" i="63"/>
  <c r="K224" i="63"/>
  <c r="K225" i="63"/>
  <c r="K226" i="63"/>
  <c r="J107" i="51" a="1"/>
  <c r="L196" i="63" a="1"/>
  <c r="L196" i="63"/>
  <c r="L207" i="63" a="1"/>
  <c r="L207" i="63"/>
  <c r="O240" i="49"/>
  <c r="O241" i="49"/>
  <c r="O242" i="49"/>
  <c r="O237" i="49"/>
  <c r="O238" i="49"/>
  <c r="O239" i="49"/>
  <c r="O243" i="49"/>
  <c r="O244" i="49"/>
  <c r="O245" i="49"/>
  <c r="O246" i="49"/>
  <c r="O247" i="49"/>
  <c r="L184" i="63" a="1"/>
  <c r="L184" i="63"/>
  <c r="L194" i="63" a="1"/>
  <c r="L195" i="63" a="1"/>
  <c r="L197" i="63" a="1"/>
  <c r="L198" i="63" a="1"/>
  <c r="L199" i="63" a="1"/>
  <c r="L200" i="63" a="1"/>
  <c r="L201" i="63" a="1"/>
  <c r="L202" i="63" a="1"/>
  <c r="L203" i="63" a="1"/>
  <c r="L204" i="63" a="1"/>
  <c r="O253" i="49"/>
  <c r="O254" i="49"/>
  <c r="O255" i="49"/>
  <c r="O250" i="49"/>
  <c r="O251" i="49"/>
  <c r="O252" i="49"/>
  <c r="O256" i="49"/>
  <c r="O257" i="49"/>
  <c r="O258" i="49"/>
  <c r="O259" i="49"/>
  <c r="O260" i="49"/>
  <c r="L185" i="63" a="1"/>
  <c r="L185" i="63"/>
  <c r="L205" i="63" a="1"/>
  <c r="L206" i="63" a="1"/>
  <c r="L208" i="63" a="1"/>
  <c r="L209" i="63" a="1"/>
  <c r="L210" i="63" a="1"/>
  <c r="L211" i="63" a="1"/>
  <c r="L212" i="63" a="1"/>
  <c r="L213" i="63" a="1"/>
  <c r="L214" i="63" a="1"/>
  <c r="L215" i="63" a="1"/>
  <c r="L216" i="63" a="1"/>
  <c r="L217" i="63" a="1"/>
  <c r="L218" i="63" a="1"/>
  <c r="L219" i="63" a="1"/>
  <c r="L220" i="63" a="1"/>
  <c r="L221" i="63" a="1"/>
  <c r="L222" i="63" a="1"/>
  <c r="L223" i="63" a="1"/>
  <c r="L224" i="63" a="1"/>
  <c r="L225" i="63" a="1"/>
  <c r="L226" i="63" a="1"/>
  <c r="L194" i="63"/>
  <c r="L195" i="63"/>
  <c r="L197" i="63"/>
  <c r="L198" i="63"/>
  <c r="L199" i="63"/>
  <c r="L200" i="63"/>
  <c r="L201" i="63"/>
  <c r="L202" i="63"/>
  <c r="L203" i="63"/>
  <c r="L204" i="63"/>
  <c r="L205" i="63"/>
  <c r="L206" i="63"/>
  <c r="L208" i="63"/>
  <c r="L209" i="63"/>
  <c r="L210" i="63"/>
  <c r="L211" i="63"/>
  <c r="L212" i="63"/>
  <c r="L213" i="63"/>
  <c r="L214" i="63"/>
  <c r="L215" i="63"/>
  <c r="L216" i="63"/>
  <c r="L217" i="63"/>
  <c r="L218" i="63"/>
  <c r="L219" i="63"/>
  <c r="L220" i="63"/>
  <c r="L221" i="63"/>
  <c r="L222" i="63"/>
  <c r="L223" i="63"/>
  <c r="L224" i="63"/>
  <c r="L225" i="63"/>
  <c r="L226" i="63"/>
  <c r="K107" i="51" a="1"/>
  <c r="G108" i="51" a="1"/>
  <c r="H108" i="51" a="1"/>
  <c r="I108" i="51" a="1"/>
  <c r="J108" i="51" a="1"/>
  <c r="K108" i="51" a="1"/>
  <c r="G109" i="51" a="1"/>
  <c r="H109" i="51" a="1"/>
  <c r="I109" i="51" a="1"/>
  <c r="J109" i="51" a="1"/>
  <c r="K109" i="51" a="1"/>
  <c r="G110" i="51" a="1"/>
  <c r="H110" i="51" a="1"/>
  <c r="I110" i="51" a="1"/>
  <c r="J110" i="51" a="1"/>
  <c r="K110" i="51" a="1"/>
  <c r="G111" i="51" a="1"/>
  <c r="H111" i="51" a="1"/>
  <c r="I111" i="51" a="1"/>
  <c r="J111" i="51" a="1"/>
  <c r="K111" i="51" a="1"/>
  <c r="G112" i="51" a="1"/>
  <c r="H112" i="51" a="1"/>
  <c r="I112" i="51" a="1"/>
  <c r="J112" i="51" a="1"/>
  <c r="K112" i="51" a="1"/>
  <c r="G104" i="51"/>
  <c r="H104" i="51"/>
  <c r="I104" i="51"/>
  <c r="J104" i="51"/>
  <c r="K104" i="51"/>
  <c r="G105" i="51"/>
  <c r="H105" i="51"/>
  <c r="I105" i="51"/>
  <c r="J105" i="51"/>
  <c r="K105" i="51"/>
  <c r="G106" i="51"/>
  <c r="H106" i="51"/>
  <c r="I106" i="51"/>
  <c r="J106" i="51"/>
  <c r="K106" i="51"/>
  <c r="G107" i="51"/>
  <c r="H107" i="51"/>
  <c r="I107" i="51"/>
  <c r="J107" i="51"/>
  <c r="K107" i="51"/>
  <c r="G108" i="51"/>
  <c r="H108" i="51"/>
  <c r="I108" i="51"/>
  <c r="J108" i="51"/>
  <c r="K108" i="51"/>
  <c r="G109" i="51"/>
  <c r="H109" i="51"/>
  <c r="I109" i="51"/>
  <c r="J109" i="51"/>
  <c r="K109" i="51"/>
  <c r="G110" i="51"/>
  <c r="H110" i="51"/>
  <c r="I110" i="51"/>
  <c r="J110" i="51"/>
  <c r="K110" i="51"/>
  <c r="G111" i="51"/>
  <c r="H111" i="51"/>
  <c r="I111" i="51"/>
  <c r="J111" i="51"/>
  <c r="K111" i="51"/>
  <c r="G112" i="51"/>
  <c r="H112" i="51"/>
  <c r="I112" i="51"/>
  <c r="J112" i="51"/>
  <c r="K112" i="51"/>
  <c r="L50" i="52"/>
  <c r="L51" i="52"/>
  <c r="L66" i="52"/>
  <c r="D67" i="52"/>
  <c r="H296" i="44"/>
  <c r="H441" i="44" a="1"/>
  <c r="H441" i="44"/>
  <c r="H442" i="44" a="1"/>
  <c r="H442" i="44"/>
  <c r="H272" i="44"/>
  <c r="H447" i="44" a="1"/>
  <c r="H447" i="44"/>
  <c r="H448" i="44" a="1"/>
  <c r="H448" i="44"/>
  <c r="H449" i="44" a="1"/>
  <c r="H450" i="44" a="1"/>
  <c r="H451" i="44" a="1"/>
  <c r="H452" i="44" a="1"/>
  <c r="H453" i="44" a="1"/>
  <c r="H454" i="44" a="1"/>
  <c r="H455" i="44" a="1"/>
  <c r="H456" i="44" a="1"/>
  <c r="H457" i="44" a="1"/>
  <c r="H458" i="44" a="1"/>
  <c r="H459" i="44" a="1"/>
  <c r="H460" i="44" a="1"/>
  <c r="H461" i="44" a="1"/>
  <c r="H449" i="44"/>
  <c r="H450" i="44"/>
  <c r="H451" i="44"/>
  <c r="H452" i="44"/>
  <c r="H453" i="44"/>
  <c r="H454" i="44"/>
  <c r="H455" i="44"/>
  <c r="H456" i="44"/>
  <c r="H457" i="44"/>
  <c r="H458" i="44"/>
  <c r="H459" i="44"/>
  <c r="H460" i="44"/>
  <c r="H461" i="44"/>
  <c r="H273" i="44"/>
  <c r="H523" i="44" a="1"/>
  <c r="H523" i="44"/>
  <c r="H274" i="44"/>
  <c r="H275" i="44"/>
  <c r="H297" i="44"/>
  <c r="H435" i="44" a="1"/>
  <c r="H435" i="44"/>
  <c r="H298" i="44" a="1"/>
  <c r="H298" i="44"/>
  <c r="H299" i="44"/>
  <c r="H300" i="44"/>
  <c r="H301" i="44"/>
  <c r="R93" i="51"/>
  <c r="I159" i="63" a="1"/>
  <c r="I159" i="63"/>
  <c r="R104" i="51" a="1"/>
  <c r="R104" i="51"/>
  <c r="H368" i="44"/>
  <c r="H372" i="44"/>
  <c r="R94" i="51"/>
  <c r="G296" i="44"/>
  <c r="G297" i="44"/>
  <c r="G298" i="44" a="1"/>
  <c r="G298" i="44"/>
  <c r="G299" i="44"/>
  <c r="G300" i="44"/>
  <c r="G301" i="44"/>
  <c r="Q93" i="51"/>
  <c r="I296" i="44"/>
  <c r="I441" i="44" a="1"/>
  <c r="I441" i="44"/>
  <c r="I442" i="44" a="1"/>
  <c r="I442" i="44"/>
  <c r="I272" i="44"/>
  <c r="I447" i="44" a="1"/>
  <c r="I447" i="44"/>
  <c r="I448" i="44" a="1"/>
  <c r="I448" i="44"/>
  <c r="I449" i="44" a="1"/>
  <c r="I450" i="44" a="1"/>
  <c r="I451" i="44" a="1"/>
  <c r="I452" i="44" a="1"/>
  <c r="I453" i="44" a="1"/>
  <c r="I454" i="44" a="1"/>
  <c r="I455" i="44" a="1"/>
  <c r="I456" i="44" a="1"/>
  <c r="I457" i="44" a="1"/>
  <c r="I458" i="44" a="1"/>
  <c r="I459" i="44" a="1"/>
  <c r="I460" i="44" a="1"/>
  <c r="I461" i="44" a="1"/>
  <c r="I449" i="44"/>
  <c r="I450" i="44"/>
  <c r="I451" i="44"/>
  <c r="I452" i="44"/>
  <c r="I453" i="44"/>
  <c r="I454" i="44"/>
  <c r="I455" i="44"/>
  <c r="I456" i="44"/>
  <c r="I457" i="44"/>
  <c r="I458" i="44"/>
  <c r="I459" i="44"/>
  <c r="I460" i="44"/>
  <c r="I461" i="44"/>
  <c r="I273" i="44"/>
  <c r="I523" i="44" a="1"/>
  <c r="I523" i="44"/>
  <c r="I274" i="44"/>
  <c r="I275" i="44"/>
  <c r="I297" i="44"/>
  <c r="I435" i="44" a="1"/>
  <c r="I435" i="44"/>
  <c r="I298" i="44" a="1"/>
  <c r="I298" i="44"/>
  <c r="I299" i="44"/>
  <c r="I300" i="44"/>
  <c r="I301" i="44"/>
  <c r="S93" i="51"/>
  <c r="J296" i="44"/>
  <c r="J441" i="44" a="1"/>
  <c r="J441" i="44"/>
  <c r="J442" i="44" a="1"/>
  <c r="J442" i="44"/>
  <c r="J272" i="44"/>
  <c r="J447" i="44" a="1"/>
  <c r="J447" i="44"/>
  <c r="J448" i="44" a="1"/>
  <c r="J448" i="44"/>
  <c r="J449" i="44" a="1"/>
  <c r="J450" i="44" a="1"/>
  <c r="J451" i="44" a="1"/>
  <c r="J452" i="44" a="1"/>
  <c r="J453" i="44" a="1"/>
  <c r="J454" i="44" a="1"/>
  <c r="J455" i="44" a="1"/>
  <c r="J456" i="44" a="1"/>
  <c r="J457" i="44" a="1"/>
  <c r="J458" i="44" a="1"/>
  <c r="J459" i="44" a="1"/>
  <c r="J460" i="44" a="1"/>
  <c r="J461" i="44" a="1"/>
  <c r="J449" i="44"/>
  <c r="J450" i="44"/>
  <c r="J451" i="44"/>
  <c r="J452" i="44"/>
  <c r="J453" i="44"/>
  <c r="J454" i="44"/>
  <c r="J455" i="44"/>
  <c r="J456" i="44"/>
  <c r="J457" i="44"/>
  <c r="J458" i="44"/>
  <c r="J459" i="44"/>
  <c r="J460" i="44"/>
  <c r="J461" i="44"/>
  <c r="J273" i="44"/>
  <c r="J523" i="44" a="1"/>
  <c r="J523" i="44"/>
  <c r="J274" i="44"/>
  <c r="J275" i="44"/>
  <c r="J297" i="44"/>
  <c r="J435" i="44" a="1"/>
  <c r="J435" i="44"/>
  <c r="J298" i="44" a="1"/>
  <c r="J298" i="44"/>
  <c r="J299" i="44"/>
  <c r="J300" i="44"/>
  <c r="J301" i="44"/>
  <c r="T93" i="51"/>
  <c r="K296" i="44"/>
  <c r="K441" i="44" a="1"/>
  <c r="K441" i="44"/>
  <c r="K442" i="44" a="1"/>
  <c r="K442" i="44"/>
  <c r="K272" i="44"/>
  <c r="K447" i="44" a="1"/>
  <c r="K447" i="44"/>
  <c r="K448" i="44" a="1"/>
  <c r="K448" i="44"/>
  <c r="K449" i="44" a="1"/>
  <c r="K450" i="44" a="1"/>
  <c r="K451" i="44" a="1"/>
  <c r="K452" i="44" a="1"/>
  <c r="K453" i="44" a="1"/>
  <c r="K454" i="44" a="1"/>
  <c r="K455" i="44" a="1"/>
  <c r="K456" i="44" a="1"/>
  <c r="K457" i="44" a="1"/>
  <c r="K458" i="44" a="1"/>
  <c r="K459" i="44" a="1"/>
  <c r="K460" i="44" a="1"/>
  <c r="K461" i="44" a="1"/>
  <c r="K449" i="44"/>
  <c r="K450" i="44"/>
  <c r="K451" i="44"/>
  <c r="K452" i="44"/>
  <c r="K453" i="44"/>
  <c r="K454" i="44"/>
  <c r="K455" i="44"/>
  <c r="K456" i="44"/>
  <c r="K457" i="44"/>
  <c r="K458" i="44"/>
  <c r="K459" i="44"/>
  <c r="K460" i="44"/>
  <c r="K461" i="44"/>
  <c r="K273" i="44"/>
  <c r="K523" i="44" a="1"/>
  <c r="K523" i="44"/>
  <c r="K274" i="44"/>
  <c r="K275" i="44"/>
  <c r="K297" i="44"/>
  <c r="K435" i="44" a="1"/>
  <c r="K435" i="44"/>
  <c r="K298" i="44" a="1"/>
  <c r="K298" i="44"/>
  <c r="K299" i="44"/>
  <c r="K300" i="44"/>
  <c r="K301" i="44"/>
  <c r="U93" i="51"/>
  <c r="Q94" i="51"/>
  <c r="I368" i="44"/>
  <c r="I372" i="44"/>
  <c r="S94" i="51"/>
  <c r="J368" i="44"/>
  <c r="J372" i="44"/>
  <c r="T94" i="51"/>
  <c r="K368" i="44"/>
  <c r="K372" i="44"/>
  <c r="U94" i="51"/>
  <c r="Q95" i="51"/>
  <c r="H375" i="44"/>
  <c r="H379" i="44"/>
  <c r="R95" i="51"/>
  <c r="I375" i="44"/>
  <c r="I379" i="44"/>
  <c r="S95" i="51"/>
  <c r="J375" i="44"/>
  <c r="J379" i="44"/>
  <c r="T95" i="51"/>
  <c r="K375" i="44"/>
  <c r="K379" i="44"/>
  <c r="U95" i="51"/>
  <c r="Q96" i="51"/>
  <c r="H382" i="44"/>
  <c r="H505" i="44" a="1"/>
  <c r="H505" i="44"/>
  <c r="H506" i="44" a="1"/>
  <c r="H506" i="44"/>
  <c r="H507" i="44"/>
  <c r="H511" i="44" a="1"/>
  <c r="H511" i="44"/>
  <c r="H512" i="44" a="1"/>
  <c r="H512" i="44"/>
  <c r="H513" i="44"/>
  <c r="H517" i="44" a="1"/>
  <c r="H517" i="44"/>
  <c r="H518" i="44" a="1"/>
  <c r="H518" i="44"/>
  <c r="H519" i="44"/>
  <c r="H313" i="44"/>
  <c r="H314" i="44"/>
  <c r="H497" i="44" a="1"/>
  <c r="H497" i="44"/>
  <c r="H498" i="44" a="1"/>
  <c r="H498" i="44"/>
  <c r="H499" i="44"/>
  <c r="H316" i="44"/>
  <c r="H318" i="44"/>
  <c r="H383" i="44"/>
  <c r="H384" i="44" a="1"/>
  <c r="H384" i="44"/>
  <c r="H385" i="44"/>
  <c r="H386" i="44"/>
  <c r="R96" i="51"/>
  <c r="I382" i="44"/>
  <c r="I505" i="44" a="1"/>
  <c r="I505" i="44"/>
  <c r="I506" i="44" a="1"/>
  <c r="I506" i="44"/>
  <c r="I507" i="44"/>
  <c r="I511" i="44" a="1"/>
  <c r="I511" i="44"/>
  <c r="I512" i="44" a="1"/>
  <c r="I512" i="44"/>
  <c r="I513" i="44"/>
  <c r="I517" i="44" a="1"/>
  <c r="I517" i="44"/>
  <c r="I518" i="44" a="1"/>
  <c r="I518" i="44"/>
  <c r="I519" i="44"/>
  <c r="I313" i="44"/>
  <c r="I314" i="44"/>
  <c r="I497" i="44" a="1"/>
  <c r="I497" i="44"/>
  <c r="I498" i="44" a="1"/>
  <c r="I498" i="44"/>
  <c r="I499" i="44"/>
  <c r="I316" i="44"/>
  <c r="I318" i="44"/>
  <c r="I383" i="44"/>
  <c r="I384" i="44" a="1"/>
  <c r="I384" i="44"/>
  <c r="I385" i="44"/>
  <c r="I386" i="44"/>
  <c r="S96" i="51"/>
  <c r="J382" i="44"/>
  <c r="J505" i="44" a="1"/>
  <c r="J505" i="44"/>
  <c r="J506" i="44" a="1"/>
  <c r="J506" i="44"/>
  <c r="J507" i="44"/>
  <c r="J511" i="44" a="1"/>
  <c r="J511" i="44"/>
  <c r="J512" i="44" a="1"/>
  <c r="J512" i="44"/>
  <c r="J513" i="44"/>
  <c r="J517" i="44" a="1"/>
  <c r="J517" i="44"/>
  <c r="J518" i="44" a="1"/>
  <c r="J518" i="44"/>
  <c r="J519" i="44"/>
  <c r="J313" i="44"/>
  <c r="J314" i="44"/>
  <c r="J497" i="44" a="1"/>
  <c r="J497" i="44"/>
  <c r="J498" i="44" a="1"/>
  <c r="J498" i="44"/>
  <c r="J499" i="44"/>
  <c r="J316" i="44"/>
  <c r="J318" i="44"/>
  <c r="J383" i="44"/>
  <c r="J384" i="44" a="1"/>
  <c r="J384" i="44"/>
  <c r="J385" i="44"/>
  <c r="J386" i="44"/>
  <c r="T96" i="51"/>
  <c r="K382" i="44"/>
  <c r="K505" i="44" a="1"/>
  <c r="K505" i="44"/>
  <c r="K506" i="44" a="1"/>
  <c r="K506" i="44"/>
  <c r="K507" i="44"/>
  <c r="K511" i="44" a="1"/>
  <c r="K511" i="44"/>
  <c r="K512" i="44" a="1"/>
  <c r="K512" i="44"/>
  <c r="K513" i="44"/>
  <c r="K517" i="44" a="1"/>
  <c r="K517" i="44"/>
  <c r="K518" i="44" a="1"/>
  <c r="K518" i="44"/>
  <c r="K519" i="44"/>
  <c r="K313" i="44"/>
  <c r="K314" i="44"/>
  <c r="K497" i="44" a="1"/>
  <c r="K497" i="44"/>
  <c r="K498" i="44" a="1"/>
  <c r="K498" i="44"/>
  <c r="K499" i="44"/>
  <c r="K316" i="44"/>
  <c r="K318" i="44"/>
  <c r="K383" i="44"/>
  <c r="K384" i="44" a="1"/>
  <c r="K384" i="44"/>
  <c r="K385" i="44"/>
  <c r="K386" i="44"/>
  <c r="U96" i="51"/>
  <c r="G470" i="44" a="1"/>
  <c r="G470" i="44"/>
  <c r="G304" i="44"/>
  <c r="G305" i="44"/>
  <c r="G306" i="44" a="1"/>
  <c r="G306" i="44"/>
  <c r="G307" i="44"/>
  <c r="G308" i="44"/>
  <c r="G309" i="44"/>
  <c r="Q97" i="51"/>
  <c r="H470" i="44" a="1"/>
  <c r="H470" i="44"/>
  <c r="H304" i="44"/>
  <c r="H305" i="44"/>
  <c r="H306" i="44" a="1"/>
  <c r="H306" i="44"/>
  <c r="H307" i="44"/>
  <c r="H308" i="44"/>
  <c r="H309" i="44"/>
  <c r="R97" i="51"/>
  <c r="I470" i="44" a="1"/>
  <c r="I470" i="44"/>
  <c r="I304" i="44"/>
  <c r="I305" i="44"/>
  <c r="I306" i="44" a="1"/>
  <c r="I306" i="44"/>
  <c r="I307" i="44"/>
  <c r="I308" i="44"/>
  <c r="I309" i="44"/>
  <c r="S97" i="51"/>
  <c r="J470" i="44" a="1"/>
  <c r="J470" i="44"/>
  <c r="J304" i="44"/>
  <c r="J305" i="44"/>
  <c r="J306" i="44" a="1"/>
  <c r="J306" i="44"/>
  <c r="J307" i="44"/>
  <c r="J308" i="44"/>
  <c r="J309" i="44"/>
  <c r="T97" i="51"/>
  <c r="K470" i="44" a="1"/>
  <c r="K470" i="44"/>
  <c r="K304" i="44"/>
  <c r="K305" i="44"/>
  <c r="K306" i="44" a="1"/>
  <c r="K306" i="44"/>
  <c r="K307" i="44"/>
  <c r="K308" i="44"/>
  <c r="K309" i="44"/>
  <c r="U97" i="51"/>
  <c r="Q98" i="51"/>
  <c r="H484" i="44" a="1"/>
  <c r="H484" i="44"/>
  <c r="H390" i="44"/>
  <c r="H391" i="44"/>
  <c r="H392" i="44" a="1"/>
  <c r="H392" i="44"/>
  <c r="H393" i="44"/>
  <c r="H394" i="44"/>
  <c r="R98" i="51"/>
  <c r="I484" i="44" a="1"/>
  <c r="I484" i="44"/>
  <c r="I390" i="44"/>
  <c r="I391" i="44"/>
  <c r="I392" i="44" a="1"/>
  <c r="I392" i="44"/>
  <c r="I393" i="44"/>
  <c r="I394" i="44"/>
  <c r="S98" i="51"/>
  <c r="J484" i="44" a="1"/>
  <c r="J484" i="44"/>
  <c r="J390" i="44"/>
  <c r="J391" i="44"/>
  <c r="J392" i="44" a="1"/>
  <c r="J392" i="44"/>
  <c r="J393" i="44"/>
  <c r="J394" i="44"/>
  <c r="T98" i="51"/>
  <c r="K484" i="44" a="1"/>
  <c r="K484" i="44"/>
  <c r="K390" i="44"/>
  <c r="K391" i="44"/>
  <c r="K392" i="44" a="1"/>
  <c r="K392" i="44"/>
  <c r="K393" i="44"/>
  <c r="K394" i="44"/>
  <c r="U98" i="51"/>
  <c r="Q99" i="51"/>
  <c r="H485" i="44" a="1"/>
  <c r="H485" i="44"/>
  <c r="H397" i="44"/>
  <c r="H398" i="44"/>
  <c r="H399" i="44" a="1"/>
  <c r="H399" i="44"/>
  <c r="H400" i="44"/>
  <c r="H401" i="44"/>
  <c r="R99" i="51"/>
  <c r="I485" i="44" a="1"/>
  <c r="I485" i="44"/>
  <c r="I397" i="44"/>
  <c r="I398" i="44"/>
  <c r="I399" i="44" a="1"/>
  <c r="I399" i="44"/>
  <c r="I400" i="44"/>
  <c r="I401" i="44"/>
  <c r="S99" i="51"/>
  <c r="J485" i="44" a="1"/>
  <c r="J485" i="44"/>
  <c r="J397" i="44"/>
  <c r="J398" i="44"/>
  <c r="J399" i="44" a="1"/>
  <c r="J399" i="44"/>
  <c r="J400" i="44"/>
  <c r="J401" i="44"/>
  <c r="T99" i="51"/>
  <c r="K485" i="44" a="1"/>
  <c r="K485" i="44"/>
  <c r="K397" i="44"/>
  <c r="K398" i="44"/>
  <c r="K399" i="44" a="1"/>
  <c r="K399" i="44"/>
  <c r="K400" i="44"/>
  <c r="K401" i="44"/>
  <c r="U99" i="51"/>
  <c r="H159" i="63" a="1"/>
  <c r="H159" i="63"/>
  <c r="Q104" i="51" a="1"/>
  <c r="J159" i="63" a="1"/>
  <c r="J159" i="63"/>
  <c r="S104" i="51" a="1"/>
  <c r="K159" i="63" a="1"/>
  <c r="K159" i="63"/>
  <c r="T104" i="51" a="1"/>
  <c r="L159" i="63" a="1"/>
  <c r="L159" i="63"/>
  <c r="U104" i="51" a="1"/>
  <c r="H161" i="63" a="1"/>
  <c r="H161" i="63"/>
  <c r="Q105" i="51" a="1"/>
  <c r="I161" i="63" a="1"/>
  <c r="I161" i="63"/>
  <c r="R105" i="51" a="1"/>
  <c r="J161" i="63" a="1"/>
  <c r="J161" i="63"/>
  <c r="S105" i="51" a="1"/>
  <c r="K161" i="63" a="1"/>
  <c r="K161" i="63"/>
  <c r="T105" i="51" a="1"/>
  <c r="L161" i="63" a="1"/>
  <c r="L161" i="63"/>
  <c r="U105" i="51" a="1"/>
  <c r="Q106" i="51" a="1"/>
  <c r="R106" i="51" a="1"/>
  <c r="S106" i="51" a="1"/>
  <c r="T106" i="51" a="1"/>
  <c r="U106" i="51" a="1"/>
  <c r="Q107" i="51" a="1"/>
  <c r="R107" i="51" a="1"/>
  <c r="S107" i="51" a="1"/>
  <c r="T107" i="51" a="1"/>
  <c r="U107" i="51" a="1"/>
  <c r="Q108" i="51" a="1"/>
  <c r="R108" i="51" a="1"/>
  <c r="S108" i="51" a="1"/>
  <c r="T108" i="51" a="1"/>
  <c r="U108" i="51" a="1"/>
  <c r="Q109" i="51" a="1"/>
  <c r="R109" i="51" a="1"/>
  <c r="S109" i="51" a="1"/>
  <c r="T109" i="51" a="1"/>
  <c r="U109" i="51" a="1"/>
  <c r="Q110" i="51" a="1"/>
  <c r="R110" i="51" a="1"/>
  <c r="S110" i="51" a="1"/>
  <c r="T110" i="51" a="1"/>
  <c r="U110" i="51" a="1"/>
  <c r="Q111" i="51" a="1"/>
  <c r="R111" i="51" a="1"/>
  <c r="S111" i="51" a="1"/>
  <c r="T111" i="51" a="1"/>
  <c r="U111" i="51" a="1"/>
  <c r="Q112" i="51" a="1"/>
  <c r="R112" i="51" a="1"/>
  <c r="S112" i="51" a="1"/>
  <c r="T112" i="51" a="1"/>
  <c r="U112" i="51" a="1"/>
  <c r="Q104" i="51"/>
  <c r="S104" i="51"/>
  <c r="T104" i="51"/>
  <c r="U104" i="51"/>
  <c r="Q105" i="51"/>
  <c r="R105" i="51"/>
  <c r="S105" i="51"/>
  <c r="T105" i="51"/>
  <c r="U105" i="51"/>
  <c r="Q106" i="51"/>
  <c r="R106" i="51"/>
  <c r="S106" i="51"/>
  <c r="T106" i="51"/>
  <c r="U106" i="51"/>
  <c r="Q107" i="51"/>
  <c r="R107" i="51"/>
  <c r="S107" i="51"/>
  <c r="T107" i="51"/>
  <c r="U107" i="51"/>
  <c r="Q108" i="51"/>
  <c r="R108" i="51"/>
  <c r="S108" i="51"/>
  <c r="T108" i="51"/>
  <c r="U108" i="51"/>
  <c r="Q109" i="51"/>
  <c r="R109" i="51"/>
  <c r="S109" i="51"/>
  <c r="T109" i="51"/>
  <c r="U109" i="51"/>
  <c r="Q110" i="51"/>
  <c r="R110" i="51"/>
  <c r="S110" i="51"/>
  <c r="T110" i="51"/>
  <c r="U110" i="51"/>
  <c r="Q111" i="51"/>
  <c r="R111" i="51"/>
  <c r="S111" i="51"/>
  <c r="T111" i="51"/>
  <c r="U111" i="51"/>
  <c r="Q112" i="51"/>
  <c r="R112" i="51"/>
  <c r="S112" i="51"/>
  <c r="T112" i="51"/>
  <c r="U112" i="51"/>
  <c r="R34" i="51" a="1"/>
  <c r="R34" i="51"/>
  <c r="R35" i="51" a="1"/>
  <c r="R35" i="51"/>
  <c r="R36" i="51" a="1"/>
  <c r="R36" i="51"/>
  <c r="S34" i="51" a="1"/>
  <c r="S34" i="51"/>
  <c r="S35" i="51" a="1"/>
  <c r="S35" i="51"/>
  <c r="S36" i="51" a="1"/>
  <c r="S36" i="51"/>
  <c r="T34" i="51" a="1"/>
  <c r="T34" i="51"/>
  <c r="T35" i="51" a="1"/>
  <c r="T35" i="51"/>
  <c r="T36" i="51" a="1"/>
  <c r="T36" i="51"/>
  <c r="U34" i="51" a="1"/>
  <c r="U34" i="51"/>
  <c r="U35" i="51" a="1"/>
  <c r="U35" i="51"/>
  <c r="U36" i="51" a="1"/>
  <c r="U36" i="51"/>
  <c r="Q34" i="51" a="1"/>
  <c r="Q34" i="51"/>
  <c r="Q35" i="51" a="1"/>
  <c r="Q35" i="51"/>
  <c r="Q36" i="51" a="1"/>
  <c r="Q36" i="51"/>
  <c r="H34" i="44"/>
  <c r="H180" i="44" a="1"/>
  <c r="H180" i="44"/>
  <c r="H181" i="44" a="1"/>
  <c r="H181" i="44"/>
  <c r="H10" i="44"/>
  <c r="H186" i="44" a="1"/>
  <c r="H186" i="44"/>
  <c r="H188" i="44" a="1"/>
  <c r="H188" i="44"/>
  <c r="H187" i="44" a="1"/>
  <c r="H189" i="44" a="1"/>
  <c r="H190" i="44" a="1"/>
  <c r="H191" i="44" a="1"/>
  <c r="H192" i="44" a="1"/>
  <c r="H193" i="44" a="1"/>
  <c r="H194" i="44" a="1"/>
  <c r="H195" i="44" a="1"/>
  <c r="H196" i="44" a="1"/>
  <c r="H197" i="44" a="1"/>
  <c r="H198" i="44" a="1"/>
  <c r="H199" i="44" a="1"/>
  <c r="H200" i="44" a="1"/>
  <c r="H187" i="44"/>
  <c r="H189" i="44"/>
  <c r="H190" i="44"/>
  <c r="H191" i="44"/>
  <c r="H192" i="44"/>
  <c r="H193" i="44"/>
  <c r="H194" i="44"/>
  <c r="H195" i="44"/>
  <c r="H196" i="44"/>
  <c r="H197" i="44"/>
  <c r="H198" i="44"/>
  <c r="H199" i="44"/>
  <c r="H200" i="44"/>
  <c r="H11" i="44"/>
  <c r="H12" i="44"/>
  <c r="H13" i="44"/>
  <c r="H35" i="44"/>
  <c r="H174" i="44" a="1"/>
  <c r="H174" i="44"/>
  <c r="H36" i="44" a="1"/>
  <c r="H36" i="44"/>
  <c r="H37" i="44"/>
  <c r="H38" i="44"/>
  <c r="H39" i="44"/>
  <c r="R20" i="51"/>
  <c r="H107" i="44"/>
  <c r="H111" i="44"/>
  <c r="R21" i="51"/>
  <c r="H114" i="44"/>
  <c r="H118" i="44"/>
  <c r="R22" i="51"/>
  <c r="H121" i="44"/>
  <c r="H244" i="44" a="1"/>
  <c r="H244" i="44"/>
  <c r="H245" i="44" a="1"/>
  <c r="H245" i="44"/>
  <c r="H246" i="44"/>
  <c r="H250" i="44" a="1"/>
  <c r="H250" i="44"/>
  <c r="H251" i="44" a="1"/>
  <c r="H251" i="44"/>
  <c r="H252" i="44"/>
  <c r="H256" i="44" a="1"/>
  <c r="H256" i="44"/>
  <c r="H257" i="44" a="1"/>
  <c r="H257" i="44"/>
  <c r="H258" i="44"/>
  <c r="H51" i="44"/>
  <c r="H52" i="44"/>
  <c r="H53" i="44"/>
  <c r="H236" i="44" a="1"/>
  <c r="H236" i="44"/>
  <c r="AC73" i="42"/>
  <c r="H237" i="44" a="1"/>
  <c r="H237" i="44"/>
  <c r="H238" i="44"/>
  <c r="H55" i="44"/>
  <c r="H54" i="44"/>
  <c r="H56" i="44"/>
  <c r="H57" i="44"/>
  <c r="H122" i="44"/>
  <c r="H123" i="44" a="1"/>
  <c r="H123" i="44"/>
  <c r="H124" i="44"/>
  <c r="H125" i="44"/>
  <c r="R23" i="51"/>
  <c r="I34" i="44"/>
  <c r="I180" i="44" a="1"/>
  <c r="I180" i="44"/>
  <c r="I181" i="44" a="1"/>
  <c r="I181" i="44"/>
  <c r="I10" i="44"/>
  <c r="I186" i="44" a="1"/>
  <c r="I186" i="44"/>
  <c r="I188" i="44" a="1"/>
  <c r="I188" i="44"/>
  <c r="I187" i="44" a="1"/>
  <c r="I189" i="44" a="1"/>
  <c r="I190" i="44" a="1"/>
  <c r="I191" i="44" a="1"/>
  <c r="I192" i="44" a="1"/>
  <c r="I193" i="44" a="1"/>
  <c r="I194" i="44" a="1"/>
  <c r="I195" i="44" a="1"/>
  <c r="I196" i="44" a="1"/>
  <c r="I197" i="44" a="1"/>
  <c r="I198" i="44" a="1"/>
  <c r="I199" i="44" a="1"/>
  <c r="I200" i="44" a="1"/>
  <c r="I187" i="44"/>
  <c r="I189" i="44"/>
  <c r="I190" i="44"/>
  <c r="I191" i="44"/>
  <c r="I192" i="44"/>
  <c r="I193" i="44"/>
  <c r="I194" i="44"/>
  <c r="I195" i="44"/>
  <c r="I196" i="44"/>
  <c r="I197" i="44"/>
  <c r="I198" i="44"/>
  <c r="I199" i="44"/>
  <c r="I200" i="44"/>
  <c r="I11" i="44"/>
  <c r="I12" i="44"/>
  <c r="I13" i="44"/>
  <c r="I35" i="44"/>
  <c r="I174" i="44" a="1"/>
  <c r="I174" i="44"/>
  <c r="I36" i="44" a="1"/>
  <c r="I36" i="44"/>
  <c r="I37" i="44"/>
  <c r="I38" i="44"/>
  <c r="I39" i="44"/>
  <c r="S20" i="51"/>
  <c r="I107" i="44"/>
  <c r="I111" i="44"/>
  <c r="S21" i="51"/>
  <c r="I114" i="44"/>
  <c r="I118" i="44"/>
  <c r="S22" i="51"/>
  <c r="I121" i="44"/>
  <c r="I244" i="44" a="1"/>
  <c r="I244" i="44"/>
  <c r="I245" i="44" a="1"/>
  <c r="I245" i="44"/>
  <c r="I246" i="44"/>
  <c r="I250" i="44" a="1"/>
  <c r="I250" i="44"/>
  <c r="I251" i="44" a="1"/>
  <c r="I251" i="44"/>
  <c r="I252" i="44"/>
  <c r="I256" i="44" a="1"/>
  <c r="I256" i="44"/>
  <c r="I257" i="44" a="1"/>
  <c r="I257" i="44"/>
  <c r="I258" i="44"/>
  <c r="I51" i="44"/>
  <c r="I52" i="44"/>
  <c r="I53" i="44"/>
  <c r="I236" i="44" a="1"/>
  <c r="I236" i="44"/>
  <c r="I237" i="44" a="1"/>
  <c r="I237" i="44"/>
  <c r="I238" i="44"/>
  <c r="I55" i="44"/>
  <c r="I54" i="44"/>
  <c r="I56" i="44"/>
  <c r="I57" i="44"/>
  <c r="I122" i="44"/>
  <c r="I123" i="44" a="1"/>
  <c r="I123" i="44"/>
  <c r="I124" i="44"/>
  <c r="I125" i="44"/>
  <c r="S23" i="51"/>
  <c r="J34" i="44"/>
  <c r="J180" i="44" a="1"/>
  <c r="J180" i="44"/>
  <c r="J181" i="44" a="1"/>
  <c r="J181" i="44"/>
  <c r="J10" i="44"/>
  <c r="J186" i="44" a="1"/>
  <c r="J186" i="44"/>
  <c r="J188" i="44" a="1"/>
  <c r="J188" i="44"/>
  <c r="J187" i="44" a="1"/>
  <c r="J189" i="44" a="1"/>
  <c r="J190" i="44" a="1"/>
  <c r="J191" i="44" a="1"/>
  <c r="J192" i="44" a="1"/>
  <c r="J193" i="44" a="1"/>
  <c r="J194" i="44" a="1"/>
  <c r="J195" i="44" a="1"/>
  <c r="J196" i="44" a="1"/>
  <c r="J197" i="44" a="1"/>
  <c r="J198" i="44" a="1"/>
  <c r="J199" i="44" a="1"/>
  <c r="J200" i="44" a="1"/>
  <c r="J187" i="44"/>
  <c r="J189" i="44"/>
  <c r="J190" i="44"/>
  <c r="J191" i="44"/>
  <c r="J192" i="44"/>
  <c r="J193" i="44"/>
  <c r="J194" i="44"/>
  <c r="J195" i="44"/>
  <c r="J196" i="44"/>
  <c r="J197" i="44"/>
  <c r="J198" i="44"/>
  <c r="J199" i="44"/>
  <c r="J200" i="44"/>
  <c r="J11" i="44"/>
  <c r="J12" i="44"/>
  <c r="J13" i="44"/>
  <c r="J35" i="44"/>
  <c r="J174" i="44" a="1"/>
  <c r="J174" i="44"/>
  <c r="J36" i="44" a="1"/>
  <c r="J36" i="44"/>
  <c r="J37" i="44"/>
  <c r="J38" i="44"/>
  <c r="J39" i="44"/>
  <c r="T20" i="51"/>
  <c r="J107" i="44"/>
  <c r="J111" i="44"/>
  <c r="T21" i="51"/>
  <c r="J114" i="44"/>
  <c r="J118" i="44"/>
  <c r="T22" i="51"/>
  <c r="J121" i="44"/>
  <c r="J244" i="44" a="1"/>
  <c r="J244" i="44"/>
  <c r="J245" i="44" a="1"/>
  <c r="J245" i="44"/>
  <c r="J246" i="44"/>
  <c r="J250" i="44" a="1"/>
  <c r="J250" i="44"/>
  <c r="J251" i="44" a="1"/>
  <c r="J251" i="44"/>
  <c r="J252" i="44"/>
  <c r="J256" i="44" a="1"/>
  <c r="J256" i="44"/>
  <c r="J257" i="44" a="1"/>
  <c r="J257" i="44"/>
  <c r="J258" i="44"/>
  <c r="J51" i="44"/>
  <c r="J52" i="44"/>
  <c r="J53" i="44"/>
  <c r="J236" i="44" a="1"/>
  <c r="J236" i="44"/>
  <c r="J237" i="44" a="1"/>
  <c r="J237" i="44"/>
  <c r="J238" i="44"/>
  <c r="J55" i="44"/>
  <c r="J54" i="44"/>
  <c r="J56" i="44"/>
  <c r="J57" i="44"/>
  <c r="J122" i="44"/>
  <c r="J123" i="44" a="1"/>
  <c r="J123" i="44"/>
  <c r="J124" i="44"/>
  <c r="J125" i="44"/>
  <c r="T23" i="51"/>
  <c r="K34" i="44"/>
  <c r="K180" i="44" a="1"/>
  <c r="K180" i="44"/>
  <c r="K181" i="44" a="1"/>
  <c r="K181" i="44"/>
  <c r="K10" i="44"/>
  <c r="K186" i="44" a="1"/>
  <c r="K186" i="44"/>
  <c r="K188" i="44" a="1"/>
  <c r="K188" i="44"/>
  <c r="K187" i="44" a="1"/>
  <c r="K189" i="44" a="1"/>
  <c r="K190" i="44" a="1"/>
  <c r="K191" i="44" a="1"/>
  <c r="K192" i="44" a="1"/>
  <c r="K193" i="44" a="1"/>
  <c r="K194" i="44" a="1"/>
  <c r="K195" i="44" a="1"/>
  <c r="K196" i="44" a="1"/>
  <c r="K197" i="44" a="1"/>
  <c r="K198" i="44" a="1"/>
  <c r="K199" i="44" a="1"/>
  <c r="K200" i="44" a="1"/>
  <c r="K187" i="44"/>
  <c r="K189" i="44"/>
  <c r="K190" i="44"/>
  <c r="K191" i="44"/>
  <c r="K192" i="44"/>
  <c r="K193" i="44"/>
  <c r="K194" i="44"/>
  <c r="K195" i="44"/>
  <c r="K196" i="44"/>
  <c r="K197" i="44"/>
  <c r="K198" i="44"/>
  <c r="K199" i="44"/>
  <c r="K200" i="44"/>
  <c r="K11" i="44"/>
  <c r="K12" i="44"/>
  <c r="K13" i="44"/>
  <c r="K35" i="44"/>
  <c r="K174" i="44" a="1"/>
  <c r="K174" i="44"/>
  <c r="K36" i="44" a="1"/>
  <c r="K36" i="44"/>
  <c r="K37" i="44"/>
  <c r="K38" i="44"/>
  <c r="K39" i="44"/>
  <c r="U20" i="51"/>
  <c r="K107" i="44"/>
  <c r="K111" i="44"/>
  <c r="U21" i="51"/>
  <c r="K114" i="44"/>
  <c r="K118" i="44"/>
  <c r="U22" i="51"/>
  <c r="K121" i="44"/>
  <c r="K244" i="44" a="1"/>
  <c r="K244" i="44"/>
  <c r="K245" i="44" a="1"/>
  <c r="K245" i="44"/>
  <c r="K246" i="44"/>
  <c r="K250" i="44" a="1"/>
  <c r="K250" i="44"/>
  <c r="K251" i="44" a="1"/>
  <c r="K251" i="44"/>
  <c r="K252" i="44"/>
  <c r="K256" i="44" a="1"/>
  <c r="K256" i="44"/>
  <c r="K257" i="44" a="1"/>
  <c r="K257" i="44"/>
  <c r="K258" i="44"/>
  <c r="K51" i="44"/>
  <c r="K52" i="44"/>
  <c r="K53" i="44"/>
  <c r="K236" i="44" a="1"/>
  <c r="K236" i="44"/>
  <c r="K237" i="44" a="1"/>
  <c r="K237" i="44"/>
  <c r="K238" i="44"/>
  <c r="K55" i="44"/>
  <c r="K54" i="44"/>
  <c r="K56" i="44"/>
  <c r="K57" i="44"/>
  <c r="K122" i="44"/>
  <c r="K123" i="44" a="1"/>
  <c r="K123" i="44"/>
  <c r="K124" i="44"/>
  <c r="K125" i="44"/>
  <c r="U23" i="51"/>
  <c r="G34" i="44"/>
  <c r="G35" i="44"/>
  <c r="G36" i="44" a="1"/>
  <c r="G36" i="44"/>
  <c r="G37" i="44"/>
  <c r="G38" i="44"/>
  <c r="G39" i="44"/>
  <c r="Q20" i="51"/>
  <c r="Q21" i="51"/>
  <c r="Q22" i="51"/>
  <c r="Q23" i="51"/>
  <c r="D88" i="84"/>
  <c r="D74" i="84"/>
  <c r="D55" i="84"/>
  <c r="E88" i="84"/>
  <c r="E74" i="84"/>
  <c r="E55" i="84"/>
  <c r="F88" i="84"/>
  <c r="F74" i="84"/>
  <c r="F55" i="84"/>
  <c r="G88" i="84"/>
  <c r="G74" i="84"/>
  <c r="G55" i="84"/>
  <c r="H88" i="84"/>
  <c r="H74" i="84"/>
  <c r="H55" i="84"/>
  <c r="I55" i="84"/>
  <c r="D36" i="84"/>
  <c r="L88" i="84"/>
  <c r="L74" i="84"/>
  <c r="L55" i="84"/>
  <c r="M88" i="84"/>
  <c r="M74" i="84"/>
  <c r="M55" i="84"/>
  <c r="N88" i="84"/>
  <c r="N74" i="84"/>
  <c r="N55" i="84"/>
  <c r="O88" i="84"/>
  <c r="O74" i="84"/>
  <c r="O55" i="84"/>
  <c r="P88" i="84"/>
  <c r="P74" i="84"/>
  <c r="P55" i="84"/>
  <c r="Q55" i="84"/>
  <c r="D35" i="84"/>
  <c r="D37" i="84"/>
  <c r="E37" i="84"/>
  <c r="D77" i="84"/>
  <c r="D57" i="84"/>
  <c r="E77" i="84"/>
  <c r="E57" i="84"/>
  <c r="F77" i="84"/>
  <c r="F57" i="84"/>
  <c r="G77" i="84"/>
  <c r="G57" i="84"/>
  <c r="H77" i="84"/>
  <c r="H57" i="84"/>
  <c r="I57" i="84"/>
  <c r="F36" i="84"/>
  <c r="L77" i="84"/>
  <c r="L57" i="84"/>
  <c r="M77" i="84"/>
  <c r="M57" i="84"/>
  <c r="N77" i="84"/>
  <c r="N57" i="84"/>
  <c r="O77" i="84"/>
  <c r="O57" i="84"/>
  <c r="P77" i="84"/>
  <c r="P57" i="84"/>
  <c r="Q57" i="84"/>
  <c r="F35" i="84"/>
  <c r="F37" i="84"/>
  <c r="D86" i="84"/>
  <c r="D58" i="84"/>
  <c r="E86" i="84"/>
  <c r="E58" i="84"/>
  <c r="F86" i="84"/>
  <c r="F58" i="84"/>
  <c r="G86" i="84"/>
  <c r="G58" i="84"/>
  <c r="H86" i="84"/>
  <c r="H58" i="84"/>
  <c r="I58" i="84"/>
  <c r="D92" i="84"/>
  <c r="D59" i="84"/>
  <c r="H262" i="44" a="1"/>
  <c r="H262" i="44"/>
  <c r="E92" i="84"/>
  <c r="E59" i="84"/>
  <c r="I262" i="44" a="1"/>
  <c r="I262" i="44"/>
  <c r="F92" i="84"/>
  <c r="F59" i="84"/>
  <c r="J262" i="44" a="1"/>
  <c r="J262" i="44"/>
  <c r="G92" i="84"/>
  <c r="G59" i="84"/>
  <c r="K262" i="44" a="1"/>
  <c r="K262" i="44"/>
  <c r="H92" i="84"/>
  <c r="H59" i="84"/>
  <c r="I59" i="84"/>
  <c r="D103" i="84" a="1"/>
  <c r="D103" i="84"/>
  <c r="D104" i="84" a="1"/>
  <c r="D104" i="84"/>
  <c r="D105" i="84" a="1"/>
  <c r="D105" i="84"/>
  <c r="D63" i="84"/>
  <c r="E103" i="84" a="1"/>
  <c r="E103" i="84"/>
  <c r="E104" i="84" a="1"/>
  <c r="E104" i="84"/>
  <c r="E105" i="84" a="1"/>
  <c r="E105" i="84"/>
  <c r="E63" i="84"/>
  <c r="F103" i="84" a="1"/>
  <c r="F103" i="84"/>
  <c r="F104" i="84" a="1"/>
  <c r="F104" i="84"/>
  <c r="F105" i="84" a="1"/>
  <c r="F105" i="84"/>
  <c r="F63" i="84"/>
  <c r="G103" i="84" a="1"/>
  <c r="G103" i="84"/>
  <c r="G104" i="84" a="1"/>
  <c r="G104" i="84"/>
  <c r="G105" i="84" a="1"/>
  <c r="G105" i="84"/>
  <c r="G63" i="84"/>
  <c r="H103" i="84" a="1"/>
  <c r="H103" i="84"/>
  <c r="H104" i="84" a="1"/>
  <c r="H104" i="84"/>
  <c r="H105" i="84" a="1"/>
  <c r="H105" i="84"/>
  <c r="H63" i="84"/>
  <c r="I63" i="84"/>
  <c r="G36" i="84"/>
  <c r="L86" i="84"/>
  <c r="L58" i="84"/>
  <c r="M86" i="84"/>
  <c r="M58" i="84"/>
  <c r="N86" i="84"/>
  <c r="N58" i="84"/>
  <c r="O86" i="84"/>
  <c r="O58" i="84"/>
  <c r="P86" i="84"/>
  <c r="P58" i="84"/>
  <c r="Q58" i="84"/>
  <c r="L83" i="84"/>
  <c r="L59" i="84"/>
  <c r="M83" i="84"/>
  <c r="M59" i="84"/>
  <c r="N83" i="84"/>
  <c r="N59" i="84"/>
  <c r="O83" i="84"/>
  <c r="O59" i="84"/>
  <c r="P83" i="84"/>
  <c r="P59" i="84"/>
  <c r="Q59" i="84"/>
  <c r="L103" i="84" a="1"/>
  <c r="L103" i="84"/>
  <c r="L104" i="84" a="1"/>
  <c r="L104" i="84"/>
  <c r="L105" i="84" a="1"/>
  <c r="L105" i="84"/>
  <c r="L63" i="84"/>
  <c r="M103" i="84" a="1"/>
  <c r="M103" i="84"/>
  <c r="M104" i="84" a="1"/>
  <c r="M104" i="84"/>
  <c r="M105" i="84" a="1"/>
  <c r="M105" i="84"/>
  <c r="M63" i="84"/>
  <c r="N103" i="84" a="1"/>
  <c r="N103" i="84"/>
  <c r="N104" i="84" a="1"/>
  <c r="N104" i="84"/>
  <c r="N105" i="84" a="1"/>
  <c r="N105" i="84"/>
  <c r="N63" i="84"/>
  <c r="O103" i="84" a="1"/>
  <c r="O103" i="84"/>
  <c r="O104" i="84" a="1"/>
  <c r="O104" i="84"/>
  <c r="O105" i="84" a="1"/>
  <c r="O105" i="84"/>
  <c r="O63" i="84"/>
  <c r="P103" i="84" a="1"/>
  <c r="P103" i="84"/>
  <c r="P104" i="84" a="1"/>
  <c r="P104" i="84"/>
  <c r="P105" i="84" a="1"/>
  <c r="P105" i="84"/>
  <c r="P63" i="84"/>
  <c r="Q63" i="84"/>
  <c r="G35" i="84"/>
  <c r="G37" i="84"/>
  <c r="D81" i="84"/>
  <c r="D90" i="84"/>
  <c r="D60" i="84"/>
  <c r="E81" i="84"/>
  <c r="E90" i="84"/>
  <c r="E60" i="84"/>
  <c r="F81" i="84"/>
  <c r="F90" i="84"/>
  <c r="F60" i="84"/>
  <c r="G81" i="84"/>
  <c r="G90" i="84"/>
  <c r="G60" i="84"/>
  <c r="H81" i="84"/>
  <c r="H90" i="84"/>
  <c r="H60" i="84"/>
  <c r="I60" i="84"/>
  <c r="H36" i="84"/>
  <c r="L81" i="84"/>
  <c r="L90" i="84"/>
  <c r="L60" i="84"/>
  <c r="M81" i="84"/>
  <c r="M90" i="84"/>
  <c r="M60" i="84"/>
  <c r="N81" i="84"/>
  <c r="N90" i="84"/>
  <c r="N60" i="84"/>
  <c r="O81" i="84"/>
  <c r="O90" i="84"/>
  <c r="O60" i="84"/>
  <c r="P81" i="84"/>
  <c r="P90" i="84"/>
  <c r="P60" i="84"/>
  <c r="Q60" i="84"/>
  <c r="H35" i="84"/>
  <c r="H37" i="84"/>
  <c r="D72" i="84"/>
  <c r="D61" i="84"/>
  <c r="E72" i="84"/>
  <c r="E61" i="84"/>
  <c r="F72" i="84"/>
  <c r="F61" i="84"/>
  <c r="G72" i="84"/>
  <c r="G61" i="84"/>
  <c r="H72" i="84"/>
  <c r="H61" i="84"/>
  <c r="I61" i="84"/>
  <c r="I36" i="84"/>
  <c r="L72" i="84"/>
  <c r="L61" i="84"/>
  <c r="M72" i="84"/>
  <c r="M61" i="84"/>
  <c r="N72" i="84"/>
  <c r="N61" i="84"/>
  <c r="O72" i="84"/>
  <c r="O61" i="84"/>
  <c r="P72" i="84"/>
  <c r="P61" i="84"/>
  <c r="Q61" i="84"/>
  <c r="I35" i="84"/>
  <c r="I37" i="84"/>
  <c r="D62" i="84"/>
  <c r="E62" i="84"/>
  <c r="F62" i="84"/>
  <c r="G62" i="84"/>
  <c r="H62" i="84"/>
  <c r="I62" i="84"/>
  <c r="J36" i="84"/>
  <c r="L62" i="84"/>
  <c r="M62" i="84"/>
  <c r="N62" i="84"/>
  <c r="O62" i="84"/>
  <c r="P62" i="84"/>
  <c r="Q62" i="84"/>
  <c r="J35" i="84"/>
  <c r="J37" i="84"/>
  <c r="D66" i="84"/>
  <c r="E66" i="84"/>
  <c r="F66" i="84"/>
  <c r="G66" i="84"/>
  <c r="H66" i="84"/>
  <c r="I66" i="84"/>
  <c r="K36" i="84"/>
  <c r="L66" i="84"/>
  <c r="M66" i="84"/>
  <c r="N66" i="84"/>
  <c r="O66" i="84"/>
  <c r="P66" i="84"/>
  <c r="Q66" i="84"/>
  <c r="K35" i="84"/>
  <c r="K37" i="84"/>
  <c r="E90" i="80"/>
  <c r="F90" i="80"/>
  <c r="G90" i="80"/>
  <c r="H90" i="80"/>
  <c r="D90" i="80"/>
  <c r="D50" i="80"/>
  <c r="D51" i="80"/>
  <c r="D48" i="80"/>
  <c r="D66" i="80"/>
  <c r="E66" i="80"/>
  <c r="F66" i="80"/>
  <c r="G66" i="80"/>
  <c r="H66" i="80"/>
  <c r="I66" i="80"/>
  <c r="K48" i="80"/>
  <c r="L50" i="80"/>
  <c r="L51" i="80"/>
  <c r="L48" i="80"/>
  <c r="L66" i="80"/>
  <c r="M66" i="80"/>
  <c r="N66" i="80"/>
  <c r="O66" i="80"/>
  <c r="P66" i="80"/>
  <c r="Q66" i="80"/>
  <c r="E101" i="80" a="1"/>
  <c r="E101" i="80"/>
  <c r="E102" i="80" a="1"/>
  <c r="E102" i="80"/>
  <c r="E103" i="80" a="1"/>
  <c r="E103" i="80"/>
  <c r="E63" i="80"/>
  <c r="M101" i="80" a="1"/>
  <c r="M101" i="80"/>
  <c r="M102" i="80" a="1"/>
  <c r="M102" i="80"/>
  <c r="M103" i="80" a="1"/>
  <c r="M103" i="80"/>
  <c r="M63" i="80"/>
  <c r="F101" i="80" a="1"/>
  <c r="F101" i="80"/>
  <c r="F102" i="80" a="1"/>
  <c r="F102" i="80"/>
  <c r="F103" i="80" a="1"/>
  <c r="F103" i="80"/>
  <c r="F63" i="80"/>
  <c r="N101" i="80" a="1"/>
  <c r="N101" i="80"/>
  <c r="N102" i="80" a="1"/>
  <c r="N102" i="80"/>
  <c r="N103" i="80" a="1"/>
  <c r="N103" i="80"/>
  <c r="N63" i="80"/>
  <c r="G101" i="80" a="1"/>
  <c r="G101" i="80"/>
  <c r="G102" i="80" a="1"/>
  <c r="G102" i="80"/>
  <c r="G103" i="80" a="1"/>
  <c r="G103" i="80"/>
  <c r="G63" i="80"/>
  <c r="O101" i="80" a="1"/>
  <c r="O101" i="80"/>
  <c r="O102" i="80" a="1"/>
  <c r="O102" i="80"/>
  <c r="O103" i="80" a="1"/>
  <c r="O103" i="80"/>
  <c r="O63" i="80"/>
  <c r="H101" i="80" a="1"/>
  <c r="H101" i="80"/>
  <c r="H102" i="80" a="1"/>
  <c r="H102" i="80"/>
  <c r="H103" i="80" a="1"/>
  <c r="H103" i="80"/>
  <c r="H63" i="80"/>
  <c r="P101" i="80" a="1"/>
  <c r="P101" i="80"/>
  <c r="P102" i="80" a="1"/>
  <c r="P102" i="80"/>
  <c r="P103" i="80" a="1"/>
  <c r="P103" i="80"/>
  <c r="P63" i="80"/>
  <c r="D101" i="80" a="1"/>
  <c r="D101" i="80"/>
  <c r="D102" i="80" a="1"/>
  <c r="D102" i="80"/>
  <c r="D103" i="80" a="1"/>
  <c r="D103" i="80"/>
  <c r="D63" i="80"/>
  <c r="I63" i="80"/>
  <c r="L101" i="80" a="1"/>
  <c r="L101" i="80"/>
  <c r="L102" i="80" a="1"/>
  <c r="L102" i="80"/>
  <c r="L103" i="80" a="1"/>
  <c r="L103" i="80"/>
  <c r="L63" i="80"/>
  <c r="Q63" i="80"/>
  <c r="E86" i="80"/>
  <c r="E72" i="80"/>
  <c r="E55" i="80"/>
  <c r="M86" i="80"/>
  <c r="M72" i="80"/>
  <c r="M55" i="80"/>
  <c r="F86" i="80"/>
  <c r="F72" i="80"/>
  <c r="F55" i="80"/>
  <c r="N86" i="80"/>
  <c r="N72" i="80"/>
  <c r="N55" i="80"/>
  <c r="G86" i="80"/>
  <c r="G72" i="80"/>
  <c r="G55" i="80"/>
  <c r="O86" i="80"/>
  <c r="O72" i="80"/>
  <c r="O55" i="80"/>
  <c r="H86" i="80"/>
  <c r="H72" i="80"/>
  <c r="H55" i="80"/>
  <c r="P86" i="80"/>
  <c r="P72" i="80"/>
  <c r="P55" i="80"/>
  <c r="D86" i="80"/>
  <c r="D72" i="80"/>
  <c r="D55" i="80"/>
  <c r="I55" i="80"/>
  <c r="L86" i="80"/>
  <c r="L72" i="80"/>
  <c r="L55" i="80"/>
  <c r="Q55" i="80"/>
  <c r="E77" i="80"/>
  <c r="E93" i="80"/>
  <c r="E94" i="80"/>
  <c r="E95" i="80"/>
  <c r="E56" i="80"/>
  <c r="M77" i="80"/>
  <c r="M93" i="80"/>
  <c r="M94" i="80"/>
  <c r="M95" i="80"/>
  <c r="M56" i="80"/>
  <c r="F77" i="80"/>
  <c r="F93" i="80"/>
  <c r="F94" i="80"/>
  <c r="F95" i="80"/>
  <c r="F56" i="80"/>
  <c r="N77" i="80"/>
  <c r="N93" i="80"/>
  <c r="N94" i="80"/>
  <c r="N95" i="80"/>
  <c r="N56" i="80"/>
  <c r="G77" i="80"/>
  <c r="G93" i="80"/>
  <c r="G94" i="80"/>
  <c r="G95" i="80"/>
  <c r="G56" i="80"/>
  <c r="O77" i="80"/>
  <c r="O93" i="80"/>
  <c r="O94" i="80"/>
  <c r="O95" i="80"/>
  <c r="O56" i="80"/>
  <c r="H77" i="80"/>
  <c r="H93" i="80"/>
  <c r="H94" i="80"/>
  <c r="H95" i="80"/>
  <c r="H56" i="80"/>
  <c r="P77" i="80"/>
  <c r="P93" i="80"/>
  <c r="P94" i="80"/>
  <c r="P95" i="80"/>
  <c r="P56" i="80"/>
  <c r="D77" i="80"/>
  <c r="D93" i="80"/>
  <c r="D94" i="80"/>
  <c r="D95" i="80"/>
  <c r="D56" i="80"/>
  <c r="I56" i="80"/>
  <c r="L77" i="80"/>
  <c r="L93" i="80"/>
  <c r="L94" i="80"/>
  <c r="L95" i="80"/>
  <c r="L56" i="80"/>
  <c r="Q56" i="80"/>
  <c r="E75" i="80"/>
  <c r="E57" i="80"/>
  <c r="M75" i="80"/>
  <c r="M57" i="80"/>
  <c r="F75" i="80"/>
  <c r="F57" i="80"/>
  <c r="N75" i="80"/>
  <c r="N57" i="80"/>
  <c r="G75" i="80"/>
  <c r="G57" i="80"/>
  <c r="O75" i="80"/>
  <c r="O57" i="80"/>
  <c r="H75" i="80"/>
  <c r="H57" i="80"/>
  <c r="P75" i="80"/>
  <c r="P57" i="80"/>
  <c r="D75" i="80"/>
  <c r="D57" i="80"/>
  <c r="I57" i="80"/>
  <c r="L75" i="80"/>
  <c r="L57" i="80"/>
  <c r="Q57" i="80"/>
  <c r="E84" i="80"/>
  <c r="E58" i="80"/>
  <c r="M84" i="80"/>
  <c r="M58" i="80"/>
  <c r="F84" i="80"/>
  <c r="F58" i="80"/>
  <c r="N84" i="80"/>
  <c r="N58" i="80"/>
  <c r="G84" i="80"/>
  <c r="G58" i="80"/>
  <c r="O84" i="80"/>
  <c r="O58" i="80"/>
  <c r="H84" i="80"/>
  <c r="H58" i="80"/>
  <c r="P84" i="80"/>
  <c r="P58" i="80"/>
  <c r="D84" i="80"/>
  <c r="D58" i="80"/>
  <c r="I58" i="80"/>
  <c r="L84" i="80"/>
  <c r="L58" i="80"/>
  <c r="Q58" i="80"/>
  <c r="E59" i="80"/>
  <c r="M81" i="80"/>
  <c r="M59" i="80"/>
  <c r="F59" i="80"/>
  <c r="N81" i="80"/>
  <c r="N59" i="80"/>
  <c r="G59" i="80"/>
  <c r="O81" i="80"/>
  <c r="O59" i="80"/>
  <c r="H59" i="80"/>
  <c r="P81" i="80"/>
  <c r="P59" i="80"/>
  <c r="D59" i="80"/>
  <c r="I59" i="80"/>
  <c r="L81" i="80"/>
  <c r="L59" i="80"/>
  <c r="Q59" i="80"/>
  <c r="E79" i="80"/>
  <c r="E88" i="80"/>
  <c r="E60" i="80"/>
  <c r="M79" i="80"/>
  <c r="M88" i="80"/>
  <c r="M60" i="80"/>
  <c r="F79" i="80"/>
  <c r="F88" i="80"/>
  <c r="F60" i="80"/>
  <c r="N79" i="80"/>
  <c r="N88" i="80"/>
  <c r="N60" i="80"/>
  <c r="G79" i="80"/>
  <c r="G88" i="80"/>
  <c r="G60" i="80"/>
  <c r="O79" i="80"/>
  <c r="O88" i="80"/>
  <c r="O60" i="80"/>
  <c r="H79" i="80"/>
  <c r="H88" i="80"/>
  <c r="H60" i="80"/>
  <c r="P79" i="80"/>
  <c r="P88" i="80"/>
  <c r="P60" i="80"/>
  <c r="D79" i="80"/>
  <c r="D88" i="80"/>
  <c r="D60" i="80"/>
  <c r="I60" i="80"/>
  <c r="L79" i="80"/>
  <c r="L88" i="80"/>
  <c r="L60" i="80"/>
  <c r="Q60" i="80"/>
  <c r="E70" i="80"/>
  <c r="E61" i="80"/>
  <c r="M70" i="80"/>
  <c r="M61" i="80"/>
  <c r="F70" i="80"/>
  <c r="F61" i="80"/>
  <c r="N70" i="80"/>
  <c r="N61" i="80"/>
  <c r="G70" i="80"/>
  <c r="G61" i="80"/>
  <c r="O70" i="80"/>
  <c r="O61" i="80"/>
  <c r="H70" i="80"/>
  <c r="H61" i="80"/>
  <c r="P70" i="80"/>
  <c r="P61" i="80"/>
  <c r="D70" i="80"/>
  <c r="D61" i="80"/>
  <c r="I61" i="80"/>
  <c r="L70" i="80"/>
  <c r="L61" i="80"/>
  <c r="Q61" i="80"/>
  <c r="E62" i="80"/>
  <c r="M62" i="80"/>
  <c r="F62" i="80"/>
  <c r="N62" i="80"/>
  <c r="G62" i="80"/>
  <c r="O62" i="80"/>
  <c r="H62" i="80"/>
  <c r="P62" i="80"/>
  <c r="D62" i="80"/>
  <c r="I62" i="80"/>
  <c r="L62" i="80"/>
  <c r="Q62" i="80"/>
  <c r="E64" i="80"/>
  <c r="M64" i="80"/>
  <c r="F64" i="80"/>
  <c r="N64" i="80"/>
  <c r="G64" i="80"/>
  <c r="O64" i="80"/>
  <c r="H64" i="80"/>
  <c r="P64" i="80"/>
  <c r="D64" i="80"/>
  <c r="I64" i="80"/>
  <c r="L64" i="80"/>
  <c r="Q64" i="80"/>
  <c r="L29" i="63" a="1"/>
  <c r="L29" i="63"/>
  <c r="U31" i="51" a="1"/>
  <c r="U31" i="51"/>
  <c r="K29" i="63" a="1"/>
  <c r="K29" i="63"/>
  <c r="T31" i="51" a="1"/>
  <c r="T31" i="51"/>
  <c r="J29" i="63" a="1"/>
  <c r="J29" i="63"/>
  <c r="S31" i="51" a="1"/>
  <c r="S31" i="51"/>
  <c r="I29" i="63" a="1"/>
  <c r="I29" i="63"/>
  <c r="R31" i="51" a="1"/>
  <c r="R31" i="51"/>
  <c r="H29" i="63" a="1"/>
  <c r="H29" i="63"/>
  <c r="Q31" i="51" a="1"/>
  <c r="Q31" i="51"/>
  <c r="E103" i="52" a="1"/>
  <c r="E103" i="52"/>
  <c r="E104" i="52" a="1"/>
  <c r="E104" i="52"/>
  <c r="E105" i="52" a="1"/>
  <c r="E105" i="52"/>
  <c r="E63" i="52"/>
  <c r="M103" i="52" a="1"/>
  <c r="M103" i="52"/>
  <c r="M104" i="52" a="1"/>
  <c r="M104" i="52"/>
  <c r="M105" i="52" a="1"/>
  <c r="M105" i="52"/>
  <c r="M63" i="52"/>
  <c r="F103" i="52" a="1"/>
  <c r="F103" i="52"/>
  <c r="F104" i="52" a="1"/>
  <c r="F104" i="52"/>
  <c r="F105" i="52" a="1"/>
  <c r="F105" i="52"/>
  <c r="F63" i="52"/>
  <c r="N103" i="52" a="1"/>
  <c r="N103" i="52"/>
  <c r="N104" i="52" a="1"/>
  <c r="N104" i="52"/>
  <c r="N105" i="52" a="1"/>
  <c r="N105" i="52"/>
  <c r="N63" i="52"/>
  <c r="G103" i="52" a="1"/>
  <c r="G103" i="52"/>
  <c r="G104" i="52" a="1"/>
  <c r="G104" i="52"/>
  <c r="G105" i="52" a="1"/>
  <c r="G105" i="52"/>
  <c r="G63" i="52"/>
  <c r="O103" i="52" a="1"/>
  <c r="O103" i="52"/>
  <c r="O104" i="52" a="1"/>
  <c r="O104" i="52"/>
  <c r="O105" i="52" a="1"/>
  <c r="O105" i="52"/>
  <c r="O63" i="52"/>
  <c r="H103" i="52" a="1"/>
  <c r="H103" i="52"/>
  <c r="H104" i="52" a="1"/>
  <c r="H104" i="52"/>
  <c r="H105" i="52" a="1"/>
  <c r="H105" i="52"/>
  <c r="H63" i="52"/>
  <c r="P103" i="52" a="1"/>
  <c r="P103" i="52"/>
  <c r="P104" i="52" a="1"/>
  <c r="P104" i="52"/>
  <c r="P105" i="52" a="1"/>
  <c r="P105" i="52"/>
  <c r="P63" i="52"/>
  <c r="D103" i="52" a="1"/>
  <c r="D103" i="52"/>
  <c r="D104" i="52" a="1"/>
  <c r="D104" i="52"/>
  <c r="D105" i="52" a="1"/>
  <c r="D105" i="52"/>
  <c r="D63" i="52"/>
  <c r="I63" i="52"/>
  <c r="L103" i="52" a="1"/>
  <c r="L103" i="52"/>
  <c r="L104" i="52" a="1"/>
  <c r="L104" i="52"/>
  <c r="L105" i="52" a="1"/>
  <c r="L105" i="52"/>
  <c r="L63" i="52"/>
  <c r="Q63" i="52"/>
  <c r="H206" i="44" a="1"/>
  <c r="H206" i="44"/>
  <c r="H17" i="44"/>
  <c r="H18" i="44"/>
  <c r="H19" i="44" a="1"/>
  <c r="H19" i="44"/>
  <c r="H20" i="44"/>
  <c r="H21" i="44"/>
  <c r="H22" i="44"/>
  <c r="H20" i="51"/>
  <c r="H214" i="44" a="1"/>
  <c r="H214" i="44"/>
  <c r="H62" i="44"/>
  <c r="H66" i="44"/>
  <c r="H21" i="51"/>
  <c r="H215" i="44" a="1"/>
  <c r="H215" i="44"/>
  <c r="H69" i="44"/>
  <c r="H73" i="44"/>
  <c r="H22" i="51"/>
  <c r="I206" i="44" a="1"/>
  <c r="I206" i="44"/>
  <c r="I17" i="44"/>
  <c r="I18" i="44"/>
  <c r="I19" i="44" a="1"/>
  <c r="I19" i="44"/>
  <c r="I20" i="44"/>
  <c r="I21" i="44"/>
  <c r="I22" i="44"/>
  <c r="I20" i="51"/>
  <c r="J206" i="44" a="1"/>
  <c r="J206" i="44"/>
  <c r="J17" i="44"/>
  <c r="J18" i="44"/>
  <c r="J19" i="44" a="1"/>
  <c r="J19" i="44"/>
  <c r="J20" i="44"/>
  <c r="J21" i="44"/>
  <c r="J22" i="44"/>
  <c r="J20" i="51"/>
  <c r="K206" i="44" a="1"/>
  <c r="K206" i="44"/>
  <c r="K17" i="44"/>
  <c r="K18" i="44"/>
  <c r="K19" i="44" a="1"/>
  <c r="K19" i="44"/>
  <c r="K20" i="44"/>
  <c r="K21" i="44"/>
  <c r="K22" i="44"/>
  <c r="K20" i="51"/>
  <c r="I214" i="44" a="1"/>
  <c r="I214" i="44"/>
  <c r="I62" i="44"/>
  <c r="I66" i="44"/>
  <c r="I21" i="51"/>
  <c r="J214" i="44" a="1"/>
  <c r="J214" i="44"/>
  <c r="J62" i="44"/>
  <c r="J66" i="44"/>
  <c r="J21" i="51"/>
  <c r="K214" i="44" a="1"/>
  <c r="K214" i="44"/>
  <c r="K62" i="44"/>
  <c r="K66" i="44"/>
  <c r="K21" i="51"/>
  <c r="I215" i="44" a="1"/>
  <c r="I215" i="44"/>
  <c r="I69" i="44"/>
  <c r="I73" i="44"/>
  <c r="I22" i="51"/>
  <c r="J215" i="44" a="1"/>
  <c r="J215" i="44"/>
  <c r="J69" i="44"/>
  <c r="J73" i="44"/>
  <c r="J22" i="51"/>
  <c r="K215" i="44" a="1"/>
  <c r="K215" i="44"/>
  <c r="K69" i="44"/>
  <c r="K73" i="44"/>
  <c r="K22" i="51"/>
  <c r="H77" i="44"/>
  <c r="H216" i="44" a="1"/>
  <c r="H216" i="44"/>
  <c r="H76" i="44"/>
  <c r="H78" i="44" a="1"/>
  <c r="H78" i="44"/>
  <c r="H79" i="44"/>
  <c r="H80" i="44"/>
  <c r="H23" i="51"/>
  <c r="I77" i="44"/>
  <c r="I216" i="44" a="1"/>
  <c r="I216" i="44"/>
  <c r="I76" i="44"/>
  <c r="I78" i="44" a="1"/>
  <c r="I78" i="44"/>
  <c r="I79" i="44"/>
  <c r="I80" i="44"/>
  <c r="I23" i="51"/>
  <c r="J77" i="44"/>
  <c r="J216" i="44" a="1"/>
  <c r="J216" i="44"/>
  <c r="J76" i="44"/>
  <c r="J78" i="44" a="1"/>
  <c r="J78" i="44"/>
  <c r="J79" i="44"/>
  <c r="J80" i="44"/>
  <c r="J23" i="51"/>
  <c r="K77" i="44"/>
  <c r="K216" i="44" a="1"/>
  <c r="K216" i="44"/>
  <c r="K76" i="44"/>
  <c r="K78" i="44" a="1"/>
  <c r="K78" i="44"/>
  <c r="K79" i="44"/>
  <c r="K80" i="44"/>
  <c r="K23" i="51"/>
  <c r="G208" i="44" a="1"/>
  <c r="G208" i="44"/>
  <c r="G25" i="44"/>
  <c r="G26" i="44"/>
  <c r="G27" i="44" a="1"/>
  <c r="G27" i="44"/>
  <c r="G28" i="44"/>
  <c r="G29" i="44"/>
  <c r="G30" i="44"/>
  <c r="G24" i="51"/>
  <c r="H208" i="44" a="1"/>
  <c r="H208" i="44"/>
  <c r="H25" i="44"/>
  <c r="H26" i="44"/>
  <c r="H27" i="44" a="1"/>
  <c r="H27" i="44"/>
  <c r="H28" i="44"/>
  <c r="H29" i="44"/>
  <c r="H30" i="44"/>
  <c r="H24" i="51"/>
  <c r="I208" i="44" a="1"/>
  <c r="I208" i="44"/>
  <c r="I25" i="44"/>
  <c r="I26" i="44"/>
  <c r="I27" i="44" a="1"/>
  <c r="I27" i="44"/>
  <c r="I28" i="44"/>
  <c r="I29" i="44"/>
  <c r="I30" i="44"/>
  <c r="I24" i="51"/>
  <c r="J208" i="44" a="1"/>
  <c r="J208" i="44"/>
  <c r="J25" i="44"/>
  <c r="J26" i="44"/>
  <c r="J27" i="44" a="1"/>
  <c r="J27" i="44"/>
  <c r="J28" i="44"/>
  <c r="J29" i="44"/>
  <c r="J30" i="44"/>
  <c r="J24" i="51"/>
  <c r="K208" i="44" a="1"/>
  <c r="K208" i="44"/>
  <c r="K25" i="44"/>
  <c r="K26" i="44"/>
  <c r="K27" i="44" a="1"/>
  <c r="K27" i="44"/>
  <c r="K28" i="44"/>
  <c r="K29" i="44"/>
  <c r="K30" i="44"/>
  <c r="K24" i="51"/>
  <c r="G25" i="51"/>
  <c r="H85" i="44"/>
  <c r="H217" i="44" a="1"/>
  <c r="H217" i="44"/>
  <c r="H84" i="44"/>
  <c r="H86" i="44" a="1"/>
  <c r="H86" i="44"/>
  <c r="H87" i="44"/>
  <c r="H88" i="44"/>
  <c r="H25" i="51"/>
  <c r="I85" i="44"/>
  <c r="I217" i="44" a="1"/>
  <c r="I217" i="44"/>
  <c r="I84" i="44"/>
  <c r="I86" i="44" a="1"/>
  <c r="I86" i="44"/>
  <c r="I87" i="44"/>
  <c r="I88" i="44"/>
  <c r="I25" i="51"/>
  <c r="J85" i="44"/>
  <c r="J217" i="44" a="1"/>
  <c r="J217" i="44"/>
  <c r="J84" i="44"/>
  <c r="J86" i="44" a="1"/>
  <c r="J86" i="44"/>
  <c r="J87" i="44"/>
  <c r="J88" i="44"/>
  <c r="J25" i="51"/>
  <c r="K85" i="44"/>
  <c r="K217" i="44" a="1"/>
  <c r="K217" i="44"/>
  <c r="K84" i="44"/>
  <c r="K86" i="44" a="1"/>
  <c r="K86" i="44"/>
  <c r="K87" i="44"/>
  <c r="K88" i="44"/>
  <c r="K25" i="51"/>
  <c r="G26" i="51"/>
  <c r="H92" i="44"/>
  <c r="H218" i="44" a="1"/>
  <c r="H218" i="44"/>
  <c r="H91" i="44"/>
  <c r="H93" i="44" a="1"/>
  <c r="H93" i="44"/>
  <c r="H94" i="44"/>
  <c r="H95" i="44"/>
  <c r="H26" i="51"/>
  <c r="I92" i="44"/>
  <c r="I218" i="44" a="1"/>
  <c r="I218" i="44"/>
  <c r="I91" i="44"/>
  <c r="I93" i="44" a="1"/>
  <c r="I93" i="44"/>
  <c r="I94" i="44"/>
  <c r="I95" i="44"/>
  <c r="I26" i="51"/>
  <c r="J92" i="44"/>
  <c r="J218" i="44" a="1"/>
  <c r="J218" i="44"/>
  <c r="J91" i="44"/>
  <c r="J93" i="44" a="1"/>
  <c r="J93" i="44"/>
  <c r="J94" i="44"/>
  <c r="J95" i="44"/>
  <c r="J26" i="51"/>
  <c r="K92" i="44"/>
  <c r="K218" i="44" a="1"/>
  <c r="K218" i="44"/>
  <c r="K91" i="44"/>
  <c r="K93" i="44" a="1"/>
  <c r="K93" i="44"/>
  <c r="K94" i="44"/>
  <c r="K95" i="44"/>
  <c r="K26" i="51"/>
  <c r="G27" i="51"/>
  <c r="H99" i="44"/>
  <c r="H219" i="44" a="1"/>
  <c r="H219" i="44"/>
  <c r="H98" i="44"/>
  <c r="H100" i="44" a="1"/>
  <c r="H100" i="44"/>
  <c r="H101" i="44"/>
  <c r="H102" i="44"/>
  <c r="H27" i="51"/>
  <c r="I99" i="44"/>
  <c r="I219" i="44" a="1"/>
  <c r="I219" i="44"/>
  <c r="I98" i="44"/>
  <c r="I100" i="44" a="1"/>
  <c r="I100" i="44"/>
  <c r="I101" i="44"/>
  <c r="I102" i="44"/>
  <c r="I27" i="51"/>
  <c r="J99" i="44"/>
  <c r="J219" i="44" a="1"/>
  <c r="J219" i="44"/>
  <c r="J98" i="44"/>
  <c r="J100" i="44" a="1"/>
  <c r="J100" i="44"/>
  <c r="J101" i="44"/>
  <c r="J102" i="44"/>
  <c r="J27" i="51"/>
  <c r="K99" i="44"/>
  <c r="K219" i="44" a="1"/>
  <c r="K219" i="44"/>
  <c r="K98" i="44"/>
  <c r="K100" i="44" a="1"/>
  <c r="K100" i="44"/>
  <c r="K101" i="44"/>
  <c r="K102" i="44"/>
  <c r="K27" i="51"/>
  <c r="D79" i="52"/>
  <c r="D95" i="52"/>
  <c r="D96" i="52"/>
  <c r="D97" i="52"/>
  <c r="D56" i="52"/>
  <c r="E79" i="52"/>
  <c r="E95" i="52"/>
  <c r="E96" i="52"/>
  <c r="E97" i="52"/>
  <c r="E56" i="52"/>
  <c r="F79" i="52"/>
  <c r="F95" i="52"/>
  <c r="F96" i="52"/>
  <c r="F97" i="52"/>
  <c r="F56" i="52"/>
  <c r="G79" i="52"/>
  <c r="G95" i="52"/>
  <c r="G96" i="52"/>
  <c r="G97" i="52"/>
  <c r="G56" i="52"/>
  <c r="H79" i="52"/>
  <c r="H95" i="52"/>
  <c r="H96" i="52"/>
  <c r="H97" i="52"/>
  <c r="H56" i="52"/>
  <c r="D77" i="52"/>
  <c r="D57" i="52"/>
  <c r="E77" i="52"/>
  <c r="E57" i="52"/>
  <c r="F77" i="52"/>
  <c r="F57" i="52"/>
  <c r="G77" i="52"/>
  <c r="G57" i="52"/>
  <c r="H77" i="52"/>
  <c r="H57" i="52"/>
  <c r="D86" i="52"/>
  <c r="D58" i="52"/>
  <c r="E86" i="52"/>
  <c r="E58" i="52"/>
  <c r="F86" i="52"/>
  <c r="F58" i="52"/>
  <c r="G86" i="52"/>
  <c r="G58" i="52"/>
  <c r="H86" i="52"/>
  <c r="H58" i="52"/>
  <c r="D92" i="52"/>
  <c r="D59" i="52"/>
  <c r="E92" i="52"/>
  <c r="E59" i="52"/>
  <c r="F92" i="52"/>
  <c r="F59" i="52"/>
  <c r="G92" i="52"/>
  <c r="G59" i="52"/>
  <c r="H92" i="52"/>
  <c r="H59" i="52"/>
  <c r="D81" i="52"/>
  <c r="D90" i="52"/>
  <c r="D60" i="52"/>
  <c r="E81" i="52"/>
  <c r="E90" i="52"/>
  <c r="E60" i="52"/>
  <c r="F81" i="52"/>
  <c r="F90" i="52"/>
  <c r="F60" i="52"/>
  <c r="G81" i="52"/>
  <c r="G90" i="52"/>
  <c r="G60" i="52"/>
  <c r="H81" i="52"/>
  <c r="H90" i="52"/>
  <c r="H60" i="52"/>
  <c r="D72" i="52"/>
  <c r="D61" i="52"/>
  <c r="E72" i="52"/>
  <c r="E61" i="52"/>
  <c r="F72" i="52"/>
  <c r="F61" i="52"/>
  <c r="G72" i="52"/>
  <c r="G61" i="52"/>
  <c r="H72" i="52"/>
  <c r="H61" i="52"/>
  <c r="D62" i="52"/>
  <c r="E62" i="52"/>
  <c r="F62" i="52"/>
  <c r="G62" i="52"/>
  <c r="H62" i="52"/>
  <c r="D64" i="52"/>
  <c r="E64" i="52"/>
  <c r="F64" i="52"/>
  <c r="G64" i="52"/>
  <c r="H64" i="52"/>
  <c r="E64" i="84"/>
  <c r="M64" i="84"/>
  <c r="F64" i="84"/>
  <c r="N64" i="84"/>
  <c r="G64" i="84"/>
  <c r="O64" i="84"/>
  <c r="H64" i="84"/>
  <c r="P64" i="84"/>
  <c r="D64" i="84"/>
  <c r="I64" i="84"/>
  <c r="L64" i="84"/>
  <c r="Q64" i="84"/>
  <c r="E66" i="52"/>
  <c r="H467" i="44" a="1"/>
  <c r="H467" i="44"/>
  <c r="H279" i="44"/>
  <c r="H280" i="44"/>
  <c r="H281" i="44" a="1"/>
  <c r="H281" i="44"/>
  <c r="H282" i="44"/>
  <c r="H283" i="44"/>
  <c r="H284" i="44"/>
  <c r="H93" i="51"/>
  <c r="H475" i="44" a="1"/>
  <c r="H475" i="44"/>
  <c r="H323" i="44"/>
  <c r="H327" i="44"/>
  <c r="H94" i="51"/>
  <c r="H476" i="44" a="1"/>
  <c r="H476" i="44"/>
  <c r="H330" i="44"/>
  <c r="H334" i="44"/>
  <c r="H95" i="51"/>
  <c r="H315" i="44"/>
  <c r="H317" i="44"/>
  <c r="H338" i="44"/>
  <c r="H477" i="44" a="1"/>
  <c r="H477" i="44"/>
  <c r="H337" i="44"/>
  <c r="H339" i="44" a="1"/>
  <c r="H339" i="44"/>
  <c r="H340" i="44"/>
  <c r="H341" i="44"/>
  <c r="H96" i="51"/>
  <c r="M66" i="52"/>
  <c r="F66" i="52"/>
  <c r="I467" i="44" a="1"/>
  <c r="I467" i="44"/>
  <c r="I279" i="44"/>
  <c r="I280" i="44"/>
  <c r="I281" i="44" a="1"/>
  <c r="I281" i="44"/>
  <c r="I282" i="44"/>
  <c r="I283" i="44"/>
  <c r="I284" i="44"/>
  <c r="I93" i="51"/>
  <c r="I475" i="44" a="1"/>
  <c r="I475" i="44"/>
  <c r="I323" i="44"/>
  <c r="I327" i="44"/>
  <c r="I94" i="51"/>
  <c r="I476" i="44" a="1"/>
  <c r="I476" i="44"/>
  <c r="I330" i="44"/>
  <c r="I334" i="44"/>
  <c r="I95" i="51"/>
  <c r="I315" i="44"/>
  <c r="I317" i="44"/>
  <c r="I338" i="44"/>
  <c r="I477" i="44" a="1"/>
  <c r="I477" i="44"/>
  <c r="I337" i="44"/>
  <c r="I339" i="44" a="1"/>
  <c r="I339" i="44"/>
  <c r="I340" i="44"/>
  <c r="I341" i="44"/>
  <c r="I96" i="51"/>
  <c r="N66" i="52"/>
  <c r="G66" i="52"/>
  <c r="J467" i="44" a="1"/>
  <c r="J467" i="44"/>
  <c r="J279" i="44"/>
  <c r="J280" i="44"/>
  <c r="J281" i="44" a="1"/>
  <c r="J281" i="44"/>
  <c r="J282" i="44"/>
  <c r="J283" i="44"/>
  <c r="J284" i="44"/>
  <c r="J93" i="51"/>
  <c r="J475" i="44" a="1"/>
  <c r="J475" i="44"/>
  <c r="J323" i="44"/>
  <c r="J327" i="44"/>
  <c r="J94" i="51"/>
  <c r="J476" i="44" a="1"/>
  <c r="J476" i="44"/>
  <c r="J330" i="44"/>
  <c r="J334" i="44"/>
  <c r="J95" i="51"/>
  <c r="J315" i="44"/>
  <c r="J317" i="44"/>
  <c r="J338" i="44"/>
  <c r="J477" i="44" a="1"/>
  <c r="J477" i="44"/>
  <c r="J337" i="44"/>
  <c r="J339" i="44" a="1"/>
  <c r="J339" i="44"/>
  <c r="J340" i="44"/>
  <c r="J341" i="44"/>
  <c r="J96" i="51"/>
  <c r="O66" i="52"/>
  <c r="H66" i="52"/>
  <c r="K467" i="44" a="1"/>
  <c r="K467" i="44"/>
  <c r="K279" i="44"/>
  <c r="K280" i="44"/>
  <c r="K281" i="44" a="1"/>
  <c r="K281" i="44"/>
  <c r="K282" i="44"/>
  <c r="K283" i="44"/>
  <c r="K284" i="44"/>
  <c r="K93" i="51"/>
  <c r="K475" i="44" a="1"/>
  <c r="K475" i="44"/>
  <c r="K323" i="44"/>
  <c r="K327" i="44"/>
  <c r="K94" i="51"/>
  <c r="K476" i="44" a="1"/>
  <c r="K476" i="44"/>
  <c r="K330" i="44"/>
  <c r="K334" i="44"/>
  <c r="K95" i="51"/>
  <c r="K315" i="44"/>
  <c r="K317" i="44"/>
  <c r="K338" i="44"/>
  <c r="K477" i="44" a="1"/>
  <c r="K477" i="44"/>
  <c r="K337" i="44"/>
  <c r="K339" i="44" a="1"/>
  <c r="K339" i="44"/>
  <c r="K340" i="44"/>
  <c r="K341" i="44"/>
  <c r="K96" i="51"/>
  <c r="P66" i="52"/>
  <c r="I66" i="52"/>
  <c r="Q66" i="52"/>
  <c r="L79" i="52"/>
  <c r="L95" i="52"/>
  <c r="L96" i="52"/>
  <c r="L97" i="52"/>
  <c r="L56" i="52"/>
  <c r="M79" i="52"/>
  <c r="M95" i="52"/>
  <c r="M96" i="52"/>
  <c r="M97" i="52"/>
  <c r="M56" i="52"/>
  <c r="N79" i="52"/>
  <c r="N95" i="52"/>
  <c r="N96" i="52"/>
  <c r="N97" i="52"/>
  <c r="N56" i="52"/>
  <c r="O79" i="52"/>
  <c r="O95" i="52"/>
  <c r="O96" i="52"/>
  <c r="O97" i="52"/>
  <c r="O56" i="52"/>
  <c r="P79" i="52"/>
  <c r="P95" i="52"/>
  <c r="P96" i="52"/>
  <c r="P97" i="52"/>
  <c r="P56" i="52"/>
  <c r="I56" i="52"/>
  <c r="Q56" i="52"/>
  <c r="L77" i="52"/>
  <c r="L57" i="52"/>
  <c r="M77" i="52"/>
  <c r="M57" i="52"/>
  <c r="N77" i="52"/>
  <c r="N57" i="52"/>
  <c r="O77" i="52"/>
  <c r="O57" i="52"/>
  <c r="P77" i="52"/>
  <c r="P57" i="52"/>
  <c r="I57" i="52"/>
  <c r="Q57" i="52"/>
  <c r="L86" i="52"/>
  <c r="L58" i="52"/>
  <c r="M86" i="52"/>
  <c r="M58" i="52"/>
  <c r="N86" i="52"/>
  <c r="N58" i="52"/>
  <c r="O86" i="52"/>
  <c r="O58" i="52"/>
  <c r="P86" i="52"/>
  <c r="P58" i="52"/>
  <c r="I58" i="52"/>
  <c r="Q58" i="52"/>
  <c r="L83" i="52"/>
  <c r="L59" i="52"/>
  <c r="M83" i="52"/>
  <c r="M59" i="52"/>
  <c r="N83" i="52"/>
  <c r="N59" i="52"/>
  <c r="O83" i="52"/>
  <c r="O59" i="52"/>
  <c r="P83" i="52"/>
  <c r="P59" i="52"/>
  <c r="I59" i="52"/>
  <c r="Q59" i="52"/>
  <c r="L81" i="52"/>
  <c r="L90" i="52"/>
  <c r="L60" i="52"/>
  <c r="M81" i="52"/>
  <c r="M90" i="52"/>
  <c r="M60" i="52"/>
  <c r="N81" i="52"/>
  <c r="N90" i="52"/>
  <c r="N60" i="52"/>
  <c r="O81" i="52"/>
  <c r="O90" i="52"/>
  <c r="O60" i="52"/>
  <c r="P81" i="52"/>
  <c r="P90" i="52"/>
  <c r="P60" i="52"/>
  <c r="I60" i="52"/>
  <c r="Q60" i="52"/>
  <c r="L72" i="52"/>
  <c r="L61" i="52"/>
  <c r="M72" i="52"/>
  <c r="M61" i="52"/>
  <c r="N72" i="52"/>
  <c r="N61" i="52"/>
  <c r="O72" i="52"/>
  <c r="O61" i="52"/>
  <c r="P72" i="52"/>
  <c r="P61" i="52"/>
  <c r="I61" i="52"/>
  <c r="Q61" i="52"/>
  <c r="L62" i="52"/>
  <c r="M62" i="52"/>
  <c r="N62" i="52"/>
  <c r="O62" i="52"/>
  <c r="P62" i="52"/>
  <c r="I62" i="52"/>
  <c r="Q62" i="52"/>
  <c r="L64" i="52"/>
  <c r="M64" i="52"/>
  <c r="N64" i="52"/>
  <c r="O64" i="52"/>
  <c r="P64" i="52"/>
  <c r="I64" i="52"/>
  <c r="Q64" i="52"/>
  <c r="G469" i="44" a="1"/>
  <c r="G469" i="44"/>
  <c r="G287" i="44"/>
  <c r="G288" i="44"/>
  <c r="G289" i="44" a="1"/>
  <c r="G289" i="44"/>
  <c r="G290" i="44"/>
  <c r="G291" i="44"/>
  <c r="G292" i="44"/>
  <c r="G97" i="51"/>
  <c r="G86" i="51" a="1"/>
  <c r="G86" i="51"/>
  <c r="G98" i="51"/>
  <c r="G87" i="51" a="1"/>
  <c r="G87" i="51"/>
  <c r="G82" i="51" a="1"/>
  <c r="H82" i="51" a="1"/>
  <c r="I82" i="51" a="1"/>
  <c r="J82" i="51" a="1"/>
  <c r="K82" i="51" a="1"/>
  <c r="G83" i="51" a="1"/>
  <c r="H83" i="51" a="1"/>
  <c r="I83" i="51" a="1"/>
  <c r="J83" i="51" a="1"/>
  <c r="K83" i="51" a="1"/>
  <c r="G84" i="51" a="1"/>
  <c r="H84" i="51" a="1"/>
  <c r="I84" i="51" a="1"/>
  <c r="J84" i="51" a="1"/>
  <c r="K84" i="51" a="1"/>
  <c r="G85" i="51" a="1"/>
  <c r="H85" i="51" a="1"/>
  <c r="I85" i="51" a="1"/>
  <c r="J85" i="51" a="1"/>
  <c r="K85" i="51" a="1"/>
  <c r="H469" i="44" a="1"/>
  <c r="H469" i="44"/>
  <c r="H287" i="44"/>
  <c r="H288" i="44"/>
  <c r="H289" i="44" a="1"/>
  <c r="H289" i="44"/>
  <c r="H290" i="44"/>
  <c r="H291" i="44"/>
  <c r="H292" i="44"/>
  <c r="H97" i="51"/>
  <c r="H86" i="51" a="1"/>
  <c r="I469" i="44" a="1"/>
  <c r="I469" i="44"/>
  <c r="I287" i="44"/>
  <c r="I288" i="44"/>
  <c r="I289" i="44" a="1"/>
  <c r="I289" i="44"/>
  <c r="I290" i="44"/>
  <c r="I291" i="44"/>
  <c r="I292" i="44"/>
  <c r="I97" i="51"/>
  <c r="I86" i="51" a="1"/>
  <c r="J469" i="44" a="1"/>
  <c r="J469" i="44"/>
  <c r="J287" i="44"/>
  <c r="J288" i="44"/>
  <c r="J289" i="44" a="1"/>
  <c r="J289" i="44"/>
  <c r="J290" i="44"/>
  <c r="J291" i="44"/>
  <c r="J292" i="44"/>
  <c r="J97" i="51"/>
  <c r="J86" i="51" a="1"/>
  <c r="K469" i="44" a="1"/>
  <c r="K469" i="44"/>
  <c r="K287" i="44"/>
  <c r="K288" i="44"/>
  <c r="K289" i="44" a="1"/>
  <c r="K289" i="44"/>
  <c r="K290" i="44"/>
  <c r="K291" i="44"/>
  <c r="K292" i="44"/>
  <c r="K97" i="51"/>
  <c r="K86" i="51" a="1"/>
  <c r="H478" i="44" a="1"/>
  <c r="H478" i="44"/>
  <c r="H345" i="44"/>
  <c r="H346" i="44"/>
  <c r="H347" i="44" a="1"/>
  <c r="H347" i="44"/>
  <c r="H348" i="44"/>
  <c r="H349" i="44"/>
  <c r="H98" i="51"/>
  <c r="H87" i="51" a="1"/>
  <c r="I478" i="44" a="1"/>
  <c r="I478" i="44"/>
  <c r="I345" i="44"/>
  <c r="I346" i="44"/>
  <c r="I347" i="44" a="1"/>
  <c r="I347" i="44"/>
  <c r="I348" i="44"/>
  <c r="I349" i="44"/>
  <c r="I98" i="51"/>
  <c r="I87" i="51" a="1"/>
  <c r="J478" i="44" a="1"/>
  <c r="J478" i="44"/>
  <c r="J345" i="44"/>
  <c r="J346" i="44"/>
  <c r="J347" i="44" a="1"/>
  <c r="J347" i="44"/>
  <c r="J348" i="44"/>
  <c r="J349" i="44"/>
  <c r="J98" i="51"/>
  <c r="J87" i="51" a="1"/>
  <c r="K478" i="44" a="1"/>
  <c r="K478" i="44"/>
  <c r="K345" i="44"/>
  <c r="K346" i="44"/>
  <c r="K347" i="44" a="1"/>
  <c r="K347" i="44"/>
  <c r="K348" i="44"/>
  <c r="K349" i="44"/>
  <c r="K98" i="51"/>
  <c r="K87" i="51" a="1"/>
  <c r="G99" i="51"/>
  <c r="G88" i="51" a="1"/>
  <c r="H479" i="44" a="1"/>
  <c r="H479" i="44"/>
  <c r="H352" i="44"/>
  <c r="H353" i="44"/>
  <c r="H354" i="44" a="1"/>
  <c r="H354" i="44"/>
  <c r="H355" i="44"/>
  <c r="H356" i="44"/>
  <c r="H99" i="51"/>
  <c r="H88" i="51" a="1"/>
  <c r="I479" i="44" a="1"/>
  <c r="I479" i="44"/>
  <c r="I352" i="44"/>
  <c r="I353" i="44"/>
  <c r="I354" i="44" a="1"/>
  <c r="I354" i="44"/>
  <c r="I355" i="44"/>
  <c r="I356" i="44"/>
  <c r="I99" i="51"/>
  <c r="I88" i="51" a="1"/>
  <c r="J479" i="44" a="1"/>
  <c r="J479" i="44"/>
  <c r="J352" i="44"/>
  <c r="J353" i="44"/>
  <c r="J354" i="44" a="1"/>
  <c r="J354" i="44"/>
  <c r="J355" i="44"/>
  <c r="J356" i="44"/>
  <c r="J99" i="51"/>
  <c r="J88" i="51" a="1"/>
  <c r="K479" i="44" a="1"/>
  <c r="K479" i="44"/>
  <c r="K352" i="44"/>
  <c r="K353" i="44"/>
  <c r="K354" i="44" a="1"/>
  <c r="K354" i="44"/>
  <c r="K355" i="44"/>
  <c r="K356" i="44"/>
  <c r="K99" i="51"/>
  <c r="K88" i="51" a="1"/>
  <c r="G100" i="51"/>
  <c r="G89" i="51" a="1"/>
  <c r="H480" i="44" a="1"/>
  <c r="H480" i="44"/>
  <c r="H359" i="44"/>
  <c r="H360" i="44"/>
  <c r="H361" i="44" a="1"/>
  <c r="H361" i="44"/>
  <c r="H362" i="44"/>
  <c r="H363" i="44"/>
  <c r="H100" i="51"/>
  <c r="H89" i="51" a="1"/>
  <c r="I480" i="44" a="1"/>
  <c r="I480" i="44"/>
  <c r="I359" i="44"/>
  <c r="I360" i="44"/>
  <c r="I361" i="44" a="1"/>
  <c r="I361" i="44"/>
  <c r="I362" i="44"/>
  <c r="I363" i="44"/>
  <c r="I100" i="51"/>
  <c r="I89" i="51" a="1"/>
  <c r="J480" i="44" a="1"/>
  <c r="J480" i="44"/>
  <c r="J359" i="44"/>
  <c r="J360" i="44"/>
  <c r="J361" i="44" a="1"/>
  <c r="J361" i="44"/>
  <c r="J362" i="44"/>
  <c r="J363" i="44"/>
  <c r="J100" i="51"/>
  <c r="J89" i="51" a="1"/>
  <c r="K480" i="44" a="1"/>
  <c r="K480" i="44"/>
  <c r="K359" i="44"/>
  <c r="K360" i="44"/>
  <c r="K361" i="44" a="1"/>
  <c r="K361" i="44"/>
  <c r="K362" i="44"/>
  <c r="K363" i="44"/>
  <c r="K100" i="51"/>
  <c r="K89" i="51" a="1"/>
  <c r="G82" i="51"/>
  <c r="H82" i="51"/>
  <c r="I82" i="51"/>
  <c r="J82" i="51"/>
  <c r="K82" i="51"/>
  <c r="G83" i="51"/>
  <c r="H83" i="51"/>
  <c r="I83" i="51"/>
  <c r="J83" i="51"/>
  <c r="K83" i="51"/>
  <c r="G84" i="51"/>
  <c r="H84" i="51"/>
  <c r="I84" i="51"/>
  <c r="J84" i="51"/>
  <c r="K84" i="51"/>
  <c r="G85" i="51"/>
  <c r="H85" i="51"/>
  <c r="I85" i="51"/>
  <c r="J85" i="51"/>
  <c r="K85" i="51"/>
  <c r="H86" i="51"/>
  <c r="I86" i="51"/>
  <c r="J86" i="51"/>
  <c r="K86" i="51"/>
  <c r="H87" i="51"/>
  <c r="I87" i="51"/>
  <c r="J87" i="51"/>
  <c r="K87" i="51"/>
  <c r="G88" i="51"/>
  <c r="H88" i="51"/>
  <c r="I88" i="51"/>
  <c r="J88" i="51"/>
  <c r="K88" i="51"/>
  <c r="G89" i="51"/>
  <c r="H89" i="51"/>
  <c r="I89" i="51"/>
  <c r="J89" i="51"/>
  <c r="K89" i="51"/>
  <c r="D7" i="50"/>
  <c r="E26" i="50"/>
  <c r="G13" i="51" a="1"/>
  <c r="G13" i="51"/>
  <c r="G14" i="51" a="1"/>
  <c r="G14" i="51"/>
  <c r="G9" i="51" a="1"/>
  <c r="H9" i="51" a="1"/>
  <c r="I9" i="51" a="1"/>
  <c r="J9" i="51" a="1"/>
  <c r="K9" i="51" a="1"/>
  <c r="G10" i="51" a="1"/>
  <c r="H10" i="51" a="1"/>
  <c r="I10" i="51" a="1"/>
  <c r="J10" i="51" a="1"/>
  <c r="K10" i="51" a="1"/>
  <c r="G11" i="51" a="1"/>
  <c r="H11" i="51" a="1"/>
  <c r="I11" i="51" a="1"/>
  <c r="J11" i="51" a="1"/>
  <c r="K11" i="51" a="1"/>
  <c r="G12" i="51" a="1"/>
  <c r="H12" i="51" a="1"/>
  <c r="I12" i="51" a="1"/>
  <c r="J12" i="51" a="1"/>
  <c r="K12" i="51" a="1"/>
  <c r="H13" i="51" a="1"/>
  <c r="I13" i="51" a="1"/>
  <c r="J13" i="51" a="1"/>
  <c r="K13" i="51" a="1"/>
  <c r="H14" i="51" a="1"/>
  <c r="I14" i="51" a="1"/>
  <c r="J14" i="51" a="1"/>
  <c r="K14" i="51" a="1"/>
  <c r="G15" i="51" a="1"/>
  <c r="H15" i="51" a="1"/>
  <c r="I15" i="51" a="1"/>
  <c r="J15" i="51" a="1"/>
  <c r="K15" i="51" a="1"/>
  <c r="G16" i="51" a="1"/>
  <c r="H16" i="51" a="1"/>
  <c r="I16" i="51" a="1"/>
  <c r="J16" i="51" a="1"/>
  <c r="K16" i="51" a="1"/>
  <c r="G9" i="51"/>
  <c r="H9" i="51"/>
  <c r="I9" i="51"/>
  <c r="J9" i="51"/>
  <c r="K9" i="51"/>
  <c r="G10" i="51"/>
  <c r="H10" i="51"/>
  <c r="I10" i="51"/>
  <c r="J10" i="51"/>
  <c r="K10" i="51"/>
  <c r="G11" i="51"/>
  <c r="H11" i="51"/>
  <c r="I11" i="51"/>
  <c r="J11" i="51"/>
  <c r="K11" i="51"/>
  <c r="G12" i="51"/>
  <c r="H12" i="51"/>
  <c r="I12" i="51"/>
  <c r="J12" i="51"/>
  <c r="K12" i="51"/>
  <c r="H13" i="51"/>
  <c r="I13" i="51"/>
  <c r="J13" i="51"/>
  <c r="K13" i="51"/>
  <c r="H14" i="51"/>
  <c r="I14" i="51"/>
  <c r="J14" i="51"/>
  <c r="K14" i="51"/>
  <c r="G15" i="51"/>
  <c r="H15" i="51"/>
  <c r="I15" i="51"/>
  <c r="J15" i="51"/>
  <c r="K15" i="51"/>
  <c r="G16" i="51"/>
  <c r="H16" i="51"/>
  <c r="I16" i="51"/>
  <c r="J16" i="51"/>
  <c r="K16" i="51"/>
  <c r="E12" i="50"/>
  <c r="H31" i="63" a="1"/>
  <c r="H31" i="63"/>
  <c r="Q32" i="51" a="1"/>
  <c r="I31" i="63" a="1"/>
  <c r="I31" i="63"/>
  <c r="R32" i="51" a="1"/>
  <c r="J31" i="63" a="1"/>
  <c r="J31" i="63"/>
  <c r="S32" i="51" a="1"/>
  <c r="K31" i="63" a="1"/>
  <c r="K31" i="63"/>
  <c r="T32" i="51" a="1"/>
  <c r="L31" i="63" a="1"/>
  <c r="L31" i="63"/>
  <c r="U32" i="51" a="1"/>
  <c r="Q33" i="51" a="1"/>
  <c r="R33" i="51" a="1"/>
  <c r="S33" i="51" a="1"/>
  <c r="T33" i="51" a="1"/>
  <c r="U33" i="51" a="1"/>
  <c r="Q37" i="51" a="1"/>
  <c r="R37" i="51" a="1"/>
  <c r="S37" i="51" a="1"/>
  <c r="T37" i="51" a="1"/>
  <c r="U37" i="51" a="1"/>
  <c r="Q38" i="51" a="1"/>
  <c r="R38" i="51" a="1"/>
  <c r="S38" i="51" a="1"/>
  <c r="T38" i="51" a="1"/>
  <c r="U38" i="51" a="1"/>
  <c r="Q39" i="51" a="1"/>
  <c r="R39" i="51" a="1"/>
  <c r="S39" i="51" a="1"/>
  <c r="T39" i="51" a="1"/>
  <c r="U39" i="51" a="1"/>
  <c r="Q32" i="51"/>
  <c r="R32" i="51"/>
  <c r="S32" i="51"/>
  <c r="T32" i="51"/>
  <c r="U32" i="51"/>
  <c r="Q33" i="51"/>
  <c r="R33" i="51"/>
  <c r="S33" i="51"/>
  <c r="T33" i="51"/>
  <c r="U33" i="51"/>
  <c r="Q37" i="51"/>
  <c r="R37" i="51"/>
  <c r="S37" i="51"/>
  <c r="T37" i="51"/>
  <c r="U37" i="51"/>
  <c r="Q38" i="51"/>
  <c r="R38" i="51"/>
  <c r="S38" i="51"/>
  <c r="T38" i="51"/>
  <c r="U38" i="51"/>
  <c r="Q39" i="51"/>
  <c r="R39" i="51"/>
  <c r="S39" i="51"/>
  <c r="T39" i="51"/>
  <c r="U39" i="51"/>
  <c r="E25" i="50"/>
  <c r="E67" i="52"/>
  <c r="F67" i="52"/>
  <c r="G67" i="52"/>
  <c r="H67" i="52"/>
  <c r="I67" i="52"/>
  <c r="D68" i="52"/>
  <c r="E68" i="52"/>
  <c r="F68" i="52"/>
  <c r="G68" i="52"/>
  <c r="H68" i="52"/>
  <c r="I68" i="52"/>
  <c r="H209" i="44" a="1"/>
  <c r="H209" i="44"/>
  <c r="H42" i="44"/>
  <c r="H43" i="44"/>
  <c r="H44" i="44" a="1"/>
  <c r="H44" i="44"/>
  <c r="H45" i="44"/>
  <c r="H46" i="44"/>
  <c r="H47" i="44"/>
  <c r="R24" i="51"/>
  <c r="R13" i="51" a="1"/>
  <c r="R13" i="51"/>
  <c r="F60" i="63"/>
  <c r="E11" i="50"/>
  <c r="D21" i="50"/>
  <c r="E15" i="50" a="1"/>
  <c r="E15" i="50"/>
  <c r="F11" i="50"/>
  <c r="F15" i="50" a="1"/>
  <c r="F15" i="50"/>
  <c r="G11" i="50"/>
  <c r="G15" i="50" a="1"/>
  <c r="H11" i="50"/>
  <c r="H15" i="50" a="1"/>
  <c r="I11" i="50"/>
  <c r="I15" i="50" a="1"/>
  <c r="E16" i="50" a="1"/>
  <c r="F12" i="50"/>
  <c r="F16" i="50" a="1"/>
  <c r="G12" i="50"/>
  <c r="G16" i="50" a="1"/>
  <c r="H12" i="50"/>
  <c r="H16" i="50" a="1"/>
  <c r="I12" i="50"/>
  <c r="I16" i="50" a="1"/>
  <c r="E13" i="50"/>
  <c r="E17" i="50" a="1"/>
  <c r="F13" i="50"/>
  <c r="F17" i="50" a="1"/>
  <c r="G13" i="50"/>
  <c r="G17" i="50" a="1"/>
  <c r="H13" i="50"/>
  <c r="H17" i="50" a="1"/>
  <c r="I13" i="50"/>
  <c r="I17" i="50" a="1"/>
  <c r="G15" i="50"/>
  <c r="H15" i="50"/>
  <c r="I15" i="50"/>
  <c r="E16" i="50"/>
  <c r="F16" i="50"/>
  <c r="G16" i="50"/>
  <c r="H16" i="50"/>
  <c r="I16" i="50"/>
  <c r="E17" i="50"/>
  <c r="F17" i="50"/>
  <c r="G17" i="50"/>
  <c r="H17" i="50"/>
  <c r="I17" i="50"/>
  <c r="G209" i="44" a="1"/>
  <c r="G209" i="44"/>
  <c r="G42" i="44"/>
  <c r="G43" i="44"/>
  <c r="G44" i="44" a="1"/>
  <c r="G44" i="44"/>
  <c r="G45" i="44"/>
  <c r="G46" i="44"/>
  <c r="G47" i="44"/>
  <c r="Q24" i="51"/>
  <c r="Q13" i="51" a="1"/>
  <c r="Q13" i="51"/>
  <c r="Q25" i="51"/>
  <c r="Q14" i="51" a="1"/>
  <c r="Q14" i="51"/>
  <c r="Q9" i="51" a="1"/>
  <c r="R9" i="51" a="1"/>
  <c r="S9" i="51" a="1"/>
  <c r="T9" i="51" a="1"/>
  <c r="U9" i="51" a="1"/>
  <c r="Q10" i="51" a="1"/>
  <c r="R10" i="51" a="1"/>
  <c r="S10" i="51" a="1"/>
  <c r="T10" i="51" a="1"/>
  <c r="U10" i="51" a="1"/>
  <c r="Q11" i="51" a="1"/>
  <c r="R11" i="51" a="1"/>
  <c r="S11" i="51" a="1"/>
  <c r="T11" i="51" a="1"/>
  <c r="U11" i="51" a="1"/>
  <c r="Q12" i="51" a="1"/>
  <c r="R12" i="51" a="1"/>
  <c r="S12" i="51" a="1"/>
  <c r="T12" i="51" a="1"/>
  <c r="U12" i="51" a="1"/>
  <c r="I209" i="44" a="1"/>
  <c r="I209" i="44"/>
  <c r="I42" i="44"/>
  <c r="I43" i="44"/>
  <c r="I44" i="44" a="1"/>
  <c r="I44" i="44"/>
  <c r="I45" i="44"/>
  <c r="I46" i="44"/>
  <c r="I47" i="44"/>
  <c r="S24" i="51"/>
  <c r="S13" i="51" a="1"/>
  <c r="J209" i="44" a="1"/>
  <c r="J209" i="44"/>
  <c r="J42" i="44"/>
  <c r="J43" i="44"/>
  <c r="J44" i="44" a="1"/>
  <c r="J44" i="44"/>
  <c r="J45" i="44"/>
  <c r="J46" i="44"/>
  <c r="J47" i="44"/>
  <c r="T24" i="51"/>
  <c r="T13" i="51" a="1"/>
  <c r="K209" i="44" a="1"/>
  <c r="K209" i="44"/>
  <c r="K42" i="44"/>
  <c r="K43" i="44"/>
  <c r="K44" i="44" a="1"/>
  <c r="K44" i="44"/>
  <c r="K45" i="44"/>
  <c r="K46" i="44"/>
  <c r="K47" i="44"/>
  <c r="U24" i="51"/>
  <c r="U13" i="51" a="1"/>
  <c r="H223" i="44" a="1"/>
  <c r="H223" i="44"/>
  <c r="H129" i="44"/>
  <c r="H130" i="44"/>
  <c r="H131" i="44" a="1"/>
  <c r="H131" i="44"/>
  <c r="H132" i="44"/>
  <c r="H133" i="44"/>
  <c r="R25" i="51"/>
  <c r="R14" i="51" a="1"/>
  <c r="I223" i="44" a="1"/>
  <c r="I223" i="44"/>
  <c r="I129" i="44"/>
  <c r="I130" i="44"/>
  <c r="I131" i="44" a="1"/>
  <c r="I131" i="44"/>
  <c r="I132" i="44"/>
  <c r="I133" i="44"/>
  <c r="S25" i="51"/>
  <c r="S14" i="51" a="1"/>
  <c r="J223" i="44" a="1"/>
  <c r="J223" i="44"/>
  <c r="J129" i="44"/>
  <c r="J130" i="44"/>
  <c r="J131" i="44" a="1"/>
  <c r="J131" i="44"/>
  <c r="J132" i="44"/>
  <c r="J133" i="44"/>
  <c r="T25" i="51"/>
  <c r="T14" i="51" a="1"/>
  <c r="K223" i="44" a="1"/>
  <c r="K223" i="44"/>
  <c r="K129" i="44"/>
  <c r="K130" i="44"/>
  <c r="K131" i="44" a="1"/>
  <c r="K131" i="44"/>
  <c r="K132" i="44"/>
  <c r="K133" i="44"/>
  <c r="U25" i="51"/>
  <c r="U14" i="51" a="1"/>
  <c r="Q26" i="51"/>
  <c r="Q15" i="51" a="1"/>
  <c r="H224" i="44" a="1"/>
  <c r="H224" i="44"/>
  <c r="H136" i="44"/>
  <c r="H137" i="44"/>
  <c r="H138" i="44" a="1"/>
  <c r="H138" i="44"/>
  <c r="H139" i="44"/>
  <c r="H140" i="44"/>
  <c r="R26" i="51"/>
  <c r="R15" i="51" a="1"/>
  <c r="I224" i="44" a="1"/>
  <c r="I224" i="44"/>
  <c r="I136" i="44"/>
  <c r="I137" i="44"/>
  <c r="I138" i="44" a="1"/>
  <c r="I138" i="44"/>
  <c r="I139" i="44"/>
  <c r="I140" i="44"/>
  <c r="S26" i="51"/>
  <c r="S15" i="51" a="1"/>
  <c r="J224" i="44" a="1"/>
  <c r="J224" i="44"/>
  <c r="J136" i="44"/>
  <c r="J137" i="44"/>
  <c r="J138" i="44" a="1"/>
  <c r="J138" i="44"/>
  <c r="J139" i="44"/>
  <c r="J140" i="44"/>
  <c r="T26" i="51"/>
  <c r="T15" i="51" a="1"/>
  <c r="K224" i="44" a="1"/>
  <c r="K224" i="44"/>
  <c r="K136" i="44"/>
  <c r="K137" i="44"/>
  <c r="K138" i="44" a="1"/>
  <c r="K138" i="44"/>
  <c r="K139" i="44"/>
  <c r="K140" i="44"/>
  <c r="U26" i="51"/>
  <c r="U15" i="51" a="1"/>
  <c r="Q16" i="51" a="1"/>
  <c r="R16" i="51" a="1"/>
  <c r="S16" i="51" a="1"/>
  <c r="T16" i="51" a="1"/>
  <c r="U16" i="51" a="1"/>
  <c r="Q9" i="51"/>
  <c r="R9" i="51"/>
  <c r="S9" i="51"/>
  <c r="T9" i="51"/>
  <c r="U9" i="51"/>
  <c r="Q10" i="51"/>
  <c r="R10" i="51"/>
  <c r="S10" i="51"/>
  <c r="T10" i="51"/>
  <c r="U10" i="51"/>
  <c r="Q11" i="51"/>
  <c r="R11" i="51"/>
  <c r="S11" i="51"/>
  <c r="T11" i="51"/>
  <c r="U11" i="51"/>
  <c r="Q12" i="51"/>
  <c r="R12" i="51"/>
  <c r="S12" i="51"/>
  <c r="T12" i="51"/>
  <c r="U12" i="51"/>
  <c r="S13" i="51"/>
  <c r="T13" i="51"/>
  <c r="U13" i="51"/>
  <c r="R14" i="51"/>
  <c r="S14" i="51"/>
  <c r="T14" i="51"/>
  <c r="U14" i="51"/>
  <c r="Q15" i="51"/>
  <c r="R15" i="51"/>
  <c r="S15" i="51"/>
  <c r="T15" i="51"/>
  <c r="U15" i="51"/>
  <c r="Q16" i="51"/>
  <c r="R16" i="51"/>
  <c r="S16" i="51"/>
  <c r="T16" i="51"/>
  <c r="U16" i="51"/>
  <c r="M11" i="50"/>
  <c r="M15" i="50" a="1"/>
  <c r="N11" i="50"/>
  <c r="N15" i="50" a="1"/>
  <c r="O11" i="50"/>
  <c r="O15" i="50" a="1"/>
  <c r="P11" i="50"/>
  <c r="P15" i="50" a="1"/>
  <c r="Q11" i="50"/>
  <c r="Q15" i="50" a="1"/>
  <c r="M12" i="50"/>
  <c r="M16" i="50" a="1"/>
  <c r="N12" i="50"/>
  <c r="N16" i="50" a="1"/>
  <c r="O12" i="50"/>
  <c r="O16" i="50" a="1"/>
  <c r="P12" i="50"/>
  <c r="P16" i="50" a="1"/>
  <c r="Q12" i="50"/>
  <c r="Q16" i="50" a="1"/>
  <c r="M13" i="50"/>
  <c r="M17" i="50" a="1"/>
  <c r="N13" i="50"/>
  <c r="N17" i="50" a="1"/>
  <c r="O13" i="50"/>
  <c r="O17" i="50" a="1"/>
  <c r="P13" i="50"/>
  <c r="P17" i="50" a="1"/>
  <c r="Q13" i="50"/>
  <c r="Q17" i="50" a="1"/>
  <c r="M15" i="50"/>
  <c r="N15" i="50"/>
  <c r="O15" i="50"/>
  <c r="P15" i="50"/>
  <c r="Q15" i="50"/>
  <c r="M16" i="50"/>
  <c r="N16" i="50"/>
  <c r="O16" i="50"/>
  <c r="P16" i="50"/>
  <c r="Q16" i="50"/>
  <c r="M17" i="50"/>
  <c r="N17" i="50"/>
  <c r="O17" i="50"/>
  <c r="P17" i="50"/>
  <c r="Q17" i="50"/>
  <c r="G3" i="50"/>
  <c r="E187" i="44"/>
  <c r="E190" i="44"/>
  <c r="E191" i="44"/>
  <c r="E192" i="44"/>
  <c r="E193" i="44"/>
  <c r="E194" i="44"/>
  <c r="E198" i="44"/>
  <c r="E199" i="44"/>
  <c r="E200" i="44"/>
  <c r="D70" i="52"/>
  <c r="E70" i="52"/>
  <c r="F70" i="52"/>
  <c r="G70" i="52"/>
  <c r="H70" i="52"/>
  <c r="E35" i="52"/>
  <c r="F35" i="52"/>
  <c r="Q51" i="52"/>
  <c r="G35" i="52"/>
  <c r="H35" i="52"/>
  <c r="I35" i="52"/>
  <c r="J35" i="52"/>
  <c r="K35" i="52"/>
  <c r="M35" i="52"/>
  <c r="F3" i="52"/>
  <c r="G23" i="44" a="1"/>
  <c r="G23" i="44"/>
  <c r="H23" i="44" a="1"/>
  <c r="H23" i="44"/>
  <c r="I23" i="44" a="1"/>
  <c r="J23" i="44" a="1"/>
  <c r="K23" i="44" a="1"/>
  <c r="G48" i="44" a="1"/>
  <c r="H48" i="44" a="1"/>
  <c r="I48" i="44" a="1"/>
  <c r="J48" i="44" a="1"/>
  <c r="K48" i="44" a="1"/>
  <c r="I23" i="44"/>
  <c r="J23" i="44"/>
  <c r="K23" i="44"/>
  <c r="G48" i="44"/>
  <c r="H48" i="44"/>
  <c r="I48" i="44"/>
  <c r="J48" i="44"/>
  <c r="K48" i="44"/>
  <c r="G67" i="44"/>
  <c r="H67" i="44" a="1"/>
  <c r="H67" i="44"/>
  <c r="I67" i="44" a="1"/>
  <c r="J67" i="44" a="1"/>
  <c r="K67" i="44" a="1"/>
  <c r="H74" i="44" a="1"/>
  <c r="I74" i="44" a="1"/>
  <c r="J74" i="44" a="1"/>
  <c r="K74" i="44" a="1"/>
  <c r="H81" i="44" a="1"/>
  <c r="I81" i="44" a="1"/>
  <c r="J81" i="44" a="1"/>
  <c r="K81" i="44" a="1"/>
  <c r="H89" i="44" a="1"/>
  <c r="I89" i="44" a="1"/>
  <c r="J89" i="44" a="1"/>
  <c r="K89" i="44" a="1"/>
  <c r="H103" i="44" a="1"/>
  <c r="I103" i="44" a="1"/>
  <c r="J103" i="44" a="1"/>
  <c r="K103" i="44" a="1"/>
  <c r="H112" i="44" a="1"/>
  <c r="I112" i="44" a="1"/>
  <c r="J112" i="44" a="1"/>
  <c r="K112" i="44" a="1"/>
  <c r="H119" i="44" a="1"/>
  <c r="I119" i="44" a="1"/>
  <c r="J119" i="44" a="1"/>
  <c r="K119" i="44" a="1"/>
  <c r="H126" i="44" a="1"/>
  <c r="I126" i="44" a="1"/>
  <c r="J126" i="44" a="1"/>
  <c r="K126" i="44" a="1"/>
  <c r="H134" i="44" a="1"/>
  <c r="I134" i="44" a="1"/>
  <c r="J134" i="44" a="1"/>
  <c r="K134" i="44" a="1"/>
  <c r="G141" i="44" a="1"/>
  <c r="H141" i="44" a="1"/>
  <c r="I141" i="44" a="1"/>
  <c r="J141" i="44" a="1"/>
  <c r="K141" i="44" a="1"/>
  <c r="H96" i="44" a="1"/>
  <c r="I96" i="44" a="1"/>
  <c r="J96" i="44" a="1"/>
  <c r="K96" i="44" a="1"/>
  <c r="I67" i="44"/>
  <c r="J67" i="44"/>
  <c r="K67" i="44"/>
  <c r="G74" i="44"/>
  <c r="H74" i="44"/>
  <c r="I74" i="44"/>
  <c r="J74" i="44"/>
  <c r="K74" i="44"/>
  <c r="G81" i="44"/>
  <c r="H81" i="44"/>
  <c r="I81" i="44"/>
  <c r="J81" i="44"/>
  <c r="K81" i="44"/>
  <c r="G89" i="44"/>
  <c r="H89" i="44"/>
  <c r="I89" i="44"/>
  <c r="J89" i="44"/>
  <c r="K89" i="44"/>
  <c r="G103" i="44"/>
  <c r="H103" i="44"/>
  <c r="I103" i="44"/>
  <c r="J103" i="44"/>
  <c r="K103" i="44"/>
  <c r="G112" i="44"/>
  <c r="H112" i="44"/>
  <c r="I112" i="44"/>
  <c r="J112" i="44"/>
  <c r="K112" i="44"/>
  <c r="G119" i="44"/>
  <c r="H119" i="44"/>
  <c r="I119" i="44"/>
  <c r="J119" i="44"/>
  <c r="K119" i="44"/>
  <c r="G126" i="44"/>
  <c r="H126" i="44"/>
  <c r="I126" i="44"/>
  <c r="J126" i="44"/>
  <c r="K126" i="44"/>
  <c r="G134" i="44"/>
  <c r="H134" i="44"/>
  <c r="I134" i="44"/>
  <c r="J134" i="44"/>
  <c r="K134" i="44"/>
  <c r="G141" i="44"/>
  <c r="H141" i="44"/>
  <c r="I141" i="44"/>
  <c r="J141" i="44"/>
  <c r="K141" i="44"/>
  <c r="G96" i="44"/>
  <c r="H96" i="44"/>
  <c r="I96" i="44"/>
  <c r="J96" i="44"/>
  <c r="K96" i="44"/>
  <c r="D3" i="44"/>
  <c r="G36" i="52"/>
  <c r="G37" i="52"/>
  <c r="G40" i="52"/>
  <c r="K36" i="52"/>
  <c r="G39" i="52"/>
  <c r="E20" i="48"/>
  <c r="AB57" i="42"/>
  <c r="AB58" i="42"/>
  <c r="AB59" i="42"/>
  <c r="AB60" i="42"/>
  <c r="AB61" i="42"/>
  <c r="AB62" i="42"/>
  <c r="AB63" i="42"/>
  <c r="AB64" i="42"/>
  <c r="AB65" i="42"/>
  <c r="AB66" i="42"/>
  <c r="AB67" i="42"/>
  <c r="AB68" i="42"/>
  <c r="AB69" i="42"/>
  <c r="AB70" i="42"/>
  <c r="AB71" i="42"/>
  <c r="AB72" i="42"/>
  <c r="AB73" i="42"/>
  <c r="AB74" i="42"/>
  <c r="AB75" i="42"/>
  <c r="AB76" i="42"/>
  <c r="Q68" i="52"/>
  <c r="Q67" i="52"/>
  <c r="H100" i="63"/>
  <c r="H106" i="63"/>
  <c r="H112" i="63"/>
  <c r="H123" i="63"/>
  <c r="H128" i="63"/>
  <c r="I101" i="63"/>
  <c r="I107" i="63"/>
  <c r="I108" i="63"/>
  <c r="I113" i="63"/>
  <c r="I114" i="63"/>
  <c r="I124" i="63"/>
  <c r="I125" i="63"/>
  <c r="I129" i="63"/>
  <c r="I130" i="63"/>
  <c r="J101" i="63"/>
  <c r="J107" i="63"/>
  <c r="J102" i="63"/>
  <c r="J108" i="63"/>
  <c r="J113" i="63"/>
  <c r="J114" i="63"/>
  <c r="J119" i="63"/>
  <c r="J120" i="63"/>
  <c r="J129" i="63"/>
  <c r="J130" i="63"/>
  <c r="K107" i="63"/>
  <c r="K102" i="63"/>
  <c r="K108" i="63"/>
  <c r="K113" i="63"/>
  <c r="K114" i="63"/>
  <c r="K119" i="63"/>
  <c r="K120" i="63"/>
  <c r="K124" i="63"/>
  <c r="K125" i="63"/>
  <c r="K129" i="63"/>
  <c r="K130" i="63"/>
  <c r="L101" i="63"/>
  <c r="L107" i="63"/>
  <c r="L102" i="63"/>
  <c r="L108" i="63"/>
  <c r="L113" i="63"/>
  <c r="L114" i="63"/>
  <c r="L119" i="63"/>
  <c r="L120" i="63"/>
  <c r="L124" i="63"/>
  <c r="L125" i="63"/>
  <c r="L130" i="63"/>
  <c r="H230" i="63"/>
  <c r="H231" i="63"/>
  <c r="H241" i="63"/>
  <c r="H242" i="63"/>
  <c r="H252" i="63"/>
  <c r="H253" i="63"/>
  <c r="I243" i="63"/>
  <c r="I233" i="63"/>
  <c r="I234" i="63"/>
  <c r="I235" i="63"/>
  <c r="I244" i="63"/>
  <c r="I245" i="63"/>
  <c r="I254" i="63"/>
  <c r="I255" i="63"/>
  <c r="I257" i="63"/>
  <c r="I258" i="63"/>
  <c r="J232" i="63"/>
  <c r="J243" i="63"/>
  <c r="J233" i="63"/>
  <c r="J234" i="63"/>
  <c r="J244" i="63"/>
  <c r="J245" i="63"/>
  <c r="J246" i="63"/>
  <c r="J254" i="63"/>
  <c r="J255" i="63"/>
  <c r="J257" i="63"/>
  <c r="J258" i="63"/>
  <c r="K232" i="63"/>
  <c r="K243" i="63"/>
  <c r="K233" i="63"/>
  <c r="K234" i="63"/>
  <c r="K235" i="63"/>
  <c r="K244" i="63"/>
  <c r="K246" i="63"/>
  <c r="K254" i="63"/>
  <c r="K257" i="63"/>
  <c r="K258" i="63"/>
  <c r="L232" i="63"/>
  <c r="L243" i="63"/>
  <c r="L233" i="63"/>
  <c r="L234" i="63"/>
  <c r="L235" i="63"/>
  <c r="L244" i="63"/>
  <c r="L245" i="63"/>
  <c r="L246" i="63"/>
  <c r="L254" i="63"/>
  <c r="L257" i="63"/>
  <c r="L258" i="63"/>
  <c r="Q68" i="51" a="1"/>
  <c r="Q68" i="51"/>
  <c r="R68" i="51" a="1"/>
  <c r="R68" i="51"/>
  <c r="S68" i="51" a="1"/>
  <c r="S68" i="51"/>
  <c r="T68" i="51" a="1"/>
  <c r="T68" i="51"/>
  <c r="U68" i="51" a="1"/>
  <c r="U68" i="51"/>
  <c r="Q141" i="51" a="1"/>
  <c r="Q141" i="51"/>
  <c r="R141" i="51" a="1"/>
  <c r="R141" i="51"/>
  <c r="S141" i="51" a="1"/>
  <c r="S141" i="51"/>
  <c r="T141" i="51" a="1"/>
  <c r="T141" i="51"/>
  <c r="U141" i="51" a="1"/>
  <c r="U141" i="51"/>
  <c r="F154" i="44"/>
  <c r="F155" i="44"/>
  <c r="F156" i="44"/>
  <c r="F157" i="44"/>
  <c r="F158" i="44"/>
  <c r="F159" i="44"/>
  <c r="F160" i="44"/>
  <c r="F161" i="44"/>
  <c r="F162" i="44"/>
  <c r="F163" i="44"/>
  <c r="F164" i="44"/>
  <c r="F150" i="44"/>
  <c r="F151" i="44"/>
  <c r="E7" i="82"/>
  <c r="R191" i="42"/>
  <c r="B3" i="47"/>
  <c r="B5" i="47"/>
  <c r="C2" i="47"/>
  <c r="C43" i="84"/>
  <c r="C5" i="84"/>
  <c r="B3" i="84"/>
  <c r="B5" i="84"/>
  <c r="C2" i="84"/>
  <c r="C43" i="80"/>
  <c r="C5" i="80"/>
  <c r="B3" i="80"/>
  <c r="B5" i="80"/>
  <c r="B43" i="80"/>
  <c r="C2" i="80"/>
  <c r="C43" i="52"/>
  <c r="C5" i="52"/>
  <c r="B3" i="52"/>
  <c r="B5" i="52"/>
  <c r="B43" i="52"/>
  <c r="C2" i="52"/>
  <c r="E18" i="48"/>
  <c r="E17" i="48"/>
  <c r="E16" i="48"/>
  <c r="E15" i="48"/>
  <c r="E14" i="48"/>
  <c r="E13" i="48"/>
  <c r="E12" i="48"/>
  <c r="E11" i="48"/>
  <c r="E10" i="48"/>
  <c r="E9" i="48"/>
  <c r="E8" i="48"/>
  <c r="B3" i="48"/>
  <c r="B5" i="48"/>
  <c r="C2" i="48"/>
  <c r="B3" i="63"/>
  <c r="B7" i="63"/>
  <c r="C2" i="63"/>
  <c r="F315" i="49"/>
  <c r="G313" i="49"/>
  <c r="G315" i="49"/>
  <c r="G312" i="49"/>
  <c r="I312" i="49"/>
  <c r="I314" i="49"/>
  <c r="D229" i="49"/>
  <c r="O135" i="49"/>
  <c r="N135" i="49"/>
  <c r="M135" i="49"/>
  <c r="L135" i="49"/>
  <c r="K135" i="49"/>
  <c r="G97" i="49"/>
  <c r="I97" i="49"/>
  <c r="G96" i="49"/>
  <c r="I96" i="49"/>
  <c r="G93" i="49"/>
  <c r="G95" i="49"/>
  <c r="G92" i="49"/>
  <c r="I92" i="49"/>
  <c r="I94" i="49"/>
  <c r="D10" i="49"/>
  <c r="B3" i="49"/>
  <c r="B7" i="49"/>
  <c r="C2" i="49"/>
  <c r="E425" i="44"/>
  <c r="E424" i="44"/>
  <c r="E423" i="44"/>
  <c r="E422" i="44"/>
  <c r="E421" i="44"/>
  <c r="E420" i="44"/>
  <c r="E419" i="44"/>
  <c r="E418" i="44"/>
  <c r="F417" i="44"/>
  <c r="E417" i="44"/>
  <c r="F416" i="44"/>
  <c r="E416" i="44"/>
  <c r="F415" i="44"/>
  <c r="E415" i="44"/>
  <c r="F414" i="44"/>
  <c r="E414" i="44"/>
  <c r="F413" i="44"/>
  <c r="E413" i="44"/>
  <c r="F412" i="44"/>
  <c r="E412" i="44"/>
  <c r="F411" i="44"/>
  <c r="E411" i="44"/>
  <c r="F410" i="44"/>
  <c r="E410" i="44"/>
  <c r="E164" i="44"/>
  <c r="E163" i="44"/>
  <c r="E162" i="44"/>
  <c r="E161" i="44"/>
  <c r="E160" i="44"/>
  <c r="E159" i="44"/>
  <c r="E158" i="44"/>
  <c r="E157" i="44"/>
  <c r="E156" i="44"/>
  <c r="E155" i="44"/>
  <c r="E154" i="44"/>
  <c r="F153" i="44"/>
  <c r="E153" i="44"/>
  <c r="F152" i="44"/>
  <c r="E152" i="44"/>
  <c r="E151" i="44"/>
  <c r="E150" i="44"/>
  <c r="F149" i="44"/>
  <c r="E149" i="44"/>
  <c r="B3" i="44"/>
  <c r="B7" i="44"/>
  <c r="B143" i="44"/>
  <c r="C2" i="44"/>
  <c r="B3" i="39"/>
  <c r="B5" i="39"/>
  <c r="B27" i="39"/>
  <c r="C2" i="39"/>
  <c r="M199" i="42"/>
  <c r="M198" i="42"/>
  <c r="M194" i="42"/>
  <c r="Q191" i="42"/>
  <c r="P191" i="42"/>
  <c r="O191" i="42"/>
  <c r="N191" i="42"/>
  <c r="M191" i="42"/>
  <c r="L191" i="42"/>
  <c r="K191" i="42"/>
  <c r="J191" i="42"/>
  <c r="I191" i="42"/>
  <c r="H191" i="42"/>
  <c r="B3" i="42"/>
  <c r="B12" i="42"/>
  <c r="C2" i="42"/>
  <c r="L36" i="50" a="1"/>
  <c r="L36" i="50"/>
  <c r="K36" i="50" a="1"/>
  <c r="K36" i="50"/>
  <c r="D36" i="50" a="1"/>
  <c r="D36" i="50"/>
  <c r="C36" i="50" a="1"/>
  <c r="C36" i="50"/>
  <c r="B3" i="50"/>
  <c r="C2" i="50"/>
  <c r="M137" i="51"/>
  <c r="C137" i="51"/>
  <c r="M126" i="51"/>
  <c r="C126" i="51"/>
  <c r="M115" i="51"/>
  <c r="C115" i="51"/>
  <c r="U89" i="51" a="1"/>
  <c r="U89" i="51"/>
  <c r="T89" i="51" a="1"/>
  <c r="T89" i="51"/>
  <c r="S89" i="51" a="1"/>
  <c r="S89" i="51"/>
  <c r="R89" i="51" a="1"/>
  <c r="R89" i="51"/>
  <c r="Q89" i="51" a="1"/>
  <c r="Q89" i="51"/>
  <c r="M64" i="51"/>
  <c r="C64" i="51"/>
  <c r="M53" i="51"/>
  <c r="C53" i="51"/>
  <c r="M42" i="51"/>
  <c r="C42" i="51"/>
  <c r="C3" i="51"/>
  <c r="B3" i="51"/>
  <c r="C2" i="51"/>
  <c r="D11" i="82" a="1"/>
  <c r="D11" i="82"/>
  <c r="C11" i="82" a="1"/>
  <c r="C11" i="82"/>
  <c r="E8" i="82"/>
  <c r="B3" i="82"/>
  <c r="B5" i="82"/>
  <c r="C2" i="82"/>
  <c r="B3" i="40"/>
  <c r="B5" i="40"/>
  <c r="C2" i="40"/>
  <c r="A2" i="4"/>
  <c r="B1" i="4"/>
  <c r="I313" i="49"/>
  <c r="I315" i="49"/>
  <c r="C36" i="84"/>
  <c r="C5" i="50"/>
  <c r="F2" i="51"/>
  <c r="F2" i="84"/>
  <c r="F2" i="80"/>
  <c r="I51" i="80"/>
  <c r="C39" i="84"/>
  <c r="C5" i="51"/>
  <c r="G2" i="50"/>
  <c r="F2" i="52"/>
  <c r="G2" i="52"/>
  <c r="G2" i="84"/>
  <c r="E2" i="44"/>
  <c r="H2" i="50"/>
  <c r="Q51" i="84"/>
  <c r="C78" i="51"/>
  <c r="G2" i="51"/>
  <c r="C19" i="50"/>
  <c r="D2" i="44"/>
  <c r="G2" i="80"/>
  <c r="I93" i="49"/>
  <c r="I95" i="49"/>
  <c r="Q51" i="80"/>
  <c r="C38" i="52"/>
  <c r="G314" i="49"/>
  <c r="G94" i="49"/>
  <c r="I51" i="84"/>
  <c r="D92" i="49"/>
  <c r="F92" i="49"/>
  <c r="I51" i="52"/>
  <c r="H70" i="51" a="1"/>
  <c r="H70" i="51"/>
  <c r="S143" i="51" a="1"/>
  <c r="S143" i="51"/>
  <c r="J235" i="63"/>
  <c r="R143" i="51" a="1"/>
  <c r="R143" i="51"/>
  <c r="T69" i="51" a="1"/>
  <c r="T69" i="51"/>
  <c r="I120" i="63"/>
  <c r="K101" i="63"/>
  <c r="I232" i="63"/>
  <c r="I102" i="63"/>
  <c r="I246" i="63"/>
  <c r="I119" i="63"/>
  <c r="J125" i="63"/>
  <c r="H118" i="63"/>
  <c r="J124" i="63"/>
  <c r="K255" i="63"/>
  <c r="K245" i="63"/>
  <c r="L129" i="63"/>
  <c r="L255" i="63"/>
  <c r="D73" i="49"/>
  <c r="E73" i="49"/>
  <c r="D307" i="49"/>
  <c r="D294" i="49"/>
  <c r="E294" i="49"/>
  <c r="K109" i="44" a="1"/>
  <c r="K109" i="44"/>
  <c r="B5" i="50"/>
  <c r="B50" i="63"/>
  <c r="B137" i="63"/>
  <c r="B177" i="44"/>
  <c r="B23" i="48"/>
  <c r="B81" i="48"/>
  <c r="B56" i="49"/>
  <c r="B226" i="49"/>
  <c r="B39" i="40"/>
  <c r="B106" i="40"/>
  <c r="B43" i="84"/>
  <c r="B5" i="51"/>
  <c r="B78" i="51"/>
  <c r="B144" i="42"/>
  <c r="B188" i="42"/>
  <c r="D96" i="49"/>
  <c r="F96" i="49"/>
  <c r="H96" i="49"/>
  <c r="J96" i="49"/>
  <c r="D85" i="49"/>
  <c r="F85" i="49"/>
  <c r="D97" i="49"/>
  <c r="F97" i="49"/>
  <c r="H97" i="49"/>
  <c r="J97" i="49"/>
  <c r="D95" i="49"/>
  <c r="D82" i="49"/>
  <c r="F82" i="49"/>
  <c r="D93" i="49"/>
  <c r="F93" i="49"/>
  <c r="D86" i="49"/>
  <c r="F86" i="49"/>
  <c r="F87" i="49"/>
  <c r="D88" i="49"/>
  <c r="F88" i="49"/>
  <c r="C36" i="80"/>
  <c r="C39" i="80"/>
  <c r="C35" i="52"/>
  <c r="D306" i="49"/>
  <c r="F306" i="49"/>
  <c r="C35" i="84"/>
  <c r="C38" i="84"/>
  <c r="D304" i="49"/>
  <c r="D316" i="49"/>
  <c r="I316" i="49"/>
  <c r="D315" i="49"/>
  <c r="D317" i="49"/>
  <c r="I317" i="49"/>
  <c r="D308" i="49"/>
  <c r="F308" i="49"/>
  <c r="C35" i="80"/>
  <c r="C38" i="80"/>
  <c r="D303" i="49"/>
  <c r="F303" i="49"/>
  <c r="D293" i="49"/>
  <c r="E293" i="49"/>
  <c r="D295" i="49"/>
  <c r="D296" i="49"/>
  <c r="D313" i="49"/>
  <c r="F313" i="49"/>
  <c r="H313" i="49"/>
  <c r="D314" i="49"/>
  <c r="E2" i="63"/>
  <c r="D327" i="49"/>
  <c r="F327" i="49"/>
  <c r="D267" i="49"/>
  <c r="F267" i="49"/>
  <c r="D435" i="49"/>
  <c r="F435" i="49"/>
  <c r="D389" i="49"/>
  <c r="F389" i="49"/>
  <c r="D338" i="49"/>
  <c r="F338" i="49"/>
  <c r="D394" i="49"/>
  <c r="F394" i="49"/>
  <c r="D239" i="49"/>
  <c r="F239" i="49"/>
  <c r="D264" i="49"/>
  <c r="F264" i="49"/>
  <c r="M264" i="49"/>
  <c r="D407" i="49"/>
  <c r="F407" i="49"/>
  <c r="D406" i="49"/>
  <c r="F406" i="49"/>
  <c r="D329" i="49"/>
  <c r="F329" i="49"/>
  <c r="D368" i="49"/>
  <c r="F368" i="49"/>
  <c r="D428" i="49"/>
  <c r="F428" i="49"/>
  <c r="D403" i="49"/>
  <c r="F403" i="49"/>
  <c r="D265" i="49"/>
  <c r="F265" i="49"/>
  <c r="D270" i="49"/>
  <c r="F270" i="49"/>
  <c r="D432" i="49"/>
  <c r="F432" i="49"/>
  <c r="K432" i="49" a="1"/>
  <c r="K432" i="49"/>
  <c r="D420" i="49"/>
  <c r="F420" i="49"/>
  <c r="D352" i="49"/>
  <c r="F352" i="49"/>
  <c r="D361" i="49"/>
  <c r="F361" i="49"/>
  <c r="D409" i="49"/>
  <c r="F409" i="49"/>
  <c r="D341" i="49"/>
  <c r="F341" i="49"/>
  <c r="L341" i="49" a="1"/>
  <c r="L341" i="49"/>
  <c r="D418" i="49"/>
  <c r="F418" i="49"/>
  <c r="D345" i="49"/>
  <c r="F345" i="49"/>
  <c r="D266" i="49"/>
  <c r="F266" i="49"/>
  <c r="D328" i="49"/>
  <c r="F328" i="49"/>
  <c r="D263" i="49"/>
  <c r="F263" i="49"/>
  <c r="D374" i="49"/>
  <c r="F374" i="49"/>
  <c r="O374" i="49" a="1"/>
  <c r="O374" i="49"/>
  <c r="D429" i="49"/>
  <c r="F429" i="49"/>
  <c r="D431" i="49"/>
  <c r="F431" i="49"/>
  <c r="M431" i="49" a="1"/>
  <c r="M431" i="49"/>
  <c r="D271" i="49"/>
  <c r="F271" i="49"/>
  <c r="D324" i="49"/>
  <c r="F324" i="49"/>
  <c r="D396" i="49"/>
  <c r="F396" i="49"/>
  <c r="D419" i="49"/>
  <c r="F419" i="49"/>
  <c r="D325" i="49"/>
  <c r="F325" i="49"/>
  <c r="D343" i="49"/>
  <c r="F343" i="49"/>
  <c r="D422" i="49"/>
  <c r="F422" i="49"/>
  <c r="D416" i="49"/>
  <c r="F416" i="49"/>
  <c r="D364" i="49"/>
  <c r="F364" i="49"/>
  <c r="D340" i="49"/>
  <c r="F340" i="49"/>
  <c r="K340" i="49" a="1"/>
  <c r="K340" i="49"/>
  <c r="D337" i="49"/>
  <c r="F337" i="49"/>
  <c r="O337" i="49" a="1"/>
  <c r="O337" i="49"/>
  <c r="D353" i="49"/>
  <c r="F353" i="49"/>
  <c r="D378" i="49"/>
  <c r="F378" i="49"/>
  <c r="M378" i="49" a="1"/>
  <c r="M378" i="49"/>
  <c r="D379" i="49"/>
  <c r="F379" i="49"/>
  <c r="D415" i="49"/>
  <c r="F415" i="49"/>
  <c r="D376" i="49"/>
  <c r="F376" i="49"/>
  <c r="D365" i="49"/>
  <c r="F365" i="49"/>
  <c r="D377" i="49"/>
  <c r="F377" i="49"/>
  <c r="D392" i="49"/>
  <c r="F392" i="49"/>
  <c r="D242" i="49"/>
  <c r="F242" i="49"/>
  <c r="D363" i="49"/>
  <c r="F363" i="49"/>
  <c r="D351" i="49"/>
  <c r="F351" i="49"/>
  <c r="D375" i="49"/>
  <c r="F375" i="49"/>
  <c r="D417" i="49"/>
  <c r="F417" i="49"/>
  <c r="D390" i="49"/>
  <c r="F390" i="49"/>
  <c r="D366" i="49"/>
  <c r="F366" i="49"/>
  <c r="D342" i="49"/>
  <c r="F342" i="49"/>
  <c r="N342" i="49" a="1"/>
  <c r="N342" i="49"/>
  <c r="D339" i="49"/>
  <c r="F339" i="49"/>
  <c r="D362" i="49"/>
  <c r="F362" i="49"/>
  <c r="D305" i="49"/>
  <c r="F305" i="49"/>
  <c r="D382" i="49"/>
  <c r="F382" i="49"/>
  <c r="D331" i="49"/>
  <c r="F331" i="49"/>
  <c r="D391" i="49"/>
  <c r="F391" i="49"/>
  <c r="D268" i="49"/>
  <c r="F268" i="49"/>
  <c r="D252" i="49"/>
  <c r="F252" i="49"/>
  <c r="D355" i="49"/>
  <c r="F355" i="49"/>
  <c r="D312" i="49"/>
  <c r="F312" i="49"/>
  <c r="D427" i="49"/>
  <c r="F427" i="49"/>
  <c r="K427" i="49" a="1"/>
  <c r="K427" i="49"/>
  <c r="D402" i="49"/>
  <c r="F402" i="49"/>
  <c r="O402" i="49" a="1"/>
  <c r="O402" i="49"/>
  <c r="D433" i="49"/>
  <c r="F433" i="49"/>
  <c r="D404" i="49"/>
  <c r="F404" i="49"/>
  <c r="L404" i="49" a="1"/>
  <c r="L404" i="49"/>
  <c r="D326" i="49"/>
  <c r="F326" i="49"/>
  <c r="D393" i="49"/>
  <c r="F393" i="49"/>
  <c r="D302" i="49"/>
  <c r="F302" i="49"/>
  <c r="D373" i="49"/>
  <c r="F373" i="49"/>
  <c r="L373" i="49" a="1"/>
  <c r="L373" i="49"/>
  <c r="D401" i="49"/>
  <c r="F401" i="49"/>
  <c r="N401" i="49" a="1"/>
  <c r="N401" i="49"/>
  <c r="D430" i="49"/>
  <c r="F430" i="49"/>
  <c r="D336" i="49"/>
  <c r="F336" i="49"/>
  <c r="M336" i="49" a="1"/>
  <c r="M336" i="49"/>
  <c r="D380" i="49"/>
  <c r="F380" i="49"/>
  <c r="D255" i="49"/>
  <c r="F255" i="49"/>
  <c r="D350" i="49"/>
  <c r="F350" i="49"/>
  <c r="D405" i="49"/>
  <c r="F405" i="49"/>
  <c r="D35" i="63"/>
  <c r="E35" i="63" a="1"/>
  <c r="E35" i="63"/>
  <c r="E36" i="63"/>
  <c r="D2" i="63"/>
  <c r="D33" i="49"/>
  <c r="F33" i="49"/>
  <c r="D209" i="49"/>
  <c r="F209" i="49"/>
  <c r="L209" i="49" a="1"/>
  <c r="L209" i="49"/>
  <c r="D120" i="49"/>
  <c r="F120" i="49"/>
  <c r="L120" i="49" a="1"/>
  <c r="L120" i="49"/>
  <c r="D160" i="49"/>
  <c r="F160" i="49"/>
  <c r="M160" i="49" a="1"/>
  <c r="M160" i="49"/>
  <c r="D107" i="49"/>
  <c r="F107" i="49"/>
  <c r="D23" i="49"/>
  <c r="F23" i="49"/>
  <c r="D116" i="49"/>
  <c r="F116" i="49"/>
  <c r="D170" i="49"/>
  <c r="F170" i="49"/>
  <c r="D20" i="49"/>
  <c r="F20" i="49"/>
  <c r="D44" i="49"/>
  <c r="F44" i="49"/>
  <c r="L44" i="49"/>
  <c r="D87" i="49"/>
  <c r="D212" i="49"/>
  <c r="F212" i="49"/>
  <c r="O212" i="49" a="1"/>
  <c r="O212" i="49"/>
  <c r="D214" i="49"/>
  <c r="F214" i="49"/>
  <c r="D121" i="49"/>
  <c r="F121" i="49"/>
  <c r="D184" i="49"/>
  <c r="F184" i="49"/>
  <c r="D74" i="49"/>
  <c r="E74" i="49"/>
  <c r="D75" i="49"/>
  <c r="D76" i="49"/>
  <c r="D158" i="49"/>
  <c r="F158" i="49"/>
  <c r="N158" i="49" a="1"/>
  <c r="N158" i="49"/>
  <c r="D197" i="49"/>
  <c r="F197" i="49"/>
  <c r="D52" i="49"/>
  <c r="F52" i="49"/>
  <c r="D200" i="49"/>
  <c r="F200" i="49"/>
  <c r="D143" i="49"/>
  <c r="F143" i="49"/>
  <c r="D175" i="49"/>
  <c r="F175" i="49"/>
  <c r="D84" i="49"/>
  <c r="D45" i="49"/>
  <c r="F45" i="49"/>
  <c r="N45" i="49"/>
  <c r="D161" i="49"/>
  <c r="F161" i="49"/>
  <c r="D132" i="49"/>
  <c r="F132" i="49"/>
  <c r="D182" i="49"/>
  <c r="F182" i="49"/>
  <c r="K182" i="49" a="1"/>
  <c r="K182" i="49"/>
  <c r="D47" i="49"/>
  <c r="F47" i="49"/>
  <c r="L47" i="49"/>
  <c r="D131" i="49"/>
  <c r="F131" i="49"/>
  <c r="D171" i="49"/>
  <c r="F171" i="49"/>
  <c r="D174" i="49"/>
  <c r="F174" i="49"/>
  <c r="D203" i="49"/>
  <c r="F203" i="49"/>
  <c r="D133" i="49"/>
  <c r="F133" i="49"/>
  <c r="D173" i="49"/>
  <c r="F173" i="49"/>
  <c r="D172" i="49"/>
  <c r="F172" i="49"/>
  <c r="D94" i="49"/>
  <c r="D123" i="49"/>
  <c r="F123" i="49"/>
  <c r="D157" i="49"/>
  <c r="F157" i="49"/>
  <c r="D213" i="49"/>
  <c r="F213" i="49"/>
  <c r="K213" i="49" a="1"/>
  <c r="K213" i="49"/>
  <c r="D149" i="49"/>
  <c r="F149" i="49"/>
  <c r="D49" i="49"/>
  <c r="F49" i="49"/>
  <c r="D147" i="49"/>
  <c r="F147" i="49"/>
  <c r="D198" i="49"/>
  <c r="F198" i="49"/>
  <c r="D146" i="49"/>
  <c r="F146" i="49"/>
  <c r="D105" i="49"/>
  <c r="F105" i="49"/>
  <c r="D83" i="49"/>
  <c r="F83" i="49"/>
  <c r="F84" i="49"/>
  <c r="D154" i="49"/>
  <c r="F154" i="49"/>
  <c r="D216" i="49"/>
  <c r="F216" i="49"/>
  <c r="D159" i="49"/>
  <c r="F159" i="49"/>
  <c r="O159" i="49" a="1"/>
  <c r="O159" i="49"/>
  <c r="D155" i="49"/>
  <c r="F155" i="49"/>
  <c r="D211" i="49"/>
  <c r="F211" i="49"/>
  <c r="L211" i="49" a="1"/>
  <c r="L211" i="49"/>
  <c r="D111" i="49"/>
  <c r="F111" i="49"/>
  <c r="D144" i="49"/>
  <c r="F144" i="49"/>
  <c r="D196" i="49"/>
  <c r="F196" i="49"/>
  <c r="D108" i="49"/>
  <c r="F108" i="49"/>
  <c r="D119" i="49"/>
  <c r="F119" i="49"/>
  <c r="D130" i="49"/>
  <c r="F130" i="49"/>
  <c r="L130" i="49" a="1"/>
  <c r="L130" i="49"/>
  <c r="D186" i="49"/>
  <c r="F186" i="49"/>
  <c r="L186" i="49" a="1"/>
  <c r="L186" i="49"/>
  <c r="D163" i="49"/>
  <c r="F163" i="49"/>
  <c r="D122" i="49"/>
  <c r="F122" i="49"/>
  <c r="K122" i="49" a="1"/>
  <c r="K122" i="49"/>
  <c r="D48" i="49"/>
  <c r="F48" i="49"/>
  <c r="D46" i="49"/>
  <c r="F46" i="49"/>
  <c r="D36" i="49"/>
  <c r="F36" i="49"/>
  <c r="D156" i="49"/>
  <c r="F156" i="49"/>
  <c r="O156" i="49" a="1"/>
  <c r="O156" i="49"/>
  <c r="D187" i="49"/>
  <c r="F187" i="49"/>
  <c r="D106" i="49"/>
  <c r="F106" i="49"/>
  <c r="D145" i="49"/>
  <c r="F145" i="49"/>
  <c r="D177" i="49"/>
  <c r="F177" i="49"/>
  <c r="D51" i="49"/>
  <c r="F51" i="49"/>
  <c r="D190" i="49"/>
  <c r="F190" i="49"/>
  <c r="D188" i="49"/>
  <c r="F188" i="49"/>
  <c r="D183" i="49"/>
  <c r="F183" i="49"/>
  <c r="D208" i="49"/>
  <c r="F208" i="49"/>
  <c r="D185" i="49"/>
  <c r="F185" i="49"/>
  <c r="K185" i="49" a="1"/>
  <c r="K185" i="49"/>
  <c r="D109" i="49"/>
  <c r="F109" i="49"/>
  <c r="D118" i="49"/>
  <c r="F118" i="49"/>
  <c r="M118" i="49" a="1"/>
  <c r="M118" i="49"/>
  <c r="D199" i="49"/>
  <c r="F199" i="49"/>
  <c r="D210" i="49"/>
  <c r="F210" i="49"/>
  <c r="D136" i="49"/>
  <c r="F136" i="49"/>
  <c r="D104" i="49"/>
  <c r="F104" i="49"/>
  <c r="D142" i="49"/>
  <c r="F142" i="49"/>
  <c r="D125" i="49"/>
  <c r="F125" i="49"/>
  <c r="D201" i="49"/>
  <c r="F201" i="49"/>
  <c r="D117" i="49"/>
  <c r="F117" i="49"/>
  <c r="M117" i="49" a="1"/>
  <c r="M117" i="49"/>
  <c r="C39" i="52"/>
  <c r="C36" i="52"/>
  <c r="H142" i="51" a="1"/>
  <c r="H142" i="51"/>
  <c r="T143" i="51" a="1"/>
  <c r="T143" i="51"/>
  <c r="K333" i="44"/>
  <c r="H378" i="44"/>
  <c r="H72" i="44"/>
  <c r="K69" i="51" a="1"/>
  <c r="K69" i="51"/>
  <c r="T70" i="51" a="1"/>
  <c r="T70" i="51"/>
  <c r="I71" i="44" a="1"/>
  <c r="I71" i="44"/>
  <c r="J69" i="51" a="1"/>
  <c r="J69" i="51"/>
  <c r="R70" i="51" a="1"/>
  <c r="R70" i="51"/>
  <c r="G71" i="51" a="1"/>
  <c r="G71" i="51"/>
  <c r="I142" i="51" a="1"/>
  <c r="I142" i="51"/>
  <c r="S142" i="51" a="1"/>
  <c r="S142" i="51"/>
  <c r="U142" i="51" a="1"/>
  <c r="U142" i="51"/>
  <c r="T142" i="51" a="1"/>
  <c r="T142" i="51"/>
  <c r="K142" i="51" a="1"/>
  <c r="K142" i="51"/>
  <c r="H64" i="44" a="1"/>
  <c r="H64" i="44"/>
  <c r="R142" i="51" a="1"/>
  <c r="R142" i="51"/>
  <c r="U69" i="51" a="1"/>
  <c r="U69" i="51"/>
  <c r="S69" i="51" a="1"/>
  <c r="S69" i="51"/>
  <c r="H65" i="44"/>
  <c r="I69" i="51" a="1"/>
  <c r="I69" i="51"/>
  <c r="U143" i="51" a="1"/>
  <c r="U143" i="51"/>
  <c r="Q144" i="51" a="1"/>
  <c r="Q144" i="51"/>
  <c r="U70" i="51" a="1"/>
  <c r="U70" i="51"/>
  <c r="J70" i="51" a="1"/>
  <c r="J70" i="51"/>
  <c r="H69" i="51" a="1"/>
  <c r="H69" i="51"/>
  <c r="J142" i="51" a="1"/>
  <c r="J142" i="51"/>
  <c r="S70" i="51" a="1"/>
  <c r="S70" i="51"/>
  <c r="G144" i="51" a="1"/>
  <c r="G144" i="51"/>
  <c r="J143" i="51" a="1"/>
  <c r="J143" i="51"/>
  <c r="Q71" i="51" a="1"/>
  <c r="Q71" i="51"/>
  <c r="R69" i="51" a="1"/>
  <c r="R69" i="51"/>
  <c r="I143" i="51" a="1"/>
  <c r="I143" i="51"/>
  <c r="L267" i="49"/>
  <c r="N267" i="49"/>
  <c r="K267" i="49"/>
  <c r="M267" i="49"/>
  <c r="O267" i="49"/>
  <c r="H317" i="49"/>
  <c r="K143" i="51" a="1"/>
  <c r="K143" i="51"/>
  <c r="I70" i="51" a="1"/>
  <c r="I70" i="51"/>
  <c r="F95" i="49"/>
  <c r="H93" i="49"/>
  <c r="K70" i="51" a="1"/>
  <c r="K70" i="51"/>
  <c r="M405" i="49" a="1"/>
  <c r="M405" i="49"/>
  <c r="O405" i="49" a="1"/>
  <c r="O405" i="49"/>
  <c r="N405" i="49" a="1"/>
  <c r="N405" i="49"/>
  <c r="K405" i="49" a="1"/>
  <c r="K405" i="49"/>
  <c r="L405" i="49" a="1"/>
  <c r="L405" i="49"/>
  <c r="O160" i="49" a="1"/>
  <c r="O160" i="49"/>
  <c r="N378" i="49" a="1"/>
  <c r="N378" i="49"/>
  <c r="L378" i="49" a="1"/>
  <c r="L378" i="49"/>
  <c r="K154" i="49" a="1"/>
  <c r="K154" i="49"/>
  <c r="M154" i="49" a="1"/>
  <c r="M154" i="49"/>
  <c r="N154" i="49" a="1"/>
  <c r="N154" i="49"/>
  <c r="L154" i="49" a="1"/>
  <c r="L154" i="49"/>
  <c r="O154" i="49" a="1"/>
  <c r="O154" i="49"/>
  <c r="H143" i="51" a="1"/>
  <c r="H143" i="51"/>
  <c r="N375" i="49" a="1"/>
  <c r="N375" i="49"/>
  <c r="M375" i="49" a="1"/>
  <c r="M375" i="49"/>
  <c r="L375" i="49" a="1"/>
  <c r="L375" i="49"/>
  <c r="O375" i="49" a="1"/>
  <c r="O375" i="49"/>
  <c r="K375" i="49" a="1"/>
  <c r="K375" i="49"/>
  <c r="O401" i="49" a="1"/>
  <c r="O401" i="49"/>
  <c r="H92" i="49"/>
  <c r="F94" i="49"/>
  <c r="O185" i="49" a="1"/>
  <c r="O185" i="49"/>
  <c r="H315" i="49"/>
  <c r="J313" i="49"/>
  <c r="J315" i="49"/>
  <c r="L374" i="49" a="1"/>
  <c r="L374" i="49"/>
  <c r="N374" i="49" a="1"/>
  <c r="N374" i="49"/>
  <c r="N402" i="49" a="1"/>
  <c r="N402" i="49"/>
  <c r="J116" i="44" a="1"/>
  <c r="J116" i="44"/>
  <c r="K121" i="49" a="1"/>
  <c r="K121" i="49"/>
  <c r="O121" i="49" a="1"/>
  <c r="O121" i="49"/>
  <c r="M121" i="49" a="1"/>
  <c r="M121" i="49"/>
  <c r="N121" i="49" a="1"/>
  <c r="N121" i="49"/>
  <c r="L121" i="49" a="1"/>
  <c r="L121" i="49"/>
  <c r="K156" i="49" a="1"/>
  <c r="K156" i="49"/>
  <c r="H332" i="44" a="1"/>
  <c r="H332" i="44"/>
  <c r="H333" i="44"/>
  <c r="K326" i="44"/>
  <c r="K325" i="44" a="1"/>
  <c r="K325" i="44"/>
  <c r="K370" i="44" a="1"/>
  <c r="K370" i="44"/>
  <c r="K371" i="44"/>
  <c r="J65" i="44"/>
  <c r="J64" i="44" a="1"/>
  <c r="J64" i="44"/>
  <c r="H370" i="44" a="1"/>
  <c r="H370" i="44"/>
  <c r="H371" i="44"/>
  <c r="K110" i="44"/>
  <c r="B19" i="50"/>
  <c r="B33" i="50"/>
  <c r="B180" i="63"/>
  <c r="B183" i="44"/>
  <c r="B202" i="44"/>
  <c r="B276" i="49"/>
  <c r="N118" i="49" a="1"/>
  <c r="N118" i="49"/>
  <c r="O45" i="49"/>
  <c r="F304" i="49"/>
  <c r="O389" i="49" a="1"/>
  <c r="O389" i="49"/>
  <c r="M186" i="49" a="1"/>
  <c r="M186" i="49"/>
  <c r="N211" i="49" a="1"/>
  <c r="N211" i="49"/>
  <c r="K120" i="49" a="1"/>
  <c r="K120" i="49"/>
  <c r="N337" i="49" a="1"/>
  <c r="N337" i="49"/>
  <c r="M159" i="49" a="1"/>
  <c r="M159" i="49"/>
  <c r="M185" i="49" a="1"/>
  <c r="M185" i="49"/>
  <c r="K337" i="49" a="1"/>
  <c r="K337" i="49"/>
  <c r="L185" i="49" a="1"/>
  <c r="L185" i="49"/>
  <c r="M337" i="49" a="1"/>
  <c r="M337" i="49"/>
  <c r="N185" i="49" a="1"/>
  <c r="N185" i="49"/>
  <c r="L337" i="49" a="1"/>
  <c r="L337" i="49"/>
  <c r="L342" i="49" a="1"/>
  <c r="L342" i="49"/>
  <c r="K47" i="49"/>
  <c r="N328" i="49" a="1"/>
  <c r="N328" i="49"/>
  <c r="L340" i="49" a="1"/>
  <c r="L340" i="49"/>
  <c r="N47" i="49"/>
  <c r="K328" i="49" a="1"/>
  <c r="K328" i="49"/>
  <c r="L401" i="49" a="1"/>
  <c r="L401" i="49"/>
  <c r="L389" i="49" a="1"/>
  <c r="L389" i="49"/>
  <c r="M340" i="49" a="1"/>
  <c r="M340" i="49"/>
  <c r="M401" i="49" a="1"/>
  <c r="M401" i="49"/>
  <c r="O47" i="49"/>
  <c r="L402" i="49" a="1"/>
  <c r="L402" i="49"/>
  <c r="K401" i="49" a="1"/>
  <c r="K401" i="49"/>
  <c r="O416" i="49" a="1"/>
  <c r="O416" i="49"/>
  <c r="O340" i="49" a="1"/>
  <c r="O340" i="49"/>
  <c r="F307" i="49"/>
  <c r="K402" i="49" a="1"/>
  <c r="K402" i="49"/>
  <c r="M402" i="49" a="1"/>
  <c r="M402" i="49"/>
  <c r="M47" i="49"/>
  <c r="O362" i="49" a="1"/>
  <c r="O362" i="49"/>
  <c r="M416" i="49" a="1"/>
  <c r="M416" i="49"/>
  <c r="N340" i="49" a="1"/>
  <c r="N340" i="49"/>
  <c r="M373" i="49" a="1"/>
  <c r="M373" i="49"/>
  <c r="N427" i="49" a="1"/>
  <c r="N427" i="49"/>
  <c r="G316" i="49"/>
  <c r="N373" i="49" a="1"/>
  <c r="N373" i="49"/>
  <c r="N376" i="49"/>
  <c r="M328" i="49" a="1"/>
  <c r="M328" i="49"/>
  <c r="N362" i="49" a="1"/>
  <c r="N362" i="49"/>
  <c r="L427" i="49" a="1"/>
  <c r="L427" i="49"/>
  <c r="N416" i="49" a="1"/>
  <c r="N416" i="49"/>
  <c r="N389" i="49" a="1"/>
  <c r="N389" i="49"/>
  <c r="L160" i="49" a="1"/>
  <c r="L160" i="49"/>
  <c r="K160" i="49" a="1"/>
  <c r="K160" i="49"/>
  <c r="O373" i="49" a="1"/>
  <c r="O373" i="49"/>
  <c r="L328" i="49" a="1"/>
  <c r="L328" i="49"/>
  <c r="K362" i="49" a="1"/>
  <c r="K362" i="49"/>
  <c r="L416" i="49" a="1"/>
  <c r="L416" i="49"/>
  <c r="L390" i="49" a="1"/>
  <c r="L390" i="49"/>
  <c r="O117" i="49" a="1"/>
  <c r="O117" i="49"/>
  <c r="O341" i="49" a="1"/>
  <c r="O341" i="49"/>
  <c r="K373" i="49" a="1"/>
  <c r="K373" i="49"/>
  <c r="O328" i="49" a="1"/>
  <c r="O328" i="49"/>
  <c r="M362" i="49" a="1"/>
  <c r="M362" i="49"/>
  <c r="K416" i="49" a="1"/>
  <c r="K416" i="49"/>
  <c r="M341" i="49" a="1"/>
  <c r="M341" i="49"/>
  <c r="M427" i="49" a="1"/>
  <c r="M427" i="49"/>
  <c r="L362" i="49" a="1"/>
  <c r="L362" i="49"/>
  <c r="M389" i="49" a="1"/>
  <c r="M389" i="49"/>
  <c r="O427" i="49" a="1"/>
  <c r="O427" i="49"/>
  <c r="K389" i="49" a="1"/>
  <c r="K389" i="49"/>
  <c r="N431" i="49" a="1"/>
  <c r="N431" i="49"/>
  <c r="N156" i="49" a="1"/>
  <c r="N156" i="49"/>
  <c r="M156" i="49" a="1"/>
  <c r="M156" i="49"/>
  <c r="K431" i="49" a="1"/>
  <c r="K431" i="49"/>
  <c r="O158" i="49" a="1"/>
  <c r="O158" i="49"/>
  <c r="E163" i="63"/>
  <c r="E164" i="63"/>
  <c r="N325" i="49" a="1"/>
  <c r="N325" i="49"/>
  <c r="K145" i="63" a="1"/>
  <c r="K145" i="63"/>
  <c r="O415" i="49" a="1"/>
  <c r="O415" i="49"/>
  <c r="O417" i="49"/>
  <c r="L156" i="49" a="1"/>
  <c r="L156" i="49"/>
  <c r="J316" i="49"/>
  <c r="K374" i="49" a="1"/>
  <c r="K374" i="49"/>
  <c r="K118" i="49" a="1"/>
  <c r="K118" i="49"/>
  <c r="K378" i="49" a="1"/>
  <c r="K378" i="49"/>
  <c r="N160" i="49" a="1"/>
  <c r="N160" i="49"/>
  <c r="N117" i="49" a="1"/>
  <c r="N117" i="49"/>
  <c r="M158" i="49" a="1"/>
  <c r="M158" i="49"/>
  <c r="K159" i="49" a="1"/>
  <c r="K159" i="49"/>
  <c r="N341" i="49" a="1"/>
  <c r="N341" i="49"/>
  <c r="O44" i="49"/>
  <c r="O46" i="49"/>
  <c r="M374" i="49" a="1"/>
  <c r="M374" i="49"/>
  <c r="K130" i="49" a="1"/>
  <c r="K130" i="49"/>
  <c r="K131" i="49" a="1"/>
  <c r="K131" i="49"/>
  <c r="M44" i="49"/>
  <c r="N432" i="49" a="1"/>
  <c r="N432" i="49"/>
  <c r="O118" i="49" a="1"/>
  <c r="O118" i="49"/>
  <c r="O431" i="49" a="1"/>
  <c r="O431" i="49"/>
  <c r="O393" i="49" a="1"/>
  <c r="O393" i="49"/>
  <c r="L45" i="49"/>
  <c r="L46" i="49"/>
  <c r="K341" i="49" a="1"/>
  <c r="K341" i="49"/>
  <c r="K209" i="49" a="1"/>
  <c r="K209" i="49"/>
  <c r="J317" i="49"/>
  <c r="L432" i="49" a="1"/>
  <c r="L432" i="49"/>
  <c r="H144" i="63"/>
  <c r="F316" i="49"/>
  <c r="K264" i="49"/>
  <c r="O130" i="49" a="1"/>
  <c r="O130" i="49"/>
  <c r="N44" i="49"/>
  <c r="N46" i="49"/>
  <c r="O432" i="49" a="1"/>
  <c r="O432" i="49"/>
  <c r="L118" i="49" a="1"/>
  <c r="L118" i="49"/>
  <c r="L431" i="49" a="1"/>
  <c r="L431" i="49"/>
  <c r="K117" i="49" a="1"/>
  <c r="K117" i="49"/>
  <c r="K158" i="49" a="1"/>
  <c r="K158" i="49"/>
  <c r="L159" i="49" a="1"/>
  <c r="L159" i="49"/>
  <c r="K45" i="49"/>
  <c r="O209" i="49" a="1"/>
  <c r="O209" i="49"/>
  <c r="G317" i="49"/>
  <c r="L376" i="49"/>
  <c r="M130" i="49" a="1"/>
  <c r="M130" i="49"/>
  <c r="M131" i="49" a="1"/>
  <c r="M131" i="49"/>
  <c r="H316" i="49"/>
  <c r="N130" i="49" a="1"/>
  <c r="N130" i="49"/>
  <c r="K44" i="49"/>
  <c r="M432" i="49" a="1"/>
  <c r="M432" i="49"/>
  <c r="O378" i="49" a="1"/>
  <c r="O378" i="49"/>
  <c r="L117" i="49" a="1"/>
  <c r="L117" i="49"/>
  <c r="L158" i="49" a="1"/>
  <c r="L158" i="49"/>
  <c r="N159" i="49" a="1"/>
  <c r="N159" i="49"/>
  <c r="M45" i="49"/>
  <c r="N209" i="49" a="1"/>
  <c r="N209" i="49"/>
  <c r="F317" i="49"/>
  <c r="M209" i="49" a="1"/>
  <c r="M209" i="49"/>
  <c r="O325" i="49" a="1"/>
  <c r="O325" i="49"/>
  <c r="O263" i="49"/>
  <c r="K263" i="49"/>
  <c r="N263" i="49"/>
  <c r="M263" i="49"/>
  <c r="M265" i="49"/>
  <c r="L263" i="49"/>
  <c r="L264" i="49"/>
  <c r="M404" i="49" a="1"/>
  <c r="M404" i="49"/>
  <c r="O211" i="49" a="1"/>
  <c r="O211" i="49"/>
  <c r="K342" i="49" a="1"/>
  <c r="K342" i="49"/>
  <c r="K186" i="49" a="1"/>
  <c r="K186" i="49"/>
  <c r="J146" i="63" a="1"/>
  <c r="J146" i="63"/>
  <c r="K147" i="63" a="1"/>
  <c r="K147" i="63"/>
  <c r="M430" i="49" a="1"/>
  <c r="M430" i="49"/>
  <c r="N430" i="49" a="1"/>
  <c r="N430" i="49"/>
  <c r="O430" i="49" a="1"/>
  <c r="O430" i="49"/>
  <c r="L430" i="49" a="1"/>
  <c r="L430" i="49"/>
  <c r="K430" i="49" a="1"/>
  <c r="K430" i="49"/>
  <c r="O264" i="49"/>
  <c r="O404" i="49" a="1"/>
  <c r="O404" i="49"/>
  <c r="M211" i="49" a="1"/>
  <c r="M211" i="49"/>
  <c r="O336" i="49" a="1"/>
  <c r="O336" i="49"/>
  <c r="O342" i="49" a="1"/>
  <c r="O342" i="49"/>
  <c r="M377" i="49" a="1"/>
  <c r="M377" i="49"/>
  <c r="N377" i="49" a="1"/>
  <c r="N377" i="49"/>
  <c r="L377" i="49" a="1"/>
  <c r="L377" i="49"/>
  <c r="K377" i="49" a="1"/>
  <c r="K377" i="49"/>
  <c r="O377" i="49" a="1"/>
  <c r="O377" i="49"/>
  <c r="O266" i="49"/>
  <c r="O268" i="49"/>
  <c r="L266" i="49"/>
  <c r="L268" i="49"/>
  <c r="M266" i="49"/>
  <c r="M268" i="49"/>
  <c r="N266" i="49"/>
  <c r="N268" i="49"/>
  <c r="K266" i="49"/>
  <c r="K268" i="49"/>
  <c r="H116" i="44" a="1"/>
  <c r="H116" i="44"/>
  <c r="N404" i="49" a="1"/>
  <c r="N404" i="49"/>
  <c r="N336" i="49" a="1"/>
  <c r="N336" i="49"/>
  <c r="M342" i="49" a="1"/>
  <c r="M342" i="49"/>
  <c r="I117" i="44"/>
  <c r="I116" i="44" a="1"/>
  <c r="I116" i="44"/>
  <c r="L352" i="49"/>
  <c r="L353" i="49" a="1"/>
  <c r="L353" i="49"/>
  <c r="O352" i="49"/>
  <c r="O353" i="49" a="1"/>
  <c r="O353" i="49"/>
  <c r="M352" i="49"/>
  <c r="M353" i="49" a="1"/>
  <c r="M353" i="49"/>
  <c r="K352" i="49"/>
  <c r="K353" i="49" a="1"/>
  <c r="K353" i="49"/>
  <c r="N352" i="49"/>
  <c r="N353" i="49" a="1"/>
  <c r="N353" i="49"/>
  <c r="O428" i="49" a="1"/>
  <c r="O428" i="49"/>
  <c r="N428" i="49" a="1"/>
  <c r="N428" i="49"/>
  <c r="M428" i="49" a="1"/>
  <c r="M428" i="49"/>
  <c r="L428" i="49" a="1"/>
  <c r="L428" i="49"/>
  <c r="L429" i="49"/>
  <c r="K428" i="49" a="1"/>
  <c r="K428" i="49"/>
  <c r="K429" i="49"/>
  <c r="O338" i="49" a="1"/>
  <c r="O338" i="49"/>
  <c r="M338" i="49" a="1"/>
  <c r="M338" i="49"/>
  <c r="N338" i="49" a="1"/>
  <c r="N338" i="49"/>
  <c r="L338" i="49" a="1"/>
  <c r="L338" i="49"/>
  <c r="K338" i="49" a="1"/>
  <c r="K338" i="49"/>
  <c r="M325" i="49" a="1"/>
  <c r="M325" i="49"/>
  <c r="K404" i="49" a="1"/>
  <c r="K404" i="49"/>
  <c r="O120" i="49" a="1"/>
  <c r="O120" i="49"/>
  <c r="L336" i="49" a="1"/>
  <c r="L336" i="49"/>
  <c r="K143" i="63" a="1"/>
  <c r="K143" i="63"/>
  <c r="F314" i="49"/>
  <c r="H312" i="49"/>
  <c r="K325" i="49" a="1"/>
  <c r="K325" i="49"/>
  <c r="M120" i="49" a="1"/>
  <c r="M120" i="49"/>
  <c r="K336" i="49" a="1"/>
  <c r="K336" i="49"/>
  <c r="N186" i="49" a="1"/>
  <c r="N186" i="49"/>
  <c r="I109" i="44" a="1"/>
  <c r="I109" i="44"/>
  <c r="J109" i="44" a="1"/>
  <c r="J109" i="44"/>
  <c r="K350" i="49" a="1"/>
  <c r="K350" i="49"/>
  <c r="K351" i="49" a="1"/>
  <c r="K351" i="49"/>
  <c r="L350" i="49" a="1"/>
  <c r="L350" i="49"/>
  <c r="L351" i="49" a="1"/>
  <c r="L351" i="49"/>
  <c r="M350" i="49" a="1"/>
  <c r="M350" i="49"/>
  <c r="M351" i="49" a="1"/>
  <c r="M351" i="49"/>
  <c r="N350" i="49" a="1"/>
  <c r="N350" i="49"/>
  <c r="N351" i="49" a="1"/>
  <c r="N351" i="49"/>
  <c r="O350" i="49" a="1"/>
  <c r="O350" i="49"/>
  <c r="O351" i="49" a="1"/>
  <c r="O351" i="49"/>
  <c r="N264" i="49"/>
  <c r="L325" i="49" a="1"/>
  <c r="L325" i="49"/>
  <c r="N120" i="49" a="1"/>
  <c r="N120" i="49"/>
  <c r="K211" i="49" a="1"/>
  <c r="K211" i="49"/>
  <c r="O186" i="49" a="1"/>
  <c r="O186" i="49"/>
  <c r="H109" i="44" a="1"/>
  <c r="H109" i="44"/>
  <c r="K117" i="44"/>
  <c r="K116" i="44" a="1"/>
  <c r="K116" i="44"/>
  <c r="K142" i="63" a="1"/>
  <c r="K142" i="63"/>
  <c r="L379" i="49" a="1"/>
  <c r="L379" i="49"/>
  <c r="O379" i="49" a="1"/>
  <c r="O379" i="49"/>
  <c r="K379" i="49" a="1"/>
  <c r="K379" i="49"/>
  <c r="N379" i="49" a="1"/>
  <c r="N379" i="49"/>
  <c r="M379" i="49" a="1"/>
  <c r="M379" i="49"/>
  <c r="M406" i="49" a="1"/>
  <c r="M406" i="49"/>
  <c r="L406" i="49" a="1"/>
  <c r="L406" i="49"/>
  <c r="O406" i="49" a="1"/>
  <c r="O406" i="49"/>
  <c r="K406" i="49" a="1"/>
  <c r="K406" i="49"/>
  <c r="N406" i="49" a="1"/>
  <c r="N406" i="49"/>
  <c r="N390" i="49" a="1"/>
  <c r="N390" i="49"/>
  <c r="K415" i="49" a="1"/>
  <c r="K415" i="49"/>
  <c r="K149" i="63" a="1"/>
  <c r="K149" i="63"/>
  <c r="L149" i="63" a="1"/>
  <c r="L149" i="63"/>
  <c r="H149" i="63"/>
  <c r="J149" i="63" a="1"/>
  <c r="J149" i="63"/>
  <c r="I149" i="63" a="1"/>
  <c r="I149" i="63"/>
  <c r="K186" i="63" a="1"/>
  <c r="K186" i="63"/>
  <c r="L186" i="63" a="1"/>
  <c r="L186" i="63"/>
  <c r="H186" i="63" a="1"/>
  <c r="H186" i="63"/>
  <c r="J186" i="63" a="1"/>
  <c r="J186" i="63"/>
  <c r="I186" i="63" a="1"/>
  <c r="I186" i="63"/>
  <c r="K148" i="63" a="1"/>
  <c r="K148" i="63"/>
  <c r="J148" i="63" a="1"/>
  <c r="J148" i="63"/>
  <c r="L148" i="63" a="1"/>
  <c r="L148" i="63"/>
  <c r="I148" i="63" a="1"/>
  <c r="I148" i="63"/>
  <c r="H148" i="63"/>
  <c r="J141" i="63" a="1"/>
  <c r="J141" i="63"/>
  <c r="I141" i="63" a="1"/>
  <c r="I141" i="63"/>
  <c r="L141" i="63" a="1"/>
  <c r="L141" i="63"/>
  <c r="K141" i="63" a="1"/>
  <c r="K141" i="63"/>
  <c r="H146" i="63"/>
  <c r="M390" i="49" a="1"/>
  <c r="M390" i="49"/>
  <c r="M391" i="49"/>
  <c r="L364" i="49" a="1"/>
  <c r="L364" i="49"/>
  <c r="O390" i="49" a="1"/>
  <c r="O390" i="49"/>
  <c r="L415" i="49" a="1"/>
  <c r="L415" i="49"/>
  <c r="M415" i="49" a="1"/>
  <c r="M415" i="49"/>
  <c r="M417" i="49"/>
  <c r="K390" i="49" a="1"/>
  <c r="K390" i="49"/>
  <c r="L213" i="49" a="1"/>
  <c r="L213" i="49"/>
  <c r="K71" i="44" a="1"/>
  <c r="K71" i="44"/>
  <c r="H71" i="44" a="1"/>
  <c r="H71" i="44"/>
  <c r="L199" i="49" a="1"/>
  <c r="L199" i="49"/>
  <c r="M104" i="49" a="1"/>
  <c r="M104" i="49"/>
  <c r="L171" i="49" a="1"/>
  <c r="L171" i="49"/>
  <c r="L143" i="49" a="1"/>
  <c r="L143" i="49"/>
  <c r="N142" i="49" a="1"/>
  <c r="N142" i="49"/>
  <c r="M196" i="49" a="1"/>
  <c r="M196" i="49"/>
  <c r="O174" i="49" a="1"/>
  <c r="O174" i="49"/>
  <c r="N145" i="49" a="1"/>
  <c r="N145" i="49"/>
  <c r="M200" i="49" a="1"/>
  <c r="M200" i="49"/>
  <c r="O199" i="49" a="1"/>
  <c r="O199" i="49"/>
  <c r="O104" i="49" a="1"/>
  <c r="O104" i="49"/>
  <c r="O171" i="49" a="1"/>
  <c r="O171" i="49"/>
  <c r="O143" i="49" a="1"/>
  <c r="O143" i="49"/>
  <c r="O142" i="49" a="1"/>
  <c r="O142" i="49"/>
  <c r="K196" i="49" a="1"/>
  <c r="K196" i="49"/>
  <c r="N197" i="49" a="1"/>
  <c r="N197" i="49"/>
  <c r="L108" i="49" a="1"/>
  <c r="L108" i="49"/>
  <c r="K174" i="49" a="1"/>
  <c r="K174" i="49"/>
  <c r="N174" i="49" a="1"/>
  <c r="N174" i="49"/>
  <c r="L107" i="49" a="1"/>
  <c r="L107" i="49"/>
  <c r="K199" i="49" a="1"/>
  <c r="K199" i="49"/>
  <c r="O145" i="49" a="1"/>
  <c r="O145" i="49"/>
  <c r="L104" i="49" a="1"/>
  <c r="L104" i="49"/>
  <c r="N171" i="49" a="1"/>
  <c r="N171" i="49"/>
  <c r="K143" i="49" a="1"/>
  <c r="K143" i="49"/>
  <c r="M142" i="49" a="1"/>
  <c r="M142" i="49"/>
  <c r="N196" i="49" a="1"/>
  <c r="N196" i="49"/>
  <c r="K197" i="49" a="1"/>
  <c r="K197" i="49"/>
  <c r="N108" i="49" a="1"/>
  <c r="N108" i="49"/>
  <c r="L145" i="49" a="1"/>
  <c r="L145" i="49"/>
  <c r="M146" i="49" a="1"/>
  <c r="M146" i="49"/>
  <c r="M105" i="49" a="1"/>
  <c r="M105" i="49"/>
  <c r="L173" i="49" a="1"/>
  <c r="L173" i="49"/>
  <c r="M171" i="49" a="1"/>
  <c r="M171" i="49"/>
  <c r="M143" i="49" a="1"/>
  <c r="M143" i="49"/>
  <c r="L142" i="49" a="1"/>
  <c r="L142" i="49"/>
  <c r="N170" i="49" a="1"/>
  <c r="N170" i="49"/>
  <c r="L197" i="49" a="1"/>
  <c r="L197" i="49"/>
  <c r="K108" i="49" a="1"/>
  <c r="K108" i="49"/>
  <c r="M199" i="49" a="1"/>
  <c r="M199" i="49"/>
  <c r="M145" i="49" a="1"/>
  <c r="M145" i="49"/>
  <c r="L146" i="49" a="1"/>
  <c r="L146" i="49"/>
  <c r="L105" i="49" a="1"/>
  <c r="L105" i="49"/>
  <c r="M173" i="49" a="1"/>
  <c r="M173" i="49"/>
  <c r="K171" i="49" a="1"/>
  <c r="K171" i="49"/>
  <c r="K170" i="49" a="1"/>
  <c r="K170" i="49"/>
  <c r="M197" i="49" a="1"/>
  <c r="M197" i="49"/>
  <c r="O108" i="49" a="1"/>
  <c r="O108" i="49"/>
  <c r="K146" i="49" a="1"/>
  <c r="K146" i="49"/>
  <c r="O173" i="49" a="1"/>
  <c r="O173" i="49"/>
  <c r="K145" i="49" a="1"/>
  <c r="K145" i="49"/>
  <c r="O146" i="49" a="1"/>
  <c r="O146" i="49"/>
  <c r="O105" i="49" a="1"/>
  <c r="O105" i="49"/>
  <c r="N104" i="49" a="1"/>
  <c r="N104" i="49"/>
  <c r="K173" i="49" a="1"/>
  <c r="K173" i="49"/>
  <c r="O196" i="49" a="1"/>
  <c r="O196" i="49"/>
  <c r="M170" i="49" a="1"/>
  <c r="M170" i="49"/>
  <c r="L174" i="49" a="1"/>
  <c r="L174" i="49"/>
  <c r="N105" i="49" a="1"/>
  <c r="N105" i="49"/>
  <c r="L170" i="49" a="1"/>
  <c r="L170" i="49"/>
  <c r="O197" i="49" a="1"/>
  <c r="O197" i="49"/>
  <c r="M108" i="49" a="1"/>
  <c r="M108" i="49"/>
  <c r="N199" i="49" a="1"/>
  <c r="N199" i="49"/>
  <c r="N146" i="49" a="1"/>
  <c r="N146" i="49"/>
  <c r="K105" i="49" a="1"/>
  <c r="K105" i="49"/>
  <c r="K104" i="49" a="1"/>
  <c r="K104" i="49"/>
  <c r="N173" i="49" a="1"/>
  <c r="N173" i="49"/>
  <c r="N175" i="49"/>
  <c r="N143" i="49" a="1"/>
  <c r="N143" i="49"/>
  <c r="K142" i="49" a="1"/>
  <c r="K142" i="49"/>
  <c r="L196" i="49" a="1"/>
  <c r="L196" i="49"/>
  <c r="L198" i="49"/>
  <c r="O170" i="49" a="1"/>
  <c r="O170" i="49"/>
  <c r="M174" i="49" a="1"/>
  <c r="M174" i="49"/>
  <c r="O107" i="49" a="1"/>
  <c r="O107" i="49"/>
  <c r="N200" i="49" a="1"/>
  <c r="N200" i="49"/>
  <c r="M107" i="49" a="1"/>
  <c r="M107" i="49"/>
  <c r="O182" i="49" a="1"/>
  <c r="O182" i="49"/>
  <c r="O122" i="49" a="1"/>
  <c r="O122" i="49"/>
  <c r="O208" i="49" a="1"/>
  <c r="O208" i="49"/>
  <c r="M208" i="49" a="1"/>
  <c r="M208" i="49"/>
  <c r="K208" i="49" a="1"/>
  <c r="K208" i="49"/>
  <c r="N208" i="49" a="1"/>
  <c r="N208" i="49"/>
  <c r="L208" i="49" a="1"/>
  <c r="L208" i="49"/>
  <c r="L210" i="49"/>
  <c r="O116" i="49" a="1"/>
  <c r="O116" i="49"/>
  <c r="M116" i="49" a="1"/>
  <c r="M116" i="49"/>
  <c r="K116" i="49" a="1"/>
  <c r="K116" i="49"/>
  <c r="L116" i="49" a="1"/>
  <c r="L116" i="49"/>
  <c r="N116" i="49" a="1"/>
  <c r="N116" i="49"/>
  <c r="N119" i="49"/>
  <c r="N107" i="49" a="1"/>
  <c r="N107" i="49"/>
  <c r="L200" i="49" a="1"/>
  <c r="L200" i="49"/>
  <c r="M122" i="49" a="1"/>
  <c r="M122" i="49"/>
  <c r="O324" i="49" a="1"/>
  <c r="O324" i="49"/>
  <c r="M183" i="49" a="1"/>
  <c r="M183" i="49"/>
  <c r="L183" i="49" a="1"/>
  <c r="L183" i="49"/>
  <c r="O183" i="49" a="1"/>
  <c r="O183" i="49"/>
  <c r="N183" i="49" a="1"/>
  <c r="N183" i="49"/>
  <c r="K183" i="49" a="1"/>
  <c r="K183" i="49"/>
  <c r="K184" i="49"/>
  <c r="O48" i="49"/>
  <c r="N48" i="49"/>
  <c r="K48" i="49"/>
  <c r="K49" i="49"/>
  <c r="L48" i="49"/>
  <c r="L49" i="49"/>
  <c r="M48" i="49"/>
  <c r="K72" i="44"/>
  <c r="K200" i="49" a="1"/>
  <c r="K200" i="49"/>
  <c r="O213" i="49" a="1"/>
  <c r="O213" i="49"/>
  <c r="O214" i="49"/>
  <c r="N212" i="49" a="1"/>
  <c r="N212" i="49"/>
  <c r="N132" i="49"/>
  <c r="N133" i="49" a="1"/>
  <c r="N133" i="49"/>
  <c r="K132" i="49"/>
  <c r="K133" i="49" a="1"/>
  <c r="K133" i="49"/>
  <c r="K137" i="49"/>
  <c r="O132" i="49"/>
  <c r="O133" i="49" a="1"/>
  <c r="O133" i="49"/>
  <c r="M132" i="49"/>
  <c r="M133" i="49" a="1"/>
  <c r="M133" i="49"/>
  <c r="L132" i="49"/>
  <c r="L133" i="49" a="1"/>
  <c r="L133" i="49"/>
  <c r="M213" i="49" a="1"/>
  <c r="M213" i="49"/>
  <c r="L212" i="49" a="1"/>
  <c r="L212" i="49"/>
  <c r="L182" i="49" a="1"/>
  <c r="L182" i="49"/>
  <c r="O200" i="49" a="1"/>
  <c r="O200" i="49"/>
  <c r="N182" i="49" a="1"/>
  <c r="N182" i="49"/>
  <c r="N131" i="49" a="1"/>
  <c r="N131" i="49"/>
  <c r="L122" i="49" a="1"/>
  <c r="L122" i="49"/>
  <c r="L123" i="49"/>
  <c r="N213" i="49" a="1"/>
  <c r="N213" i="49"/>
  <c r="M212" i="49" a="1"/>
  <c r="M212" i="49"/>
  <c r="N155" i="49" a="1"/>
  <c r="N155" i="49"/>
  <c r="M155" i="49" a="1"/>
  <c r="M155" i="49"/>
  <c r="O155" i="49" a="1"/>
  <c r="O155" i="49"/>
  <c r="K155" i="49" a="1"/>
  <c r="K155" i="49"/>
  <c r="K157" i="49"/>
  <c r="L155" i="49" a="1"/>
  <c r="L155" i="49"/>
  <c r="O187" i="49" a="1"/>
  <c r="O187" i="49"/>
  <c r="O188" i="49"/>
  <c r="M187" i="49" a="1"/>
  <c r="M187" i="49"/>
  <c r="L187" i="49" a="1"/>
  <c r="L187" i="49"/>
  <c r="L188" i="49"/>
  <c r="L189" i="49"/>
  <c r="L190" i="49" a="1"/>
  <c r="L190" i="49"/>
  <c r="N187" i="49" a="1"/>
  <c r="N187" i="49"/>
  <c r="N188" i="49"/>
  <c r="N189" i="49"/>
  <c r="N190" i="49" a="1"/>
  <c r="N190" i="49"/>
  <c r="K187" i="49" a="1"/>
  <c r="K187" i="49"/>
  <c r="K107" i="49" a="1"/>
  <c r="K107" i="49"/>
  <c r="M182" i="49" a="1"/>
  <c r="M182" i="49"/>
  <c r="L131" i="49" a="1"/>
  <c r="L131" i="49"/>
  <c r="N122" i="49" a="1"/>
  <c r="N122" i="49"/>
  <c r="K212" i="49" a="1"/>
  <c r="K212" i="49"/>
  <c r="N415" i="49" a="1"/>
  <c r="N415" i="49"/>
  <c r="O131" i="49" a="1"/>
  <c r="O131" i="49"/>
  <c r="K327" i="49" a="1"/>
  <c r="K327" i="49"/>
  <c r="K329" i="49"/>
  <c r="K333" i="49"/>
  <c r="K280" i="49"/>
  <c r="I72" i="44"/>
  <c r="G384" i="44"/>
  <c r="G387" i="44"/>
  <c r="K332" i="44" a="1"/>
  <c r="K332" i="44"/>
  <c r="J110" i="44"/>
  <c r="H377" i="44" a="1"/>
  <c r="H377" i="44"/>
  <c r="H110" i="44"/>
  <c r="I371" i="44"/>
  <c r="I370" i="44" a="1"/>
  <c r="I370" i="44"/>
  <c r="J333" i="44"/>
  <c r="J332" i="44" a="1"/>
  <c r="J332" i="44"/>
  <c r="H117" i="44"/>
  <c r="G78" i="44"/>
  <c r="I110" i="44"/>
  <c r="H56" i="51" a="1"/>
  <c r="H56" i="51"/>
  <c r="L391" i="49"/>
  <c r="J72" i="44"/>
  <c r="J71" i="44" a="1"/>
  <c r="J71" i="44"/>
  <c r="K65" i="44"/>
  <c r="K64" i="44" a="1"/>
  <c r="K64" i="44"/>
  <c r="O403" i="49"/>
  <c r="L343" i="49"/>
  <c r="M364" i="49" a="1"/>
  <c r="M364" i="49"/>
  <c r="N327" i="49" a="1"/>
  <c r="N327" i="49"/>
  <c r="J92" i="49"/>
  <c r="J94" i="49"/>
  <c r="H94" i="49"/>
  <c r="N403" i="49"/>
  <c r="O364" i="49" a="1"/>
  <c r="O364" i="49"/>
  <c r="M327" i="49" a="1"/>
  <c r="M327" i="49"/>
  <c r="J117" i="44"/>
  <c r="N343" i="49"/>
  <c r="L161" i="49"/>
  <c r="K324" i="49" a="1"/>
  <c r="K324" i="49"/>
  <c r="N364" i="49" a="1"/>
  <c r="N364" i="49"/>
  <c r="N354" i="49"/>
  <c r="N355" i="49" a="1"/>
  <c r="N355" i="49"/>
  <c r="O327" i="49" a="1"/>
  <c r="O327" i="49"/>
  <c r="N393" i="49" a="1"/>
  <c r="N393" i="49"/>
  <c r="I326" i="44"/>
  <c r="I325" i="44" a="1"/>
  <c r="I325" i="44"/>
  <c r="K123" i="49"/>
  <c r="J93" i="49"/>
  <c r="J95" i="49"/>
  <c r="H95" i="49"/>
  <c r="H326" i="44"/>
  <c r="H325" i="44" a="1"/>
  <c r="H325" i="44"/>
  <c r="M324" i="49" a="1"/>
  <c r="M324" i="49"/>
  <c r="L327" i="49" a="1"/>
  <c r="L327" i="49"/>
  <c r="M393" i="49" a="1"/>
  <c r="M393" i="49"/>
  <c r="I378" i="44"/>
  <c r="I377" i="44" a="1"/>
  <c r="I377" i="44"/>
  <c r="L324" i="49" a="1"/>
  <c r="L324" i="49"/>
  <c r="L326" i="49"/>
  <c r="I332" i="44" a="1"/>
  <c r="I332" i="44"/>
  <c r="I333" i="44"/>
  <c r="L407" i="49"/>
  <c r="G339" i="44"/>
  <c r="J370" i="44" a="1"/>
  <c r="J370" i="44"/>
  <c r="J371" i="44"/>
  <c r="J325" i="44" a="1"/>
  <c r="J325" i="44"/>
  <c r="J326" i="44"/>
  <c r="K392" i="49" a="1"/>
  <c r="K392" i="49"/>
  <c r="L365" i="49" a="1"/>
  <c r="L365" i="49"/>
  <c r="N419" i="49" a="1"/>
  <c r="N419" i="49"/>
  <c r="L419" i="49" a="1"/>
  <c r="L419" i="49"/>
  <c r="N392" i="49" a="1"/>
  <c r="N392" i="49"/>
  <c r="O419" i="49" a="1"/>
  <c r="O419" i="49"/>
  <c r="L392" i="49" a="1"/>
  <c r="L392" i="49"/>
  <c r="K365" i="49" a="1"/>
  <c r="K365" i="49"/>
  <c r="O365" i="49" a="1"/>
  <c r="O365" i="49"/>
  <c r="N365" i="49" a="1"/>
  <c r="N365" i="49"/>
  <c r="M365" i="49" a="1"/>
  <c r="M365" i="49"/>
  <c r="M419" i="49" a="1"/>
  <c r="M419" i="49"/>
  <c r="N361" i="49" a="1"/>
  <c r="N361" i="49"/>
  <c r="K419" i="49" a="1"/>
  <c r="K419" i="49"/>
  <c r="L418" i="49" a="1"/>
  <c r="L418" i="49"/>
  <c r="K418" i="49" a="1"/>
  <c r="K418" i="49"/>
  <c r="L361" i="49" a="1"/>
  <c r="L361" i="49"/>
  <c r="L363" i="49"/>
  <c r="O418" i="49" a="1"/>
  <c r="O418" i="49"/>
  <c r="M392" i="49" a="1"/>
  <c r="M392" i="49"/>
  <c r="O392" i="49" a="1"/>
  <c r="O392" i="49"/>
  <c r="M418" i="49" a="1"/>
  <c r="M418" i="49"/>
  <c r="O361" i="49" a="1"/>
  <c r="O361" i="49"/>
  <c r="N418" i="49" a="1"/>
  <c r="N418" i="49"/>
  <c r="M361" i="49" a="1"/>
  <c r="M361" i="49"/>
  <c r="M363" i="49"/>
  <c r="K361" i="49" a="1"/>
  <c r="K361" i="49"/>
  <c r="K363" i="49"/>
  <c r="N324" i="49" a="1"/>
  <c r="N324" i="49"/>
  <c r="K393" i="49" a="1"/>
  <c r="K393" i="49"/>
  <c r="K378" i="44"/>
  <c r="K377" i="44" a="1"/>
  <c r="K377" i="44"/>
  <c r="O433" i="49"/>
  <c r="G123" i="44"/>
  <c r="I65" i="44"/>
  <c r="I64" i="44" a="1"/>
  <c r="I64" i="44"/>
  <c r="J377" i="44" a="1"/>
  <c r="J377" i="44"/>
  <c r="J378" i="44"/>
  <c r="K364" i="49" a="1"/>
  <c r="K364" i="49"/>
  <c r="L393" i="49" a="1"/>
  <c r="L393" i="49"/>
  <c r="K328" i="44" a="1"/>
  <c r="K328" i="44"/>
  <c r="H335" i="44" a="1"/>
  <c r="H335" i="44"/>
  <c r="J335" i="44" a="1"/>
  <c r="J335" i="44"/>
  <c r="K373" i="44" a="1"/>
  <c r="K373" i="44"/>
  <c r="H373" i="44" a="1"/>
  <c r="H373" i="44"/>
  <c r="I373" i="44" a="1"/>
  <c r="I373" i="44"/>
  <c r="H45" i="51"/>
  <c r="B226" i="44"/>
  <c r="K214" i="49"/>
  <c r="O210" i="49"/>
  <c r="K403" i="49"/>
  <c r="M380" i="49"/>
  <c r="M384" i="49"/>
  <c r="M284" i="49"/>
  <c r="K161" i="49"/>
  <c r="K164" i="49"/>
  <c r="M161" i="49"/>
  <c r="L157" i="49"/>
  <c r="M376" i="49"/>
  <c r="I142" i="63" a="1"/>
  <c r="I142" i="63"/>
  <c r="K354" i="49"/>
  <c r="K355" i="49" a="1"/>
  <c r="K355" i="49"/>
  <c r="O376" i="49"/>
  <c r="O391" i="49"/>
  <c r="L339" i="49"/>
  <c r="M49" i="49"/>
  <c r="N339" i="49"/>
  <c r="M329" i="49"/>
  <c r="O49" i="49"/>
  <c r="I143" i="63" a="1"/>
  <c r="I143" i="63"/>
  <c r="N210" i="49"/>
  <c r="N429" i="49"/>
  <c r="M403" i="49"/>
  <c r="K265" i="49"/>
  <c r="N433" i="49"/>
  <c r="L403" i="49"/>
  <c r="K391" i="49"/>
  <c r="L143" i="63" a="1"/>
  <c r="L143" i="63"/>
  <c r="J145" i="63" a="1"/>
  <c r="J145" i="63"/>
  <c r="K339" i="49"/>
  <c r="H145" i="63"/>
  <c r="L145" i="63"/>
  <c r="O363" i="49"/>
  <c r="I145" i="63" a="1"/>
  <c r="I145" i="63"/>
  <c r="N123" i="49"/>
  <c r="N127" i="49"/>
  <c r="N61" i="49"/>
  <c r="M188" i="49"/>
  <c r="K417" i="49"/>
  <c r="N391" i="49"/>
  <c r="K376" i="49"/>
  <c r="N329" i="49"/>
  <c r="N332" i="49"/>
  <c r="J143" i="63" a="1"/>
  <c r="J143" i="63"/>
  <c r="K433" i="49"/>
  <c r="K436" i="49"/>
  <c r="N326" i="49"/>
  <c r="L144" i="63" a="1"/>
  <c r="L144" i="63"/>
  <c r="N49" i="49"/>
  <c r="N50" i="49"/>
  <c r="N51" i="49"/>
  <c r="N52" i="49"/>
  <c r="M429" i="49"/>
  <c r="O429" i="49"/>
  <c r="H147" i="63"/>
  <c r="L380" i="49"/>
  <c r="L384" i="49"/>
  <c r="L284" i="49"/>
  <c r="K46" i="49"/>
  <c r="I256" i="63"/>
  <c r="M433" i="49"/>
  <c r="M437" i="49"/>
  <c r="M290" i="49"/>
  <c r="I262" i="63"/>
  <c r="L259" i="63"/>
  <c r="I253" i="63"/>
  <c r="J261" i="63"/>
  <c r="L262" i="63"/>
  <c r="J262" i="63"/>
  <c r="H254" i="63"/>
  <c r="I252" i="63"/>
  <c r="K252" i="63"/>
  <c r="N363" i="49"/>
  <c r="K210" i="49"/>
  <c r="I147" i="63" a="1"/>
  <c r="I147" i="63"/>
  <c r="J144" i="63" a="1"/>
  <c r="J144" i="63"/>
  <c r="O329" i="49"/>
  <c r="O330" i="49"/>
  <c r="O331" i="49" a="1"/>
  <c r="O331" i="49"/>
  <c r="N417" i="49"/>
  <c r="L119" i="49"/>
  <c r="J147" i="63" a="1"/>
  <c r="J147" i="63"/>
  <c r="M354" i="49"/>
  <c r="M355" i="49" a="1"/>
  <c r="M355" i="49"/>
  <c r="L329" i="49"/>
  <c r="L330" i="49"/>
  <c r="L331" i="49" a="1"/>
  <c r="L331" i="49"/>
  <c r="N157" i="49"/>
  <c r="K119" i="49"/>
  <c r="L417" i="49"/>
  <c r="L147" i="63" a="1"/>
  <c r="L147" i="63"/>
  <c r="L433" i="49"/>
  <c r="L436" i="49"/>
  <c r="L176" i="63"/>
  <c r="O326" i="49"/>
  <c r="K407" i="49"/>
  <c r="K326" i="49"/>
  <c r="K141" i="51" a="1"/>
  <c r="K141" i="51"/>
  <c r="K343" i="49"/>
  <c r="K344" i="49"/>
  <c r="K345" i="49" a="1"/>
  <c r="K345" i="49"/>
  <c r="M46" i="49"/>
  <c r="M50" i="49"/>
  <c r="M51" i="49"/>
  <c r="N161" i="49"/>
  <c r="N407" i="49"/>
  <c r="N410" i="49"/>
  <c r="M269" i="49"/>
  <c r="M270" i="49"/>
  <c r="M271" i="49"/>
  <c r="O354" i="49"/>
  <c r="O355" i="49" a="1"/>
  <c r="O355" i="49"/>
  <c r="H258" i="63"/>
  <c r="L354" i="49"/>
  <c r="L355" i="49" a="1"/>
  <c r="L355" i="49"/>
  <c r="O380" i="49"/>
  <c r="O383" i="49"/>
  <c r="K146" i="63" a="1"/>
  <c r="K146" i="63"/>
  <c r="H141" i="51" a="1"/>
  <c r="H141" i="51"/>
  <c r="L261" i="63"/>
  <c r="L174" i="63"/>
  <c r="H260" i="63"/>
  <c r="H255" i="63"/>
  <c r="H259" i="63"/>
  <c r="K262" i="63"/>
  <c r="K253" i="63"/>
  <c r="I144" i="63" a="1"/>
  <c r="I144" i="63"/>
  <c r="K380" i="49"/>
  <c r="K381" i="49"/>
  <c r="K382" i="49" a="1"/>
  <c r="K382" i="49"/>
  <c r="O394" i="49"/>
  <c r="U140" i="51" a="1"/>
  <c r="U140" i="51"/>
  <c r="J174" i="63"/>
  <c r="J259" i="63"/>
  <c r="L252" i="63"/>
  <c r="L256" i="63"/>
  <c r="J252" i="63"/>
  <c r="H256" i="63"/>
  <c r="J141" i="51" a="1"/>
  <c r="J141" i="51"/>
  <c r="K144" i="63" a="1"/>
  <c r="K144" i="63"/>
  <c r="O265" i="49"/>
  <c r="O269" i="49"/>
  <c r="O270" i="49"/>
  <c r="I140" i="51" a="1"/>
  <c r="I140" i="51"/>
  <c r="I146" i="63" a="1"/>
  <c r="I146" i="63"/>
  <c r="K256" i="63"/>
  <c r="K260" i="63"/>
  <c r="H262" i="63"/>
  <c r="J253" i="63"/>
  <c r="H142" i="63"/>
  <c r="I141" i="51" a="1"/>
  <c r="I141" i="51"/>
  <c r="N265" i="49"/>
  <c r="N269" i="49"/>
  <c r="N270" i="49"/>
  <c r="N271" i="49"/>
  <c r="N380" i="49"/>
  <c r="N383" i="49"/>
  <c r="K176" i="63"/>
  <c r="J260" i="63"/>
  <c r="L260" i="63"/>
  <c r="I259" i="63"/>
  <c r="F190" i="63"/>
  <c r="R140" i="51" a="1"/>
  <c r="R140" i="51"/>
  <c r="L175" i="63"/>
  <c r="H140" i="51" a="1"/>
  <c r="H140" i="51"/>
  <c r="L146" i="63" a="1"/>
  <c r="L146" i="63"/>
  <c r="I261" i="63"/>
  <c r="H257" i="63"/>
  <c r="I260" i="63"/>
  <c r="H261" i="63"/>
  <c r="J142" i="63" a="1"/>
  <c r="J142" i="63"/>
  <c r="M326" i="49"/>
  <c r="K188" i="49"/>
  <c r="K191" i="49"/>
  <c r="M210" i="49"/>
  <c r="K261" i="63"/>
  <c r="K259" i="63"/>
  <c r="L253" i="63"/>
  <c r="J256" i="63"/>
  <c r="L142" i="63" a="1"/>
  <c r="L142" i="63"/>
  <c r="K269" i="49"/>
  <c r="K270" i="49"/>
  <c r="K271" i="49"/>
  <c r="K272" i="49"/>
  <c r="J312" i="49"/>
  <c r="H314" i="49"/>
  <c r="L265" i="49"/>
  <c r="L269" i="49"/>
  <c r="L270" i="49"/>
  <c r="L271" i="49"/>
  <c r="L214" i="49"/>
  <c r="L217" i="49"/>
  <c r="K68" i="51" a="1"/>
  <c r="K68" i="51"/>
  <c r="L366" i="49"/>
  <c r="L369" i="49"/>
  <c r="O119" i="49"/>
  <c r="O157" i="49"/>
  <c r="K67" i="51" a="1"/>
  <c r="K67" i="51"/>
  <c r="M119" i="49"/>
  <c r="M123" i="49"/>
  <c r="M124" i="49"/>
  <c r="M125" i="49" a="1"/>
  <c r="M125" i="49"/>
  <c r="K48" i="63"/>
  <c r="L144" i="49"/>
  <c r="H380" i="44" a="1"/>
  <c r="H380" i="44"/>
  <c r="O172" i="49"/>
  <c r="M198" i="49"/>
  <c r="M147" i="49"/>
  <c r="M148" i="49"/>
  <c r="M149" i="49" a="1"/>
  <c r="M149" i="49"/>
  <c r="M109" i="49"/>
  <c r="M110" i="49"/>
  <c r="M111" i="49" a="1"/>
  <c r="M111" i="49"/>
  <c r="N106" i="49"/>
  <c r="L106" i="49"/>
  <c r="K109" i="49"/>
  <c r="K112" i="49"/>
  <c r="N201" i="49"/>
  <c r="N202" i="49"/>
  <c r="N203" i="49" a="1"/>
  <c r="N203" i="49"/>
  <c r="O175" i="49"/>
  <c r="O176" i="49"/>
  <c r="O177" i="49" a="1"/>
  <c r="O177" i="49"/>
  <c r="L147" i="49"/>
  <c r="L151" i="49"/>
  <c r="L63" i="49"/>
  <c r="N147" i="49"/>
  <c r="N148" i="49"/>
  <c r="N149" i="49" a="1"/>
  <c r="N149" i="49"/>
  <c r="K147" i="49"/>
  <c r="K148" i="49"/>
  <c r="K149" i="49" a="1"/>
  <c r="K149" i="49"/>
  <c r="O109" i="49"/>
  <c r="O112" i="49"/>
  <c r="L109" i="49"/>
  <c r="L112" i="49"/>
  <c r="K172" i="49"/>
  <c r="N172" i="49"/>
  <c r="O144" i="49"/>
  <c r="N198" i="49"/>
  <c r="L172" i="49"/>
  <c r="M172" i="49"/>
  <c r="M144" i="49"/>
  <c r="K175" i="49"/>
  <c r="K179" i="49"/>
  <c r="K66" i="49"/>
  <c r="O201" i="49"/>
  <c r="O202" i="49"/>
  <c r="O203" i="49" a="1"/>
  <c r="O203" i="49"/>
  <c r="M106" i="49"/>
  <c r="L191" i="49"/>
  <c r="M201" i="49"/>
  <c r="M205" i="49"/>
  <c r="M69" i="49"/>
  <c r="L201" i="49"/>
  <c r="L202" i="49"/>
  <c r="L203" i="49" a="1"/>
  <c r="L203" i="49"/>
  <c r="K144" i="49"/>
  <c r="O106" i="49"/>
  <c r="O198" i="49"/>
  <c r="N109" i="49"/>
  <c r="N112" i="49"/>
  <c r="K201" i="49"/>
  <c r="K205" i="49"/>
  <c r="K69" i="49"/>
  <c r="K106" i="49"/>
  <c r="L175" i="49"/>
  <c r="L179" i="49"/>
  <c r="L66" i="49"/>
  <c r="N144" i="49"/>
  <c r="L50" i="49"/>
  <c r="L51" i="49"/>
  <c r="L52" i="49"/>
  <c r="L53" i="49"/>
  <c r="M184" i="49"/>
  <c r="N137" i="49"/>
  <c r="N134" i="49"/>
  <c r="N136" i="49" a="1"/>
  <c r="N136" i="49"/>
  <c r="M175" i="49"/>
  <c r="M179" i="49"/>
  <c r="M66" i="49"/>
  <c r="M214" i="49"/>
  <c r="M218" i="49"/>
  <c r="M70" i="49"/>
  <c r="N214" i="49"/>
  <c r="N217" i="49"/>
  <c r="K198" i="49"/>
  <c r="K50" i="49"/>
  <c r="K51" i="49"/>
  <c r="K52" i="49"/>
  <c r="O147" i="49"/>
  <c r="O148" i="49"/>
  <c r="O149" i="49" a="1"/>
  <c r="O149" i="49"/>
  <c r="O50" i="49"/>
  <c r="O51" i="49"/>
  <c r="K335" i="44" a="1"/>
  <c r="K335" i="44"/>
  <c r="L137" i="49"/>
  <c r="L134" i="49"/>
  <c r="L136" i="49" a="1"/>
  <c r="L136" i="49"/>
  <c r="L138" i="49"/>
  <c r="M138" i="49"/>
  <c r="M137" i="49"/>
  <c r="M134" i="49"/>
  <c r="M136" i="49" a="1"/>
  <c r="M136" i="49"/>
  <c r="O191" i="49"/>
  <c r="O192" i="49"/>
  <c r="O67" i="49"/>
  <c r="O189" i="49"/>
  <c r="O190" i="49" a="1"/>
  <c r="O190" i="49"/>
  <c r="O138" i="49"/>
  <c r="O137" i="49"/>
  <c r="O134" i="49"/>
  <c r="O136" i="49" a="1"/>
  <c r="O136" i="49"/>
  <c r="H46" i="63"/>
  <c r="N138" i="49"/>
  <c r="I56" i="63" a="1"/>
  <c r="I56" i="63"/>
  <c r="J56" i="63" a="1"/>
  <c r="J56" i="63"/>
  <c r="L56" i="63" a="1"/>
  <c r="L56" i="63"/>
  <c r="K56" i="63" a="1"/>
  <c r="K56" i="63"/>
  <c r="H56" i="63" a="1"/>
  <c r="H56" i="63"/>
  <c r="H17" i="63"/>
  <c r="L17" i="63" a="1"/>
  <c r="L17" i="63"/>
  <c r="J17" i="63" a="1"/>
  <c r="J17" i="63"/>
  <c r="I17" i="63" a="1"/>
  <c r="I17" i="63"/>
  <c r="K17" i="63" a="1"/>
  <c r="K17" i="63"/>
  <c r="K14" i="63" a="1"/>
  <c r="K14" i="63"/>
  <c r="L14" i="63" a="1"/>
  <c r="L14" i="63"/>
  <c r="H14" i="63"/>
  <c r="I14" i="63" a="1"/>
  <c r="I14" i="63"/>
  <c r="J14" i="63" a="1"/>
  <c r="J14" i="63"/>
  <c r="H67" i="51" a="1"/>
  <c r="H67" i="51"/>
  <c r="J67" i="51" a="1"/>
  <c r="J67" i="51"/>
  <c r="I67" i="51" a="1"/>
  <c r="I67" i="51"/>
  <c r="I16" i="63" a="1"/>
  <c r="I16" i="63"/>
  <c r="J16" i="63" a="1"/>
  <c r="J16" i="63"/>
  <c r="K16" i="63" a="1"/>
  <c r="K16" i="63"/>
  <c r="L16" i="63" a="1"/>
  <c r="L16" i="63"/>
  <c r="H16" i="63"/>
  <c r="I13" i="63" a="1"/>
  <c r="I13" i="63"/>
  <c r="H13" i="63"/>
  <c r="K13" i="63" a="1"/>
  <c r="K13" i="63"/>
  <c r="L13" i="63" a="1"/>
  <c r="L13" i="63"/>
  <c r="J13" i="63" a="1"/>
  <c r="J13" i="63"/>
  <c r="S67" i="51" a="1"/>
  <c r="S67" i="51"/>
  <c r="K138" i="49"/>
  <c r="H68" i="51" a="1"/>
  <c r="H68" i="51"/>
  <c r="H12" i="63"/>
  <c r="K12" i="63" a="1"/>
  <c r="K12" i="63"/>
  <c r="J12" i="63" a="1"/>
  <c r="J12" i="63"/>
  <c r="L12" i="63" a="1"/>
  <c r="L12" i="63"/>
  <c r="I12" i="63" a="1"/>
  <c r="I12" i="63"/>
  <c r="U67" i="51" a="1"/>
  <c r="U67" i="51"/>
  <c r="L44" i="63"/>
  <c r="K134" i="49"/>
  <c r="K136" i="49" a="1"/>
  <c r="K136" i="49"/>
  <c r="G68" i="51" a="1"/>
  <c r="G68" i="51"/>
  <c r="N184" i="49"/>
  <c r="I11" i="63" a="1"/>
  <c r="I11" i="63"/>
  <c r="L11" i="63" a="1"/>
  <c r="L11" i="63"/>
  <c r="J11" i="63" a="1"/>
  <c r="J11" i="63"/>
  <c r="K11" i="63" a="1"/>
  <c r="K11" i="63"/>
  <c r="O184" i="49"/>
  <c r="I68" i="51" a="1"/>
  <c r="I68" i="51"/>
  <c r="K19" i="63" a="1"/>
  <c r="K19" i="63"/>
  <c r="J19" i="63" a="1"/>
  <c r="J19" i="63"/>
  <c r="I19" i="63" a="1"/>
  <c r="I19" i="63"/>
  <c r="H19" i="63"/>
  <c r="L19" i="63" a="1"/>
  <c r="L19" i="63"/>
  <c r="K47" i="63"/>
  <c r="H114" i="63"/>
  <c r="H130" i="63"/>
  <c r="J112" i="63"/>
  <c r="J128" i="63"/>
  <c r="I112" i="63"/>
  <c r="H115" i="63"/>
  <c r="H131" i="63"/>
  <c r="K112" i="63"/>
  <c r="K128" i="63"/>
  <c r="H116" i="63"/>
  <c r="H132" i="63"/>
  <c r="I115" i="63"/>
  <c r="I131" i="63"/>
  <c r="L112" i="63"/>
  <c r="L128" i="63"/>
  <c r="H117" i="63"/>
  <c r="I116" i="63"/>
  <c r="I132" i="63"/>
  <c r="J115" i="63"/>
  <c r="J131" i="63"/>
  <c r="I117" i="63"/>
  <c r="J116" i="63"/>
  <c r="J132" i="63"/>
  <c r="K115" i="63"/>
  <c r="K131" i="63"/>
  <c r="H129" i="63"/>
  <c r="I128" i="63"/>
  <c r="J117" i="63"/>
  <c r="K116" i="63"/>
  <c r="K132" i="63"/>
  <c r="L115" i="63"/>
  <c r="L131" i="63"/>
  <c r="H113" i="63"/>
  <c r="L117" i="63"/>
  <c r="K117" i="63"/>
  <c r="L116" i="63"/>
  <c r="L132" i="63"/>
  <c r="L184" i="49"/>
  <c r="J15" i="63" a="1"/>
  <c r="J15" i="63"/>
  <c r="L15" i="63" a="1"/>
  <c r="L15" i="63"/>
  <c r="H15" i="63"/>
  <c r="I15" i="63" a="1"/>
  <c r="I15" i="63"/>
  <c r="K15" i="63" a="1"/>
  <c r="K15" i="63"/>
  <c r="Q67" i="51" a="1"/>
  <c r="Q67" i="51"/>
  <c r="H18" i="63"/>
  <c r="I18" i="63" a="1"/>
  <c r="I18" i="63"/>
  <c r="L18" i="63" a="1"/>
  <c r="L18" i="63"/>
  <c r="J18" i="63" a="1"/>
  <c r="J18" i="63"/>
  <c r="K18" i="63" a="1"/>
  <c r="K18" i="63"/>
  <c r="Q85" i="51" a="1"/>
  <c r="Q85" i="51"/>
  <c r="N192" i="49"/>
  <c r="N67" i="49"/>
  <c r="L192" i="49"/>
  <c r="L67" i="49"/>
  <c r="H376" i="44"/>
  <c r="N191" i="49"/>
  <c r="M436" i="49"/>
  <c r="O179" i="49"/>
  <c r="O66" i="49"/>
  <c r="O178" i="49"/>
  <c r="E36" i="80"/>
  <c r="K330" i="49"/>
  <c r="K331" i="49" a="1"/>
  <c r="K331" i="49"/>
  <c r="K331" i="44"/>
  <c r="H108" i="44"/>
  <c r="M434" i="49"/>
  <c r="M435" i="49" a="1"/>
  <c r="M435" i="49"/>
  <c r="E35" i="80"/>
  <c r="J369" i="44"/>
  <c r="L434" i="49"/>
  <c r="L435" i="49" a="1"/>
  <c r="L435" i="49"/>
  <c r="L437" i="49"/>
  <c r="L290" i="49"/>
  <c r="N126" i="49"/>
  <c r="K332" i="49"/>
  <c r="K162" i="49"/>
  <c r="K163" i="49" a="1"/>
  <c r="K163" i="49"/>
  <c r="M394" i="49"/>
  <c r="M395" i="49"/>
  <c r="M396" i="49" a="1"/>
  <c r="M396" i="49"/>
  <c r="L356" i="49"/>
  <c r="L357" i="49"/>
  <c r="O10" i="49"/>
  <c r="M420" i="49"/>
  <c r="M421" i="49"/>
  <c r="M422" i="49" a="1"/>
  <c r="M422" i="49"/>
  <c r="K165" i="49"/>
  <c r="K64" i="49"/>
  <c r="O420" i="49"/>
  <c r="O423" i="49"/>
  <c r="K356" i="49"/>
  <c r="K357" i="49"/>
  <c r="L420" i="49"/>
  <c r="L424" i="49"/>
  <c r="L289" i="49"/>
  <c r="N420" i="49"/>
  <c r="N421" i="49"/>
  <c r="N422" i="49" a="1"/>
  <c r="N422" i="49"/>
  <c r="K366" i="49"/>
  <c r="K367" i="49"/>
  <c r="K368" i="49" a="1"/>
  <c r="K368" i="49"/>
  <c r="N394" i="49"/>
  <c r="N397" i="49"/>
  <c r="M272" i="49"/>
  <c r="M273" i="49"/>
  <c r="M231" i="49"/>
  <c r="M165" i="49"/>
  <c r="M64" i="49"/>
  <c r="M164" i="49"/>
  <c r="M162" i="49"/>
  <c r="M163" i="49" a="1"/>
  <c r="M163" i="49"/>
  <c r="L272" i="49"/>
  <c r="L273" i="49"/>
  <c r="L231" i="49"/>
  <c r="L394" i="49"/>
  <c r="L410" i="49"/>
  <c r="L411" i="49"/>
  <c r="L287" i="49"/>
  <c r="L408" i="49"/>
  <c r="L409" i="49" a="1"/>
  <c r="L409" i="49"/>
  <c r="I335" i="44" a="1"/>
  <c r="I335" i="44"/>
  <c r="O215" i="49"/>
  <c r="O216" i="49" a="1"/>
  <c r="O216" i="49"/>
  <c r="O218" i="49"/>
  <c r="O70" i="49"/>
  <c r="O217" i="49"/>
  <c r="I174" i="63"/>
  <c r="K217" i="49"/>
  <c r="K215" i="49"/>
  <c r="K216" i="49" a="1"/>
  <c r="K216" i="49"/>
  <c r="K218" i="49"/>
  <c r="K70" i="49"/>
  <c r="N366" i="49"/>
  <c r="O366" i="49"/>
  <c r="T140" i="51" a="1"/>
  <c r="T140" i="51"/>
  <c r="K177" i="63"/>
  <c r="K140" i="51" a="1"/>
  <c r="K140" i="51"/>
  <c r="N179" i="49"/>
  <c r="N66" i="49"/>
  <c r="N178" i="49"/>
  <c r="N176" i="49"/>
  <c r="N177" i="49" a="1"/>
  <c r="N177" i="49"/>
  <c r="O271" i="49"/>
  <c r="O272" i="49"/>
  <c r="O273" i="49"/>
  <c r="O231" i="49"/>
  <c r="H175" i="63"/>
  <c r="M157" i="49"/>
  <c r="O123" i="49"/>
  <c r="O436" i="49"/>
  <c r="O434" i="49"/>
  <c r="O435" i="49" a="1"/>
  <c r="O435" i="49"/>
  <c r="O437" i="49"/>
  <c r="O290" i="49"/>
  <c r="O397" i="49"/>
  <c r="O398" i="49"/>
  <c r="O286" i="49"/>
  <c r="O395" i="49"/>
  <c r="O396" i="49" a="1"/>
  <c r="O396" i="49"/>
  <c r="J328" i="44" a="1"/>
  <c r="J328" i="44"/>
  <c r="L162" i="49"/>
  <c r="L163" i="49" a="1"/>
  <c r="L163" i="49"/>
  <c r="L165" i="49"/>
  <c r="L64" i="49"/>
  <c r="L164" i="49"/>
  <c r="L124" i="49"/>
  <c r="L125" i="49" a="1"/>
  <c r="L125" i="49"/>
  <c r="L127" i="49"/>
  <c r="L61" i="49"/>
  <c r="L126" i="49"/>
  <c r="Q140" i="51" a="1"/>
  <c r="Q140" i="51"/>
  <c r="H177" i="63"/>
  <c r="R67" i="51" a="1"/>
  <c r="R67" i="51"/>
  <c r="I47" i="63"/>
  <c r="J373" i="44" a="1"/>
  <c r="J373" i="44"/>
  <c r="K410" i="49"/>
  <c r="K411" i="49"/>
  <c r="K287" i="49"/>
  <c r="K408" i="49"/>
  <c r="K409" i="49" a="1"/>
  <c r="K409" i="49"/>
  <c r="N165" i="49"/>
  <c r="N64" i="49"/>
  <c r="N162" i="49"/>
  <c r="N163" i="49" a="1"/>
  <c r="N163" i="49"/>
  <c r="N164" i="49"/>
  <c r="K127" i="49"/>
  <c r="K61" i="49"/>
  <c r="K126" i="49"/>
  <c r="K124" i="49"/>
  <c r="K125" i="49" a="1"/>
  <c r="K125" i="49"/>
  <c r="N347" i="49"/>
  <c r="N281" i="49"/>
  <c r="N346" i="49"/>
  <c r="N344" i="49"/>
  <c r="N345" i="49" a="1"/>
  <c r="N345" i="49"/>
  <c r="J175" i="63"/>
  <c r="J380" i="44" a="1"/>
  <c r="J380" i="44"/>
  <c r="K380" i="44" a="1"/>
  <c r="K380" i="44"/>
  <c r="G342" i="44"/>
  <c r="I380" i="44" a="1"/>
  <c r="I380" i="44"/>
  <c r="O332" i="49"/>
  <c r="M333" i="49"/>
  <c r="M280" i="49"/>
  <c r="M330" i="49"/>
  <c r="M331" i="49" a="1"/>
  <c r="M331" i="49"/>
  <c r="M332" i="49"/>
  <c r="S140" i="51" a="1"/>
  <c r="S140" i="51"/>
  <c r="J177" i="63"/>
  <c r="M192" i="49"/>
  <c r="M67" i="49"/>
  <c r="M189" i="49"/>
  <c r="M190" i="49" a="1"/>
  <c r="M190" i="49"/>
  <c r="M191" i="49"/>
  <c r="N333" i="49"/>
  <c r="N280" i="49"/>
  <c r="N330" i="49"/>
  <c r="N331" i="49" a="1"/>
  <c r="N331" i="49"/>
  <c r="K394" i="49"/>
  <c r="N437" i="49"/>
  <c r="N290" i="49"/>
  <c r="N436" i="49"/>
  <c r="N434" i="49"/>
  <c r="N435" i="49" a="1"/>
  <c r="N435" i="49"/>
  <c r="H328" i="44" a="1"/>
  <c r="H328" i="44"/>
  <c r="N356" i="49"/>
  <c r="N357" i="49"/>
  <c r="G140" i="51" a="1"/>
  <c r="G140" i="51"/>
  <c r="H176" i="63"/>
  <c r="M366" i="49"/>
  <c r="L344" i="49"/>
  <c r="L345" i="49" a="1"/>
  <c r="L345" i="49"/>
  <c r="L346" i="49"/>
  <c r="L347" i="49"/>
  <c r="L281" i="49"/>
  <c r="K420" i="49"/>
  <c r="O161" i="49"/>
  <c r="L333" i="49"/>
  <c r="L280" i="49"/>
  <c r="I328" i="44" a="1"/>
  <c r="I328" i="44"/>
  <c r="U83" i="51" a="1"/>
  <c r="U83" i="51"/>
  <c r="U129" i="51" a="1"/>
  <c r="U129" i="51"/>
  <c r="J130" i="51" a="1"/>
  <c r="J130" i="51"/>
  <c r="H130" i="51" a="1"/>
  <c r="H130" i="51"/>
  <c r="S57" i="51" a="1"/>
  <c r="S57" i="51"/>
  <c r="K129" i="51" a="1"/>
  <c r="K129" i="51"/>
  <c r="R84" i="51" a="1"/>
  <c r="R84" i="51"/>
  <c r="R130" i="51" a="1"/>
  <c r="R130" i="51"/>
  <c r="R83" i="51" a="1"/>
  <c r="R83" i="51"/>
  <c r="R129" i="51" a="1"/>
  <c r="R129" i="51"/>
  <c r="K57" i="51" a="1"/>
  <c r="K57" i="51"/>
  <c r="J56" i="51" a="1"/>
  <c r="J56" i="51"/>
  <c r="S56" i="51" a="1"/>
  <c r="S56" i="51"/>
  <c r="H57" i="51" a="1"/>
  <c r="H57" i="51"/>
  <c r="I57" i="51" a="1"/>
  <c r="I57" i="51"/>
  <c r="S83" i="51" a="1"/>
  <c r="S83" i="51"/>
  <c r="S129" i="51" a="1"/>
  <c r="S129" i="51"/>
  <c r="U57" i="51" a="1"/>
  <c r="U57" i="51"/>
  <c r="J57" i="51" a="1"/>
  <c r="J57" i="51"/>
  <c r="G58" i="51" a="1"/>
  <c r="G58" i="51"/>
  <c r="T56" i="51" a="1"/>
  <c r="T56" i="51"/>
  <c r="R57" i="51" a="1"/>
  <c r="R57" i="51"/>
  <c r="R56" i="51" a="1"/>
  <c r="R56" i="51"/>
  <c r="U56" i="51" a="1"/>
  <c r="U56" i="51"/>
  <c r="F36" i="80"/>
  <c r="K130" i="51" a="1"/>
  <c r="K130" i="51"/>
  <c r="F35" i="80"/>
  <c r="B240" i="44"/>
  <c r="I175" i="63"/>
  <c r="M381" i="49"/>
  <c r="M382" i="49" a="1"/>
  <c r="M382" i="49"/>
  <c r="M383" i="49"/>
  <c r="N408" i="49"/>
  <c r="N409" i="49" a="1"/>
  <c r="N409" i="49"/>
  <c r="K175" i="63"/>
  <c r="O384" i="49"/>
  <c r="O284" i="49"/>
  <c r="O381" i="49"/>
  <c r="O382" i="49" a="1"/>
  <c r="O382" i="49"/>
  <c r="I178" i="63"/>
  <c r="K434" i="49"/>
  <c r="K435" i="49" a="1"/>
  <c r="K435" i="49"/>
  <c r="K437" i="49"/>
  <c r="K290" i="49"/>
  <c r="M356" i="49"/>
  <c r="M357" i="49"/>
  <c r="N124" i="49"/>
  <c r="N125" i="49" a="1"/>
  <c r="N125" i="49"/>
  <c r="J176" i="63"/>
  <c r="L177" i="63"/>
  <c r="N411" i="49"/>
  <c r="N287" i="49"/>
  <c r="O333" i="49"/>
  <c r="O280" i="49"/>
  <c r="O356" i="49"/>
  <c r="O357" i="49"/>
  <c r="L46" i="63"/>
  <c r="H174" i="63"/>
  <c r="L381" i="49"/>
  <c r="L382" i="49" a="1"/>
  <c r="L382" i="49"/>
  <c r="L178" i="63"/>
  <c r="L383" i="49"/>
  <c r="L332" i="49"/>
  <c r="K192" i="49"/>
  <c r="K67" i="49"/>
  <c r="P67" i="49"/>
  <c r="Q67" i="49"/>
  <c r="K189" i="49"/>
  <c r="K190" i="49" a="1"/>
  <c r="K190" i="49"/>
  <c r="N384" i="49"/>
  <c r="N284" i="49"/>
  <c r="J178" i="63"/>
  <c r="N381" i="49"/>
  <c r="N382" i="49" a="1"/>
  <c r="N382" i="49"/>
  <c r="J140" i="51" a="1"/>
  <c r="J140" i="51"/>
  <c r="I176" i="63"/>
  <c r="K346" i="49"/>
  <c r="K347" i="49"/>
  <c r="K281" i="49"/>
  <c r="K279" i="49"/>
  <c r="K273" i="49"/>
  <c r="K231" i="49"/>
  <c r="K178" i="63"/>
  <c r="N272" i="49"/>
  <c r="N273" i="49"/>
  <c r="N231" i="49"/>
  <c r="H178" i="63"/>
  <c r="G141" i="51" a="1"/>
  <c r="G141" i="51"/>
  <c r="I177" i="63"/>
  <c r="K174" i="63"/>
  <c r="K384" i="49"/>
  <c r="K284" i="49"/>
  <c r="L215" i="49"/>
  <c r="L216" i="49" a="1"/>
  <c r="L216" i="49"/>
  <c r="K383" i="49"/>
  <c r="L218" i="49"/>
  <c r="L70" i="49"/>
  <c r="J314" i="49"/>
  <c r="O339" i="49"/>
  <c r="M343" i="49"/>
  <c r="M339" i="49"/>
  <c r="M407" i="49"/>
  <c r="L48" i="63"/>
  <c r="L370" i="49"/>
  <c r="L283" i="49"/>
  <c r="L282" i="49"/>
  <c r="L367" i="49"/>
  <c r="L368" i="49" a="1"/>
  <c r="L368" i="49"/>
  <c r="J44" i="63"/>
  <c r="M126" i="49"/>
  <c r="M150" i="49"/>
  <c r="M127" i="49"/>
  <c r="M61" i="49"/>
  <c r="L45" i="63"/>
  <c r="J68" i="51" a="1"/>
  <c r="J68" i="51"/>
  <c r="E36" i="52"/>
  <c r="F36" i="52"/>
  <c r="K204" i="49"/>
  <c r="K113" i="49"/>
  <c r="K60" i="49"/>
  <c r="K59" i="49"/>
  <c r="L110" i="49"/>
  <c r="L111" i="49" a="1"/>
  <c r="L111" i="49"/>
  <c r="K110" i="49"/>
  <c r="K111" i="49" a="1"/>
  <c r="K111" i="49"/>
  <c r="L113" i="49"/>
  <c r="L60" i="49"/>
  <c r="J48" i="63"/>
  <c r="N113" i="49"/>
  <c r="N60" i="49"/>
  <c r="N59" i="49"/>
  <c r="H45" i="63"/>
  <c r="N110" i="49"/>
  <c r="N111" i="49" a="1"/>
  <c r="N111" i="49"/>
  <c r="M178" i="49"/>
  <c r="M176" i="49"/>
  <c r="M177" i="49" a="1"/>
  <c r="M177" i="49"/>
  <c r="J47" i="63"/>
  <c r="L150" i="49"/>
  <c r="L148" i="49"/>
  <c r="L149" i="49" a="1"/>
  <c r="L149" i="49"/>
  <c r="M151" i="49"/>
  <c r="M63" i="49"/>
  <c r="M62" i="49"/>
  <c r="N205" i="49"/>
  <c r="N69" i="49"/>
  <c r="N204" i="49"/>
  <c r="O204" i="49"/>
  <c r="K151" i="49"/>
  <c r="K63" i="49"/>
  <c r="O110" i="49"/>
  <c r="O111" i="49" a="1"/>
  <c r="O111" i="49"/>
  <c r="I44" i="63"/>
  <c r="O113" i="49"/>
  <c r="O60" i="49"/>
  <c r="K150" i="49"/>
  <c r="N151" i="49"/>
  <c r="N63" i="49"/>
  <c r="N62" i="49"/>
  <c r="M204" i="49"/>
  <c r="M113" i="49"/>
  <c r="M60" i="49"/>
  <c r="N150" i="49"/>
  <c r="M112" i="49"/>
  <c r="K202" i="49"/>
  <c r="K203" i="49" a="1"/>
  <c r="K203" i="49"/>
  <c r="M202" i="49"/>
  <c r="M203" i="49" a="1"/>
  <c r="M203" i="49"/>
  <c r="K178" i="49"/>
  <c r="K46" i="63"/>
  <c r="K176" i="49"/>
  <c r="K177" i="49" a="1"/>
  <c r="K177" i="49"/>
  <c r="J45" i="63"/>
  <c r="O205" i="49"/>
  <c r="O69" i="49"/>
  <c r="O68" i="49"/>
  <c r="O73" i="49"/>
  <c r="L176" i="49"/>
  <c r="L177" i="49" a="1"/>
  <c r="L177" i="49"/>
  <c r="L204" i="49"/>
  <c r="H47" i="63"/>
  <c r="L205" i="49"/>
  <c r="L69" i="49"/>
  <c r="O151" i="49"/>
  <c r="O63" i="49"/>
  <c r="H48" i="63"/>
  <c r="O150" i="49"/>
  <c r="G67" i="51" a="1"/>
  <c r="G67" i="51"/>
  <c r="T67" i="51" a="1"/>
  <c r="T67" i="51"/>
  <c r="N65" i="49"/>
  <c r="N72" i="49"/>
  <c r="L178" i="49"/>
  <c r="I48" i="63"/>
  <c r="J46" i="63"/>
  <c r="D35" i="80"/>
  <c r="O65" i="49"/>
  <c r="O72" i="49"/>
  <c r="K44" i="63"/>
  <c r="M215" i="49"/>
  <c r="M216" i="49" a="1"/>
  <c r="M216" i="49"/>
  <c r="M217" i="49"/>
  <c r="I46" i="63"/>
  <c r="N218" i="49"/>
  <c r="N70" i="49"/>
  <c r="N215" i="49"/>
  <c r="N216" i="49" a="1"/>
  <c r="N216" i="49"/>
  <c r="Q131" i="51" a="1"/>
  <c r="Q131" i="51"/>
  <c r="L47" i="63"/>
  <c r="L65" i="49"/>
  <c r="L72" i="49"/>
  <c r="H44" i="63"/>
  <c r="L103" i="63"/>
  <c r="H369" i="44"/>
  <c r="K45" i="63"/>
  <c r="I45" i="63"/>
  <c r="J70" i="44"/>
  <c r="I376" i="44"/>
  <c r="I108" i="44"/>
  <c r="J331" i="44"/>
  <c r="I115" i="44"/>
  <c r="J324" i="44"/>
  <c r="L59" i="49"/>
  <c r="K324" i="44"/>
  <c r="I369" i="44"/>
  <c r="G364" i="44"/>
  <c r="J63" i="44"/>
  <c r="J376" i="44"/>
  <c r="I331" i="44"/>
  <c r="I350" i="44" a="1"/>
  <c r="I350" i="44"/>
  <c r="I324" i="44"/>
  <c r="H70" i="44"/>
  <c r="K108" i="44"/>
  <c r="K115" i="44"/>
  <c r="H63" i="44"/>
  <c r="N395" i="49"/>
  <c r="N396" i="49" a="1"/>
  <c r="N396" i="49"/>
  <c r="K369" i="44"/>
  <c r="J115" i="44"/>
  <c r="J108" i="44"/>
  <c r="H331" i="44"/>
  <c r="I63" i="44"/>
  <c r="O421" i="49"/>
  <c r="O422" i="49" a="1"/>
  <c r="O422" i="49"/>
  <c r="H324" i="44"/>
  <c r="H115" i="44"/>
  <c r="K70" i="44"/>
  <c r="K63" i="44"/>
  <c r="D36" i="80"/>
  <c r="I70" i="44"/>
  <c r="E40" i="80"/>
  <c r="K376" i="44"/>
  <c r="H36" i="80"/>
  <c r="M398" i="49"/>
  <c r="M286" i="49"/>
  <c r="L423" i="49"/>
  <c r="L421" i="49"/>
  <c r="L422" i="49" a="1"/>
  <c r="L422" i="49"/>
  <c r="O424" i="49"/>
  <c r="O289" i="49"/>
  <c r="O288" i="49"/>
  <c r="O293" i="49"/>
  <c r="N398" i="49"/>
  <c r="N286" i="49"/>
  <c r="N285" i="49"/>
  <c r="N292" i="49"/>
  <c r="K369" i="49"/>
  <c r="L288" i="49"/>
  <c r="L293" i="49"/>
  <c r="H35" i="80"/>
  <c r="M424" i="49"/>
  <c r="M289" i="49"/>
  <c r="M288" i="49"/>
  <c r="M293" i="49"/>
  <c r="N423" i="49"/>
  <c r="N424" i="49"/>
  <c r="N289" i="49"/>
  <c r="N288" i="49"/>
  <c r="N293" i="49"/>
  <c r="M397" i="49"/>
  <c r="M423" i="49"/>
  <c r="K370" i="49"/>
  <c r="K283" i="49"/>
  <c r="M68" i="49"/>
  <c r="M73" i="49"/>
  <c r="L62" i="49"/>
  <c r="P290" i="49"/>
  <c r="Q290" i="49"/>
  <c r="N279" i="49"/>
  <c r="M52" i="49"/>
  <c r="M53" i="49"/>
  <c r="M54" i="49"/>
  <c r="M12" i="49"/>
  <c r="I129" i="51" a="1"/>
  <c r="I129" i="51"/>
  <c r="N100" i="52" a="1"/>
  <c r="N100" i="52"/>
  <c r="I139" i="51" a="1"/>
  <c r="I139" i="51"/>
  <c r="U84" i="51" a="1"/>
  <c r="U84" i="51"/>
  <c r="U130" i="51" a="1"/>
  <c r="U130" i="51"/>
  <c r="T83" i="51" a="1"/>
  <c r="T83" i="51"/>
  <c r="T129" i="51" a="1"/>
  <c r="T129" i="51"/>
  <c r="I66" i="51" a="1"/>
  <c r="I66" i="51"/>
  <c r="F100" i="52" a="1"/>
  <c r="F100" i="52"/>
  <c r="M65" i="49"/>
  <c r="M72" i="49"/>
  <c r="S84" i="51" a="1"/>
  <c r="S84" i="51"/>
  <c r="S130" i="51" a="1"/>
  <c r="S130" i="51"/>
  <c r="E100" i="84" a="1"/>
  <c r="E100" i="84"/>
  <c r="R66" i="51" a="1"/>
  <c r="R66" i="51"/>
  <c r="E98" i="80" a="1"/>
  <c r="E98" i="80"/>
  <c r="S139" i="51" a="1"/>
  <c r="S139" i="51"/>
  <c r="N98" i="80" a="1"/>
  <c r="N98" i="80"/>
  <c r="N100" i="84" a="1"/>
  <c r="N100" i="84"/>
  <c r="O52" i="49"/>
  <c r="K68" i="49"/>
  <c r="I56" i="51" a="1"/>
  <c r="I56" i="51"/>
  <c r="G100" i="52" a="1"/>
  <c r="G100" i="52"/>
  <c r="J66" i="51" a="1"/>
  <c r="J66" i="51"/>
  <c r="N370" i="49"/>
  <c r="N283" i="49"/>
  <c r="N282" i="49"/>
  <c r="N369" i="49"/>
  <c r="N367" i="49"/>
  <c r="N368" i="49" a="1"/>
  <c r="N368" i="49"/>
  <c r="K56" i="51" a="1"/>
  <c r="K56" i="51"/>
  <c r="O100" i="52" a="1"/>
  <c r="O100" i="52"/>
  <c r="J139" i="51" a="1"/>
  <c r="J139" i="51"/>
  <c r="M100" i="84" a="1"/>
  <c r="M100" i="84"/>
  <c r="M98" i="80" a="1"/>
  <c r="M98" i="80"/>
  <c r="R139" i="51" a="1"/>
  <c r="R139" i="51"/>
  <c r="K53" i="49"/>
  <c r="K54" i="49"/>
  <c r="K12" i="49"/>
  <c r="M370" i="49"/>
  <c r="M283" i="49"/>
  <c r="M282" i="49"/>
  <c r="M369" i="49"/>
  <c r="M367" i="49"/>
  <c r="M368" i="49" a="1"/>
  <c r="M368" i="49"/>
  <c r="L100" i="52" a="1"/>
  <c r="L100" i="52"/>
  <c r="G139" i="51" a="1"/>
  <c r="G139" i="51"/>
  <c r="M100" i="52" a="1"/>
  <c r="M100" i="52"/>
  <c r="H139" i="51" a="1"/>
  <c r="H139" i="51"/>
  <c r="K423" i="49"/>
  <c r="K421" i="49"/>
  <c r="K422" i="49" a="1"/>
  <c r="K422" i="49"/>
  <c r="K424" i="49"/>
  <c r="K289" i="49"/>
  <c r="J129" i="51" a="1"/>
  <c r="J129" i="51"/>
  <c r="O367" i="49"/>
  <c r="O368" i="49" a="1"/>
  <c r="O368" i="49"/>
  <c r="O369" i="49"/>
  <c r="O370" i="49"/>
  <c r="O283" i="49"/>
  <c r="O282" i="49"/>
  <c r="I130" i="51" a="1"/>
  <c r="I130" i="51"/>
  <c r="P280" i="49"/>
  <c r="Q280" i="49"/>
  <c r="T57" i="51" a="1"/>
  <c r="T57" i="51"/>
  <c r="H129" i="51" a="1"/>
  <c r="H129" i="51"/>
  <c r="K395" i="49"/>
  <c r="K396" i="49" a="1"/>
  <c r="K396" i="49"/>
  <c r="K398" i="49"/>
  <c r="K286" i="49"/>
  <c r="K397" i="49"/>
  <c r="O124" i="49"/>
  <c r="O125" i="49" a="1"/>
  <c r="O125" i="49"/>
  <c r="O126" i="49"/>
  <c r="O127" i="49"/>
  <c r="O61" i="49"/>
  <c r="L98" i="80" a="1"/>
  <c r="L98" i="80"/>
  <c r="Q139" i="51" a="1"/>
  <c r="Q139" i="51"/>
  <c r="L100" i="84" a="1"/>
  <c r="L100" i="84"/>
  <c r="N53" i="49"/>
  <c r="N54" i="49"/>
  <c r="N12" i="49"/>
  <c r="Q58" i="51" a="1"/>
  <c r="Q58" i="51"/>
  <c r="T139" i="51" a="1"/>
  <c r="T139" i="51"/>
  <c r="O98" i="80" a="1"/>
  <c r="O98" i="80"/>
  <c r="O100" i="84" a="1"/>
  <c r="O100" i="84"/>
  <c r="L395" i="49"/>
  <c r="L396" i="49" a="1"/>
  <c r="L396" i="49"/>
  <c r="L398" i="49"/>
  <c r="L286" i="49"/>
  <c r="L285" i="49"/>
  <c r="L292" i="49"/>
  <c r="L397" i="49"/>
  <c r="H100" i="84" a="1"/>
  <c r="H100" i="84"/>
  <c r="U66" i="51" a="1"/>
  <c r="U66" i="51"/>
  <c r="H98" i="80" a="1"/>
  <c r="H98" i="80"/>
  <c r="P98" i="80" a="1"/>
  <c r="P98" i="80"/>
  <c r="U139" i="51" a="1"/>
  <c r="U139" i="51"/>
  <c r="P100" i="84" a="1"/>
  <c r="P100" i="84"/>
  <c r="L279" i="49"/>
  <c r="Q66" i="51" a="1"/>
  <c r="Q66" i="51"/>
  <c r="D98" i="80" a="1"/>
  <c r="D98" i="80"/>
  <c r="D100" i="84" a="1"/>
  <c r="D100" i="84"/>
  <c r="L54" i="49"/>
  <c r="L12" i="49"/>
  <c r="G98" i="80" a="1"/>
  <c r="G98" i="80"/>
  <c r="G100" i="84" a="1"/>
  <c r="G100" i="84"/>
  <c r="T66" i="51" a="1"/>
  <c r="T66" i="51"/>
  <c r="O164" i="49"/>
  <c r="O162" i="49"/>
  <c r="O163" i="49" a="1"/>
  <c r="O163" i="49"/>
  <c r="O165" i="49"/>
  <c r="O64" i="49"/>
  <c r="H66" i="51" a="1"/>
  <c r="H66" i="51"/>
  <c r="E100" i="52" a="1"/>
  <c r="E100" i="52"/>
  <c r="G131" i="51" a="1"/>
  <c r="G131" i="51"/>
  <c r="T84" i="51" a="1"/>
  <c r="T84" i="51"/>
  <c r="T130" i="51" a="1"/>
  <c r="T130" i="51"/>
  <c r="P100" i="52" a="1"/>
  <c r="P100" i="52"/>
  <c r="K139" i="51" a="1"/>
  <c r="K139" i="51"/>
  <c r="P66" i="49"/>
  <c r="Q66" i="49"/>
  <c r="S66" i="51" a="1"/>
  <c r="S66" i="51"/>
  <c r="F100" i="84" a="1"/>
  <c r="F100" i="84"/>
  <c r="F98" i="80" a="1"/>
  <c r="F98" i="80"/>
  <c r="G66" i="51" a="1"/>
  <c r="G66" i="51"/>
  <c r="D100" i="52" a="1"/>
  <c r="D100" i="52"/>
  <c r="S46" i="51"/>
  <c r="H119" i="51"/>
  <c r="U118" i="51"/>
  <c r="K118" i="51"/>
  <c r="J119" i="51"/>
  <c r="Q120" i="51"/>
  <c r="T45" i="51"/>
  <c r="S118" i="51"/>
  <c r="R45" i="51"/>
  <c r="S45" i="51"/>
  <c r="U45" i="51"/>
  <c r="K46" i="51"/>
  <c r="R46" i="51"/>
  <c r="I46" i="51"/>
  <c r="J46" i="51"/>
  <c r="R118" i="51"/>
  <c r="U46" i="51"/>
  <c r="H46" i="51"/>
  <c r="R119" i="51"/>
  <c r="G47" i="51"/>
  <c r="J45" i="51"/>
  <c r="K402" i="44" a="1"/>
  <c r="K402" i="44"/>
  <c r="H364" i="44" a="1"/>
  <c r="H364" i="44"/>
  <c r="G395" i="44"/>
  <c r="G373" i="44"/>
  <c r="K119" i="51"/>
  <c r="J350" i="44" a="1"/>
  <c r="J350" i="44"/>
  <c r="F40" i="84"/>
  <c r="F40" i="80"/>
  <c r="B269" i="44"/>
  <c r="L68" i="49"/>
  <c r="L73" i="49"/>
  <c r="P231" i="49"/>
  <c r="O407" i="49"/>
  <c r="O411" i="49"/>
  <c r="O287" i="49"/>
  <c r="O285" i="49"/>
  <c r="O292" i="49"/>
  <c r="K65" i="49"/>
  <c r="O343" i="49"/>
  <c r="O346" i="49"/>
  <c r="P284" i="49"/>
  <c r="Q284" i="49"/>
  <c r="K282" i="49"/>
  <c r="P282" i="49"/>
  <c r="Q282" i="49"/>
  <c r="M344" i="49"/>
  <c r="M345" i="49" a="1"/>
  <c r="M345" i="49"/>
  <c r="M346" i="49"/>
  <c r="M347" i="49"/>
  <c r="M281" i="49"/>
  <c r="U58" i="51" a="1"/>
  <c r="U58" i="51"/>
  <c r="O347" i="49"/>
  <c r="O281" i="49"/>
  <c r="O279" i="49"/>
  <c r="O408" i="49"/>
  <c r="O409" i="49" a="1"/>
  <c r="O409" i="49"/>
  <c r="M410" i="49"/>
  <c r="M411" i="49"/>
  <c r="M287" i="49"/>
  <c r="M408" i="49"/>
  <c r="M409" i="49" a="1"/>
  <c r="M409" i="49"/>
  <c r="F40" i="52"/>
  <c r="M59" i="49"/>
  <c r="K342" i="44" a="1"/>
  <c r="K342" i="44"/>
  <c r="H36" i="52"/>
  <c r="N68" i="49"/>
  <c r="N73" i="49"/>
  <c r="M229" i="49"/>
  <c r="P60" i="49"/>
  <c r="Q60" i="49"/>
  <c r="P63" i="49"/>
  <c r="Q63" i="49"/>
  <c r="K62" i="49"/>
  <c r="O59" i="49"/>
  <c r="O62" i="49"/>
  <c r="K66" i="51" a="1"/>
  <c r="K66" i="51"/>
  <c r="H100" i="52" a="1"/>
  <c r="H100" i="52"/>
  <c r="P70" i="49"/>
  <c r="Q70" i="49"/>
  <c r="P69" i="49"/>
  <c r="Q69" i="49"/>
  <c r="I133" i="51" a="1"/>
  <c r="I133" i="51"/>
  <c r="J357" i="44" a="1"/>
  <c r="J357" i="44"/>
  <c r="D40" i="80"/>
  <c r="G350" i="44"/>
  <c r="H357" i="44" a="1"/>
  <c r="H357" i="44"/>
  <c r="G357" i="44"/>
  <c r="K387" i="44" a="1"/>
  <c r="K387" i="44"/>
  <c r="K350" i="44" a="1"/>
  <c r="K350" i="44"/>
  <c r="L100" i="63"/>
  <c r="L118" i="63"/>
  <c r="K357" i="44" a="1"/>
  <c r="K357" i="44"/>
  <c r="L121" i="63"/>
  <c r="L122" i="63"/>
  <c r="L104" i="63"/>
  <c r="L105" i="63"/>
  <c r="O11" i="49"/>
  <c r="M11" i="49"/>
  <c r="N11" i="49"/>
  <c r="L11" i="49"/>
  <c r="L10" i="49"/>
  <c r="G135" i="51" a="1"/>
  <c r="G135" i="51"/>
  <c r="G130" i="51" a="1"/>
  <c r="G130" i="51"/>
  <c r="I357" i="44" a="1"/>
  <c r="I357" i="44"/>
  <c r="Q61" i="51" a="1"/>
  <c r="Q61" i="51"/>
  <c r="I342" i="44" a="1"/>
  <c r="I342" i="44"/>
  <c r="H350" i="44" a="1"/>
  <c r="H350" i="44"/>
  <c r="H131" i="51" a="1"/>
  <c r="H131" i="51"/>
  <c r="I35" i="80"/>
  <c r="H40" i="84"/>
  <c r="K395" i="44" a="1"/>
  <c r="K395" i="44"/>
  <c r="H40" i="80"/>
  <c r="I36" i="80"/>
  <c r="D40" i="84"/>
  <c r="J35" i="80"/>
  <c r="E37" i="52"/>
  <c r="E40" i="52"/>
  <c r="N230" i="49"/>
  <c r="L230" i="49"/>
  <c r="K230" i="49"/>
  <c r="N229" i="49"/>
  <c r="O230" i="49"/>
  <c r="K72" i="49"/>
  <c r="P65" i="49"/>
  <c r="Q65" i="49"/>
  <c r="G120" i="51"/>
  <c r="I119" i="51"/>
  <c r="J118" i="51"/>
  <c r="T118" i="51"/>
  <c r="H118" i="51"/>
  <c r="P289" i="49"/>
  <c r="Q289" i="49"/>
  <c r="K288" i="49"/>
  <c r="O53" i="49"/>
  <c r="O54" i="49"/>
  <c r="O12" i="49"/>
  <c r="P12" i="49"/>
  <c r="I118" i="51"/>
  <c r="I402" i="44" a="1"/>
  <c r="I402" i="44"/>
  <c r="T46" i="51"/>
  <c r="P61" i="49"/>
  <c r="Q61" i="49"/>
  <c r="U119" i="51"/>
  <c r="K45" i="51"/>
  <c r="I45" i="51"/>
  <c r="P283" i="49"/>
  <c r="Q283" i="49"/>
  <c r="P64" i="49"/>
  <c r="Q64" i="49"/>
  <c r="T119" i="51"/>
  <c r="Q47" i="51"/>
  <c r="O229" i="49"/>
  <c r="K285" i="49"/>
  <c r="P286" i="49"/>
  <c r="Q286" i="49"/>
  <c r="K73" i="49"/>
  <c r="S119" i="51"/>
  <c r="G129" i="51" a="1"/>
  <c r="G129" i="51"/>
  <c r="G328" i="44"/>
  <c r="J310" i="44" a="1"/>
  <c r="J310" i="44"/>
  <c r="J36" i="80"/>
  <c r="J342" i="44" a="1"/>
  <c r="J342" i="44"/>
  <c r="I302" i="44" a="1"/>
  <c r="I302" i="44"/>
  <c r="I310" i="44" a="1"/>
  <c r="I310" i="44"/>
  <c r="H31" i="44" a="1"/>
  <c r="H31" i="44"/>
  <c r="H40" i="44" a="1"/>
  <c r="H40" i="44"/>
  <c r="G31" i="44" a="1"/>
  <c r="G31" i="44"/>
  <c r="G310" i="44" a="1"/>
  <c r="G310" i="44"/>
  <c r="K302" i="44" a="1"/>
  <c r="K302" i="44"/>
  <c r="G285" i="44" a="1"/>
  <c r="G285" i="44"/>
  <c r="I395" i="44" a="1"/>
  <c r="I395" i="44"/>
  <c r="H302" i="44" a="1"/>
  <c r="H302" i="44"/>
  <c r="J395" i="44" a="1"/>
  <c r="J395" i="44"/>
  <c r="S134" i="51" a="1"/>
  <c r="S134" i="51"/>
  <c r="K133" i="51" a="1"/>
  <c r="K133" i="51"/>
  <c r="I364" i="44" a="1"/>
  <c r="I364" i="44"/>
  <c r="U60" i="51" a="1"/>
  <c r="U60" i="51"/>
  <c r="S60" i="51" a="1"/>
  <c r="S60" i="51"/>
  <c r="H135" i="51" a="1"/>
  <c r="H135" i="51"/>
  <c r="U133" i="51" a="1"/>
  <c r="U133" i="51"/>
  <c r="Q129" i="51" a="1"/>
  <c r="Q129" i="51"/>
  <c r="Q133" i="51" a="1"/>
  <c r="Q133" i="51"/>
  <c r="F37" i="52"/>
  <c r="G133" i="51" a="1"/>
  <c r="G133" i="51"/>
  <c r="U134" i="51" a="1"/>
  <c r="U134" i="51"/>
  <c r="J133" i="51" a="1"/>
  <c r="J133" i="51"/>
  <c r="J60" i="51" a="1"/>
  <c r="J60" i="51"/>
  <c r="Q57" i="51" a="1"/>
  <c r="Q57" i="51"/>
  <c r="J134" i="51" a="1"/>
  <c r="J134" i="51"/>
  <c r="I285" i="44" a="1"/>
  <c r="I285" i="44"/>
  <c r="I134" i="51" a="1"/>
  <c r="I134" i="51"/>
  <c r="G57" i="51" a="1"/>
  <c r="G57" i="51"/>
  <c r="G380" i="44"/>
  <c r="G402" i="44" a="1"/>
  <c r="G402" i="44"/>
  <c r="J40" i="44" a="1"/>
  <c r="J40" i="44"/>
  <c r="K285" i="44" a="1"/>
  <c r="K285" i="44"/>
  <c r="H61" i="51" a="1"/>
  <c r="H61" i="51"/>
  <c r="I131" i="51" a="1"/>
  <c r="I131" i="51"/>
  <c r="G61" i="51" a="1"/>
  <c r="G61" i="51"/>
  <c r="H134" i="51" a="1"/>
  <c r="H134" i="51"/>
  <c r="U131" i="51" a="1"/>
  <c r="U131" i="51"/>
  <c r="B404" i="44"/>
  <c r="B438" i="44"/>
  <c r="B444" i="44"/>
  <c r="B463" i="44"/>
  <c r="B487" i="44"/>
  <c r="B501" i="44"/>
  <c r="O410" i="49"/>
  <c r="O344" i="49"/>
  <c r="O345" i="49" a="1"/>
  <c r="O345" i="49"/>
  <c r="P287" i="49"/>
  <c r="Q287" i="49"/>
  <c r="I60" i="51" a="1"/>
  <c r="I60" i="51"/>
  <c r="H60" i="51" a="1"/>
  <c r="H60" i="51"/>
  <c r="S61" i="51" a="1"/>
  <c r="S61" i="51"/>
  <c r="M285" i="49"/>
  <c r="M292" i="49"/>
  <c r="M279" i="49"/>
  <c r="P279" i="49"/>
  <c r="Q279" i="49"/>
  <c r="P281" i="49"/>
  <c r="Q281" i="49"/>
  <c r="H37" i="52"/>
  <c r="H40" i="52"/>
  <c r="P59" i="49"/>
  <c r="Q59" i="49"/>
  <c r="T60" i="51" a="1"/>
  <c r="T60" i="51"/>
  <c r="J36" i="52"/>
  <c r="K11" i="49"/>
  <c r="P11" i="49"/>
  <c r="D40" i="52"/>
  <c r="I36" i="52"/>
  <c r="P68" i="49"/>
  <c r="Q68" i="49"/>
  <c r="P62" i="49"/>
  <c r="Q62" i="49"/>
  <c r="U61" i="51" a="1"/>
  <c r="U61" i="51"/>
  <c r="H387" i="44" a="1"/>
  <c r="H387" i="44"/>
  <c r="K364" i="44" a="1"/>
  <c r="K364" i="44"/>
  <c r="G134" i="51" a="1"/>
  <c r="G134" i="51"/>
  <c r="R61" i="51" a="1"/>
  <c r="R61" i="51"/>
  <c r="K134" i="51" a="1"/>
  <c r="K134" i="51"/>
  <c r="H395" i="44" a="1"/>
  <c r="H395" i="44"/>
  <c r="M10" i="49"/>
  <c r="Q60" i="51" a="1"/>
  <c r="Q60" i="51"/>
  <c r="K10" i="49"/>
  <c r="G335" i="44"/>
  <c r="J127" i="63"/>
  <c r="J123" i="63"/>
  <c r="J109" i="63"/>
  <c r="J110" i="63"/>
  <c r="J126" i="63"/>
  <c r="J111" i="63"/>
  <c r="J106" i="63"/>
  <c r="N10" i="49"/>
  <c r="I126" i="63"/>
  <c r="I106" i="63"/>
  <c r="I109" i="63"/>
  <c r="I123" i="63"/>
  <c r="I110" i="63"/>
  <c r="I111" i="63"/>
  <c r="I127" i="63"/>
  <c r="K123" i="63"/>
  <c r="K111" i="63"/>
  <c r="K127" i="63"/>
  <c r="K126" i="63"/>
  <c r="K109" i="63"/>
  <c r="K106" i="63"/>
  <c r="K110" i="63"/>
  <c r="H402" i="44" a="1"/>
  <c r="H402" i="44"/>
  <c r="H133" i="51" a="1"/>
  <c r="H133" i="51"/>
  <c r="I40" i="80"/>
  <c r="H342" i="44" a="1"/>
  <c r="H342" i="44"/>
  <c r="K241" i="63"/>
  <c r="J40" i="80"/>
  <c r="I40" i="84"/>
  <c r="H62" i="51" a="1"/>
  <c r="H62" i="51"/>
  <c r="K31" i="44" a="1"/>
  <c r="K31" i="44"/>
  <c r="H293" i="44" a="1"/>
  <c r="H293" i="44"/>
  <c r="J40" i="84"/>
  <c r="T132" i="51" a="1"/>
  <c r="T132" i="51"/>
  <c r="G293" i="44" a="1"/>
  <c r="G293" i="44"/>
  <c r="K229" i="49"/>
  <c r="M230" i="49"/>
  <c r="P230" i="49"/>
  <c r="J238" i="63"/>
  <c r="K292" i="49"/>
  <c r="P285" i="49"/>
  <c r="Q285" i="49"/>
  <c r="K293" i="49"/>
  <c r="P288" i="49"/>
  <c r="Q288" i="49"/>
  <c r="J236" i="63"/>
  <c r="J240" i="63"/>
  <c r="H249" i="63"/>
  <c r="H251" i="63"/>
  <c r="H244" i="63"/>
  <c r="H245" i="63"/>
  <c r="H243" i="63"/>
  <c r="H246" i="63"/>
  <c r="H247" i="63"/>
  <c r="H248" i="63"/>
  <c r="H250" i="63"/>
  <c r="J231" i="63"/>
  <c r="J239" i="63"/>
  <c r="I242" i="63"/>
  <c r="I251" i="63"/>
  <c r="I247" i="63"/>
  <c r="I248" i="63"/>
  <c r="I249" i="63"/>
  <c r="I250" i="63"/>
  <c r="I241" i="63"/>
  <c r="L229" i="49"/>
  <c r="J230" i="63"/>
  <c r="J237" i="63"/>
  <c r="L248" i="63"/>
  <c r="L249" i="63"/>
  <c r="L242" i="63"/>
  <c r="L251" i="63"/>
  <c r="L241" i="63"/>
  <c r="L247" i="63"/>
  <c r="L250" i="63"/>
  <c r="J135" i="51" a="1"/>
  <c r="J135" i="51"/>
  <c r="J364" i="44" a="1"/>
  <c r="J364" i="44"/>
  <c r="I40" i="44" a="1"/>
  <c r="I40" i="44"/>
  <c r="G40" i="44" a="1"/>
  <c r="G40" i="44"/>
  <c r="S131" i="51" a="1"/>
  <c r="S131" i="51"/>
  <c r="I387" i="44" a="1"/>
  <c r="I387" i="44"/>
  <c r="H285" i="44" a="1"/>
  <c r="H285" i="44"/>
  <c r="K310" i="44" a="1"/>
  <c r="K310" i="44"/>
  <c r="H310" i="44" a="1"/>
  <c r="H310" i="44"/>
  <c r="K293" i="44" a="1"/>
  <c r="K293" i="44"/>
  <c r="J31" i="44" a="1"/>
  <c r="J31" i="44"/>
  <c r="I31" i="44" a="1"/>
  <c r="I31" i="44"/>
  <c r="G302" i="44" a="1"/>
  <c r="G302" i="44"/>
  <c r="I293" i="44" a="1"/>
  <c r="I293" i="44"/>
  <c r="K135" i="51" a="1"/>
  <c r="K135" i="51"/>
  <c r="K61" i="51" a="1"/>
  <c r="K61" i="51"/>
  <c r="J293" i="44" a="1"/>
  <c r="J293" i="44"/>
  <c r="J402" i="44" a="1"/>
  <c r="J402" i="44"/>
  <c r="K131" i="51" a="1"/>
  <c r="K131" i="51"/>
  <c r="K62" i="51" a="1"/>
  <c r="K62" i="51"/>
  <c r="R133" i="51" a="1"/>
  <c r="R133" i="51"/>
  <c r="H132" i="51" a="1"/>
  <c r="H132" i="51"/>
  <c r="S58" i="51" a="1"/>
  <c r="S58" i="51"/>
  <c r="J55" i="51" a="1"/>
  <c r="J55" i="51"/>
  <c r="G59" i="51" a="1"/>
  <c r="G59" i="51"/>
  <c r="G128" i="51" a="1"/>
  <c r="G128" i="51"/>
  <c r="I61" i="51" a="1"/>
  <c r="I61" i="51"/>
  <c r="K128" i="51" a="1"/>
  <c r="K128" i="51"/>
  <c r="J285" i="44" a="1"/>
  <c r="J285" i="44"/>
  <c r="R59" i="51" a="1"/>
  <c r="R59" i="51"/>
  <c r="R82" i="51" a="1"/>
  <c r="R82" i="51"/>
  <c r="R128" i="51" a="1"/>
  <c r="R128" i="51"/>
  <c r="U82" i="51" a="1"/>
  <c r="U82" i="51"/>
  <c r="U128" i="51" a="1"/>
  <c r="U128" i="51"/>
  <c r="R131" i="51" a="1"/>
  <c r="R131" i="51"/>
  <c r="T58" i="51" a="1"/>
  <c r="T58" i="51"/>
  <c r="T61" i="51" a="1"/>
  <c r="T61" i="51"/>
  <c r="T133" i="51" a="1"/>
  <c r="T133" i="51"/>
  <c r="G62" i="51" a="1"/>
  <c r="G62" i="51"/>
  <c r="J387" i="44" a="1"/>
  <c r="J387" i="44"/>
  <c r="J62" i="51" a="1"/>
  <c r="J62" i="51"/>
  <c r="T59" i="51" a="1"/>
  <c r="T59" i="51"/>
  <c r="K59" i="51" a="1"/>
  <c r="K59" i="51"/>
  <c r="I128" i="51" a="1"/>
  <c r="I128" i="51"/>
  <c r="Q134" i="51" a="1"/>
  <c r="Q134" i="51"/>
  <c r="I55" i="51" a="1"/>
  <c r="I55" i="51"/>
  <c r="R55" i="51" a="1"/>
  <c r="R55" i="51"/>
  <c r="S82" i="51" a="1"/>
  <c r="S82" i="51"/>
  <c r="S128" i="51" a="1"/>
  <c r="S128" i="51"/>
  <c r="T55" i="51" a="1"/>
  <c r="T55" i="51"/>
  <c r="K40" i="44" a="1"/>
  <c r="K40" i="44"/>
  <c r="Q56" i="51" a="1"/>
  <c r="Q56" i="51"/>
  <c r="J302" i="44" a="1"/>
  <c r="J302" i="44"/>
  <c r="I58" i="51" a="1"/>
  <c r="I58" i="51"/>
  <c r="I135" i="51" a="1"/>
  <c r="I135" i="51"/>
  <c r="Q86" i="51" a="1"/>
  <c r="Q86" i="51"/>
  <c r="Q132" i="51" a="1"/>
  <c r="Q132" i="51"/>
  <c r="H59" i="51" a="1"/>
  <c r="H59" i="51"/>
  <c r="Q130" i="51" a="1"/>
  <c r="Q130" i="51"/>
  <c r="H55" i="51" a="1"/>
  <c r="H55" i="51"/>
  <c r="R134" i="51" a="1"/>
  <c r="R134" i="51"/>
  <c r="G132" i="51" a="1"/>
  <c r="G132" i="51"/>
  <c r="S133" i="51" a="1"/>
  <c r="S133" i="51"/>
  <c r="S86" i="51" a="1"/>
  <c r="S86" i="51"/>
  <c r="S132" i="51" a="1"/>
  <c r="S132" i="51"/>
  <c r="J131" i="51" a="1"/>
  <c r="J131" i="51"/>
  <c r="R60" i="51" a="1"/>
  <c r="R60" i="51"/>
  <c r="I37" i="52"/>
  <c r="J40" i="52"/>
  <c r="P10" i="49"/>
  <c r="I100" i="63"/>
  <c r="L123" i="63"/>
  <c r="I121" i="63"/>
  <c r="L126" i="63"/>
  <c r="I104" i="63"/>
  <c r="L110" i="63"/>
  <c r="K72" i="51" a="1"/>
  <c r="K72" i="51"/>
  <c r="I103" i="63"/>
  <c r="H74" i="51" a="1"/>
  <c r="H74" i="51"/>
  <c r="H124" i="63"/>
  <c r="H110" i="63"/>
  <c r="H107" i="63"/>
  <c r="H126" i="63"/>
  <c r="H109" i="63"/>
  <c r="H111" i="63"/>
  <c r="H125" i="63"/>
  <c r="H127" i="63"/>
  <c r="H108" i="63"/>
  <c r="L127" i="63"/>
  <c r="I122" i="63"/>
  <c r="L106" i="63"/>
  <c r="I105" i="63"/>
  <c r="L111" i="63"/>
  <c r="L109" i="63"/>
  <c r="I118" i="63"/>
  <c r="I40" i="52"/>
  <c r="K247" i="63"/>
  <c r="T86" i="51" a="1"/>
  <c r="T86" i="51"/>
  <c r="K242" i="63"/>
  <c r="K250" i="63"/>
  <c r="Q55" i="51" a="1"/>
  <c r="Q55" i="51"/>
  <c r="K248" i="63"/>
  <c r="K249" i="63"/>
  <c r="K251" i="63"/>
  <c r="H128" i="51" a="1"/>
  <c r="H128" i="51"/>
  <c r="K60" i="51" a="1"/>
  <c r="K60" i="51"/>
  <c r="P229" i="49"/>
  <c r="H234" i="63"/>
  <c r="H238" i="63"/>
  <c r="H240" i="63"/>
  <c r="H239" i="63"/>
  <c r="L231" i="63"/>
  <c r="K239" i="63"/>
  <c r="K230" i="63"/>
  <c r="L230" i="63"/>
  <c r="K238" i="63"/>
  <c r="L240" i="63"/>
  <c r="K237" i="63"/>
  <c r="L239" i="63"/>
  <c r="K236" i="63"/>
  <c r="Q59" i="51" a="1"/>
  <c r="Q59" i="51"/>
  <c r="S55" i="51" a="1"/>
  <c r="S55" i="51"/>
  <c r="L238" i="63"/>
  <c r="K240" i="63"/>
  <c r="L237" i="63"/>
  <c r="K231" i="63"/>
  <c r="L236" i="63"/>
  <c r="R58" i="51" a="1"/>
  <c r="R58" i="51"/>
  <c r="E3" i="44"/>
  <c r="T44" i="51"/>
  <c r="G55" i="51" a="1"/>
  <c r="G55" i="51"/>
  <c r="H44" i="51"/>
  <c r="Q48" i="51"/>
  <c r="I62" i="51" a="1"/>
  <c r="I62" i="51"/>
  <c r="J59" i="51" a="1"/>
  <c r="J59" i="51"/>
  <c r="H48" i="51"/>
  <c r="S117" i="51"/>
  <c r="K48" i="51"/>
  <c r="T131" i="51" a="1"/>
  <c r="T131" i="51"/>
  <c r="G60" i="51" a="1"/>
  <c r="G60" i="51"/>
  <c r="K117" i="51"/>
  <c r="T134" i="51" a="1"/>
  <c r="T134" i="51"/>
  <c r="J132" i="51" a="1"/>
  <c r="J132" i="51"/>
  <c r="I132" i="51" a="1"/>
  <c r="I132" i="51"/>
  <c r="U55" i="51" a="1"/>
  <c r="U55" i="51"/>
  <c r="H58" i="51" a="1"/>
  <c r="H58" i="51"/>
  <c r="R117" i="51"/>
  <c r="U59" i="51" a="1"/>
  <c r="U59" i="51"/>
  <c r="G48" i="51"/>
  <c r="K132" i="51" a="1"/>
  <c r="K132" i="51"/>
  <c r="G121" i="51"/>
  <c r="Q121" i="51"/>
  <c r="R44" i="51"/>
  <c r="T48" i="51"/>
  <c r="J58" i="51" a="1"/>
  <c r="J58" i="51"/>
  <c r="Q82" i="51" a="1"/>
  <c r="Q82" i="51"/>
  <c r="Q128" i="51" a="1"/>
  <c r="Q128" i="51"/>
  <c r="I59" i="51" a="1"/>
  <c r="I59" i="51"/>
  <c r="R86" i="51" a="1"/>
  <c r="R86" i="51"/>
  <c r="R132" i="51" a="1"/>
  <c r="R132" i="51"/>
  <c r="I117" i="51"/>
  <c r="J44" i="51"/>
  <c r="J61" i="51" a="1"/>
  <c r="J61" i="51"/>
  <c r="T82" i="51" a="1"/>
  <c r="T82" i="51"/>
  <c r="T128" i="51" a="1"/>
  <c r="T128" i="51"/>
  <c r="I44" i="51"/>
  <c r="G117" i="51"/>
  <c r="G56" i="51" a="1"/>
  <c r="G56" i="51"/>
  <c r="K58" i="51" a="1"/>
  <c r="K58" i="51"/>
  <c r="S59" i="51" a="1"/>
  <c r="S59" i="51"/>
  <c r="S121" i="51"/>
  <c r="H117" i="51"/>
  <c r="U117" i="51"/>
  <c r="R48" i="51"/>
  <c r="J128" i="51" a="1"/>
  <c r="J128" i="51"/>
  <c r="H121" i="51"/>
  <c r="K55" i="51" a="1"/>
  <c r="K55" i="51"/>
  <c r="U86" i="51" a="1"/>
  <c r="U86" i="51"/>
  <c r="U132" i="51" a="1"/>
  <c r="U132" i="51"/>
  <c r="J37" i="52"/>
  <c r="T146" i="51" a="1"/>
  <c r="T146" i="51"/>
  <c r="U73" i="51" a="1"/>
  <c r="U73" i="51"/>
  <c r="H73" i="51" a="1"/>
  <c r="H73" i="51"/>
  <c r="K118" i="63"/>
  <c r="J104" i="63"/>
  <c r="H103" i="63"/>
  <c r="K100" i="63"/>
  <c r="R71" i="51" a="1"/>
  <c r="R71" i="51"/>
  <c r="K121" i="63"/>
  <c r="J118" i="63"/>
  <c r="K71" i="51" a="1"/>
  <c r="K71" i="51"/>
  <c r="H119" i="63"/>
  <c r="H70" i="84"/>
  <c r="U71" i="51" a="1"/>
  <c r="U71" i="51"/>
  <c r="J103" i="63"/>
  <c r="H101" i="63"/>
  <c r="R72" i="51" a="1"/>
  <c r="R72" i="51"/>
  <c r="K74" i="51" a="1"/>
  <c r="K74" i="51"/>
  <c r="K104" i="63"/>
  <c r="J121" i="63"/>
  <c r="H72" i="51" a="1"/>
  <c r="H72" i="51"/>
  <c r="H120" i="63"/>
  <c r="J105" i="63"/>
  <c r="J100" i="63"/>
  <c r="H122" i="63"/>
  <c r="K105" i="63"/>
  <c r="H104" i="63"/>
  <c r="K103" i="63"/>
  <c r="K73" i="51" a="1"/>
  <c r="K73" i="51"/>
  <c r="R73" i="51" a="1"/>
  <c r="R73" i="51"/>
  <c r="U72" i="51" a="1"/>
  <c r="U72" i="51"/>
  <c r="H121" i="63"/>
  <c r="H71" i="51" a="1"/>
  <c r="H71" i="51"/>
  <c r="H105" i="63"/>
  <c r="K122" i="63"/>
  <c r="J122" i="63"/>
  <c r="H102" i="63"/>
  <c r="Q44" i="51"/>
  <c r="J147" i="51" a="1"/>
  <c r="J147" i="51"/>
  <c r="T121" i="51"/>
  <c r="J146" i="51" a="1"/>
  <c r="J146" i="51"/>
  <c r="J145" i="51" a="1"/>
  <c r="J145" i="51"/>
  <c r="T145" i="51" a="1"/>
  <c r="T145" i="51"/>
  <c r="S44" i="51"/>
  <c r="G146" i="51" a="1"/>
  <c r="G146" i="51"/>
  <c r="Q146" i="51" a="1"/>
  <c r="Q146" i="51"/>
  <c r="Q87" i="51" a="1"/>
  <c r="Q87" i="51"/>
  <c r="H232" i="63"/>
  <c r="H237" i="63"/>
  <c r="H236" i="63"/>
  <c r="H235" i="63"/>
  <c r="H233" i="63"/>
  <c r="I238" i="63"/>
  <c r="I236" i="63"/>
  <c r="J242" i="63"/>
  <c r="K147" i="51" a="1"/>
  <c r="K147" i="51"/>
  <c r="J251" i="63"/>
  <c r="I237" i="63"/>
  <c r="U146" i="51" a="1"/>
  <c r="U146" i="51"/>
  <c r="U88" i="51" a="1"/>
  <c r="U88" i="51"/>
  <c r="J250" i="63"/>
  <c r="K144" i="51" a="1"/>
  <c r="K144" i="51"/>
  <c r="U144" i="51" a="1"/>
  <c r="U144" i="51"/>
  <c r="U85" i="51" a="1"/>
  <c r="U85" i="51"/>
  <c r="H67" i="84"/>
  <c r="H68" i="84"/>
  <c r="K145" i="51" a="1"/>
  <c r="K145" i="51"/>
  <c r="U145" i="51" a="1"/>
  <c r="U145" i="51"/>
  <c r="U87" i="51" a="1"/>
  <c r="U87" i="51"/>
  <c r="I240" i="63"/>
  <c r="K146" i="51" a="1"/>
  <c r="K146" i="51"/>
  <c r="J241" i="63"/>
  <c r="I231" i="63"/>
  <c r="J249" i="63"/>
  <c r="J144" i="51" a="1"/>
  <c r="J144" i="51"/>
  <c r="I239" i="63"/>
  <c r="J248" i="63"/>
  <c r="I230" i="63"/>
  <c r="J247" i="63"/>
  <c r="R121" i="51"/>
  <c r="I48" i="51"/>
  <c r="K121" i="51"/>
  <c r="S48" i="51"/>
  <c r="K47" i="51"/>
  <c r="U44" i="51"/>
  <c r="U121" i="51"/>
  <c r="K44" i="51"/>
  <c r="G44" i="51"/>
  <c r="T117" i="51"/>
  <c r="Q117" i="51"/>
  <c r="U48" i="51"/>
  <c r="J121" i="51"/>
  <c r="J48" i="51"/>
  <c r="J117" i="51"/>
  <c r="I121" i="51"/>
  <c r="I26" i="50"/>
  <c r="H68" i="80"/>
  <c r="H51" i="51"/>
  <c r="H47" i="51"/>
  <c r="T88" i="51" a="1"/>
  <c r="T88" i="51"/>
  <c r="K49" i="51"/>
  <c r="R47" i="51"/>
  <c r="E68" i="80"/>
  <c r="T85" i="51" a="1"/>
  <c r="T85" i="51"/>
  <c r="E70" i="84"/>
  <c r="D3" i="63"/>
  <c r="K50" i="51"/>
  <c r="J72" i="51" a="1"/>
  <c r="J72" i="51"/>
  <c r="I74" i="51" a="1"/>
  <c r="I74" i="51"/>
  <c r="Q69" i="51" a="1"/>
  <c r="Q69" i="51"/>
  <c r="J74" i="51" a="1"/>
  <c r="J74" i="51"/>
  <c r="U47" i="51"/>
  <c r="T73" i="51" a="1"/>
  <c r="T73" i="51"/>
  <c r="J73" i="51" a="1"/>
  <c r="J73" i="51"/>
  <c r="Q70" i="51" a="1"/>
  <c r="Q70" i="51"/>
  <c r="K51" i="51"/>
  <c r="T72" i="51" a="1"/>
  <c r="T72" i="51"/>
  <c r="J71" i="51" a="1"/>
  <c r="J71" i="51"/>
  <c r="Q72" i="51" a="1"/>
  <c r="Q72" i="51"/>
  <c r="Q73" i="51" a="1"/>
  <c r="Q73" i="51"/>
  <c r="H49" i="51"/>
  <c r="G74" i="51" a="1"/>
  <c r="G74" i="51"/>
  <c r="H50" i="51"/>
  <c r="G73" i="51" a="1"/>
  <c r="G73" i="51"/>
  <c r="U49" i="51"/>
  <c r="R49" i="51"/>
  <c r="G70" i="51" a="1"/>
  <c r="G70" i="51"/>
  <c r="I71" i="51" a="1"/>
  <c r="I71" i="51"/>
  <c r="S72" i="51" a="1"/>
  <c r="S72" i="51"/>
  <c r="I72" i="51" a="1"/>
  <c r="I72" i="51"/>
  <c r="U50" i="51"/>
  <c r="R50" i="51"/>
  <c r="G69" i="51" a="1"/>
  <c r="G69" i="51"/>
  <c r="S73" i="51" a="1"/>
  <c r="S73" i="51"/>
  <c r="G72" i="51" a="1"/>
  <c r="G72" i="51"/>
  <c r="I73" i="51" a="1"/>
  <c r="I73" i="51"/>
  <c r="S71" i="51" a="1"/>
  <c r="S71" i="51"/>
  <c r="T71" i="51" a="1"/>
  <c r="T71" i="51"/>
  <c r="T144" i="51" a="1"/>
  <c r="T144" i="51"/>
  <c r="T87" i="51" a="1"/>
  <c r="T87" i="51"/>
  <c r="P27" i="50"/>
  <c r="P31" i="50" a="1"/>
  <c r="P31" i="50"/>
  <c r="G123" i="51"/>
  <c r="Q88" i="51" a="1"/>
  <c r="Q88" i="51"/>
  <c r="M25" i="50"/>
  <c r="I25" i="50"/>
  <c r="I29" i="50" a="1"/>
  <c r="I29" i="50"/>
  <c r="G143" i="51" a="1"/>
  <c r="G143" i="51"/>
  <c r="I27" i="50"/>
  <c r="I31" i="50" a="1"/>
  <c r="I31" i="50"/>
  <c r="T123" i="51"/>
  <c r="Q26" i="50"/>
  <c r="Q30" i="50" a="1"/>
  <c r="Q30" i="50"/>
  <c r="I30" i="50" a="1"/>
  <c r="I30" i="50"/>
  <c r="Q145" i="51" a="1"/>
  <c r="Q145" i="51"/>
  <c r="Q25" i="50"/>
  <c r="Q29" i="50" a="1"/>
  <c r="Q29" i="50"/>
  <c r="Q27" i="50"/>
  <c r="Q31" i="50" a="1"/>
  <c r="Q31" i="50"/>
  <c r="G147" i="51" a="1"/>
  <c r="G147" i="51"/>
  <c r="G145" i="51" a="1"/>
  <c r="G145" i="51"/>
  <c r="Q142" i="51" a="1"/>
  <c r="Q142" i="51"/>
  <c r="Q83" i="51" a="1"/>
  <c r="Q83" i="51"/>
  <c r="G142" i="51" a="1"/>
  <c r="G142" i="51"/>
  <c r="Q84" i="51" a="1"/>
  <c r="Q84" i="51"/>
  <c r="Q143" i="51" a="1"/>
  <c r="Q143" i="51"/>
  <c r="U120" i="51"/>
  <c r="S144" i="51" a="1"/>
  <c r="S144" i="51"/>
  <c r="S85" i="51" a="1"/>
  <c r="S85" i="51"/>
  <c r="S146" i="51" a="1"/>
  <c r="S146" i="51"/>
  <c r="S88" i="51" a="1"/>
  <c r="S88" i="51"/>
  <c r="Q122" i="51"/>
  <c r="I145" i="51" a="1"/>
  <c r="I145" i="51"/>
  <c r="O70" i="52"/>
  <c r="H145" i="51" a="1"/>
  <c r="H145" i="51"/>
  <c r="K124" i="51"/>
  <c r="E3" i="63"/>
  <c r="S145" i="51" a="1"/>
  <c r="S145" i="51"/>
  <c r="S87" i="51" a="1"/>
  <c r="S87" i="51"/>
  <c r="H147" i="51" a="1"/>
  <c r="H147" i="51"/>
  <c r="R145" i="51" a="1"/>
  <c r="R145" i="51"/>
  <c r="R87" i="51" a="1"/>
  <c r="R87" i="51"/>
  <c r="H144" i="51" a="1"/>
  <c r="H144" i="51"/>
  <c r="R146" i="51" a="1"/>
  <c r="R146" i="51"/>
  <c r="R88" i="51" a="1"/>
  <c r="R88" i="51"/>
  <c r="P70" i="52"/>
  <c r="I147" i="51" a="1"/>
  <c r="I147" i="51"/>
  <c r="J120" i="51"/>
  <c r="I144" i="51" a="1"/>
  <c r="I144" i="51"/>
  <c r="U122" i="51"/>
  <c r="P70" i="84"/>
  <c r="I146" i="51" a="1"/>
  <c r="I146" i="51"/>
  <c r="R144" i="51" a="1"/>
  <c r="R144" i="51"/>
  <c r="E67" i="84"/>
  <c r="E68" i="84"/>
  <c r="R85" i="51" a="1"/>
  <c r="R85" i="51"/>
  <c r="P68" i="80"/>
  <c r="K120" i="51"/>
  <c r="H146" i="51" a="1"/>
  <c r="H146" i="51"/>
  <c r="K123" i="51"/>
  <c r="K122" i="51"/>
  <c r="U123" i="51"/>
  <c r="T122" i="51"/>
  <c r="T120" i="51"/>
  <c r="O70" i="84"/>
  <c r="G67" i="84"/>
  <c r="G68" i="84"/>
  <c r="J124" i="51"/>
  <c r="Q123" i="51"/>
  <c r="J122" i="51"/>
  <c r="P25" i="50"/>
  <c r="P29" i="50" a="1"/>
  <c r="P29" i="50"/>
  <c r="D67" i="84"/>
  <c r="D68" i="84"/>
  <c r="F67" i="84"/>
  <c r="F68" i="84"/>
  <c r="H27" i="50"/>
  <c r="H31" i="50" a="1"/>
  <c r="H31" i="50"/>
  <c r="P26" i="50"/>
  <c r="P30" i="50" a="1"/>
  <c r="P30" i="50"/>
  <c r="G68" i="80"/>
  <c r="F68" i="80"/>
  <c r="I50" i="51"/>
  <c r="T49" i="51"/>
  <c r="Q46" i="51"/>
  <c r="G70" i="84"/>
  <c r="I49" i="51"/>
  <c r="T50" i="51"/>
  <c r="J51" i="51"/>
  <c r="G45" i="51"/>
  <c r="S49" i="51"/>
  <c r="J47" i="51"/>
  <c r="S47" i="51"/>
  <c r="G49" i="51"/>
  <c r="S50" i="51"/>
  <c r="G46" i="51"/>
  <c r="G51" i="51"/>
  <c r="G50" i="51"/>
  <c r="Q50" i="51"/>
  <c r="I51" i="51"/>
  <c r="I47" i="51"/>
  <c r="J50" i="51"/>
  <c r="T47" i="51"/>
  <c r="F70" i="84"/>
  <c r="Q49" i="51"/>
  <c r="Q45" i="51"/>
  <c r="J49" i="51"/>
  <c r="G119" i="51"/>
  <c r="E29" i="50" a="1"/>
  <c r="E29" i="50"/>
  <c r="H26" i="50"/>
  <c r="H30" i="50" a="1"/>
  <c r="H30" i="50"/>
  <c r="H25" i="50"/>
  <c r="H29" i="50" a="1"/>
  <c r="H29" i="50"/>
  <c r="J123" i="51"/>
  <c r="O68" i="80"/>
  <c r="M26" i="50"/>
  <c r="M30" i="50" a="1"/>
  <c r="M30" i="50"/>
  <c r="M27" i="50"/>
  <c r="I36" i="50"/>
  <c r="Q37" i="50"/>
  <c r="I38" i="50"/>
  <c r="Q36" i="50"/>
  <c r="I37" i="50"/>
  <c r="Q38" i="50"/>
  <c r="L70" i="52"/>
  <c r="L70" i="84"/>
  <c r="Q119" i="51"/>
  <c r="Q118" i="51"/>
  <c r="G122" i="51"/>
  <c r="E27" i="50"/>
  <c r="L68" i="80"/>
  <c r="G124" i="51"/>
  <c r="G118" i="51"/>
  <c r="I122" i="51"/>
  <c r="G27" i="50"/>
  <c r="G26" i="50"/>
  <c r="G25" i="50"/>
  <c r="S120" i="51"/>
  <c r="N70" i="52"/>
  <c r="R120" i="51"/>
  <c r="I123" i="51"/>
  <c r="R122" i="51"/>
  <c r="N26" i="50"/>
  <c r="N27" i="50"/>
  <c r="N25" i="50"/>
  <c r="S123" i="51"/>
  <c r="I120" i="51"/>
  <c r="H120" i="51"/>
  <c r="N70" i="84"/>
  <c r="I124" i="51"/>
  <c r="H124" i="51"/>
  <c r="O25" i="50"/>
  <c r="S122" i="51"/>
  <c r="O26" i="50"/>
  <c r="O27" i="50"/>
  <c r="H123" i="51"/>
  <c r="R123" i="51"/>
  <c r="H122" i="51"/>
  <c r="F26" i="50"/>
  <c r="F25" i="50"/>
  <c r="F27" i="50"/>
  <c r="M29" i="50" a="1"/>
  <c r="M29" i="50"/>
  <c r="N68" i="80"/>
  <c r="E36" i="50"/>
  <c r="M70" i="52"/>
  <c r="P38" i="50"/>
  <c r="I70" i="84"/>
  <c r="E37" i="50"/>
  <c r="P37" i="50"/>
  <c r="P36" i="50"/>
  <c r="M38" i="50"/>
  <c r="M37" i="50"/>
  <c r="I68" i="84"/>
  <c r="M36" i="50"/>
  <c r="I67" i="84"/>
  <c r="G39" i="84"/>
  <c r="G36" i="80"/>
  <c r="F39" i="52"/>
  <c r="F3" i="51"/>
  <c r="H38" i="50"/>
  <c r="K36" i="80"/>
  <c r="H36" i="50"/>
  <c r="M31" i="50" a="1"/>
  <c r="M31" i="50"/>
  <c r="H37" i="50"/>
  <c r="E30" i="50" a="1"/>
  <c r="E30" i="50"/>
  <c r="Q70" i="84"/>
  <c r="G35" i="80"/>
  <c r="Q68" i="80"/>
  <c r="E31" i="50" a="1"/>
  <c r="E31" i="50"/>
  <c r="E38" i="50"/>
  <c r="M70" i="84"/>
  <c r="O31" i="50" a="1"/>
  <c r="O31" i="50"/>
  <c r="O38" i="50"/>
  <c r="N29" i="50" a="1"/>
  <c r="N29" i="50"/>
  <c r="N36" i="50"/>
  <c r="O30" i="50" a="1"/>
  <c r="O30" i="50"/>
  <c r="O37" i="50"/>
  <c r="G3" i="51"/>
  <c r="N31" i="50" a="1"/>
  <c r="N31" i="50"/>
  <c r="N38" i="50"/>
  <c r="G29" i="50" a="1"/>
  <c r="G29" i="50"/>
  <c r="G36" i="50"/>
  <c r="F31" i="50" a="1"/>
  <c r="F31" i="50"/>
  <c r="F38" i="50"/>
  <c r="N30" i="50" a="1"/>
  <c r="N30" i="50"/>
  <c r="N37" i="50"/>
  <c r="G30" i="50" a="1"/>
  <c r="G30" i="50"/>
  <c r="G37" i="50"/>
  <c r="K35" i="80"/>
  <c r="F29" i="50" a="1"/>
  <c r="F29" i="50"/>
  <c r="F36" i="50"/>
  <c r="O29" i="50" a="1"/>
  <c r="O29" i="50"/>
  <c r="O36" i="50"/>
  <c r="Q70" i="52"/>
  <c r="G31" i="50" a="1"/>
  <c r="G31" i="50"/>
  <c r="G38" i="50"/>
  <c r="M68" i="80"/>
  <c r="F30" i="50" a="1"/>
  <c r="F30" i="50"/>
  <c r="F37" i="50"/>
  <c r="K37" i="80"/>
  <c r="K40" i="52"/>
  <c r="D39" i="52"/>
  <c r="D70" i="84"/>
  <c r="M36" i="84"/>
  <c r="G3" i="84"/>
  <c r="G39" i="80"/>
  <c r="M36" i="80"/>
  <c r="G3" i="80"/>
  <c r="G40" i="80"/>
  <c r="I68" i="80"/>
  <c r="D68" i="80"/>
  <c r="H39" i="80"/>
  <c r="J39" i="80"/>
  <c r="F39" i="80"/>
  <c r="E39" i="80"/>
  <c r="I39" i="80"/>
  <c r="K39" i="80"/>
  <c r="D39" i="80"/>
  <c r="D39" i="84"/>
  <c r="K39" i="84"/>
  <c r="J39" i="84"/>
  <c r="F39" i="84"/>
  <c r="I39" i="84"/>
  <c r="E39" i="84"/>
  <c r="H39" i="84"/>
  <c r="I39" i="52"/>
  <c r="J39" i="52"/>
  <c r="K39" i="52"/>
  <c r="E39" i="52"/>
  <c r="H39" i="52"/>
  <c r="G40" i="84"/>
  <c r="E38" i="52"/>
  <c r="E41" i="52"/>
  <c r="G38" i="52"/>
  <c r="H3" i="50"/>
  <c r="K40" i="80"/>
  <c r="E38" i="80"/>
  <c r="E41" i="80"/>
  <c r="I38" i="80"/>
  <c r="I41" i="80"/>
  <c r="J38" i="80"/>
  <c r="J41" i="80"/>
  <c r="M35" i="80"/>
  <c r="D38" i="80"/>
  <c r="D41" i="80"/>
  <c r="K38" i="80"/>
  <c r="G38" i="80"/>
  <c r="H38" i="80"/>
  <c r="H41" i="80"/>
  <c r="F38" i="80"/>
  <c r="F41" i="80"/>
  <c r="F38" i="52"/>
  <c r="F41" i="52"/>
  <c r="D38" i="52"/>
  <c r="D41" i="52"/>
  <c r="I38" i="52"/>
  <c r="I41" i="52"/>
  <c r="H38" i="52"/>
  <c r="H41" i="52"/>
  <c r="K38" i="52"/>
  <c r="J38" i="52"/>
  <c r="J41" i="52"/>
  <c r="K37" i="52"/>
  <c r="K40" i="84"/>
  <c r="H38" i="84"/>
  <c r="H41" i="84"/>
  <c r="J38" i="84"/>
  <c r="J41" i="84"/>
  <c r="F38" i="84"/>
  <c r="F41" i="84"/>
  <c r="I38" i="84"/>
  <c r="I41" i="84"/>
  <c r="D38" i="84"/>
  <c r="D41" i="84"/>
  <c r="K38" i="84"/>
  <c r="M35" i="84"/>
  <c r="E38" i="84"/>
  <c r="E41" i="84"/>
  <c r="G38" i="84"/>
  <c r="G41" i="80"/>
  <c r="K41" i="80"/>
  <c r="M41" i="80"/>
  <c r="M36" i="52"/>
  <c r="G3" i="52"/>
  <c r="G41" i="52"/>
  <c r="K41" i="52"/>
  <c r="M41" i="52"/>
  <c r="I70" i="52"/>
  <c r="F3" i="80"/>
  <c r="G41" i="84"/>
  <c r="K41" i="84"/>
  <c r="M41" i="84"/>
  <c r="F3" i="8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F9785F8-8E6C-42C1-8B54-7D2A2D9AD5A4}" keepAlive="1" name="Query - VDOdecisions" description="Connection to the 'VDOdecisions' query in the workbook." type="5" refreshedVersion="6" background="1" saveData="1">
    <dbPr connection="Provider=Microsoft.Mashup.OleDb.1;Data Source=$Workbook$;Location=VDOdecisions;Extended Properties=&quot;&quot;" command="SELECT * FROM [VDOdecisions]"/>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<sst xmlns="http://schemas.openxmlformats.org/spreadsheetml/2006/main" count="7355" uniqueCount="578">
  <si>
    <t>Victorian Default Offer (VDO)</t>
  </si>
  <si>
    <t>Calculation model</t>
  </si>
  <si>
    <t>2024-25</t>
  </si>
  <si>
    <t>VDO calculation model</t>
  </si>
  <si>
    <t>Essential Services Commission</t>
  </si>
  <si>
    <t>Disclaimer, copyright &amp; terms and conditions of use
The VDO Price Determination model (model) does not constitute a decision or determination by the Essential Services Commission (commission). The model has been designed by the commission to enable it to calculate the tariffs a retailer may charge prescribed customers under a standing offer.
Limited access to this model is made available to third parties (users) for information purposes only and for the sole purpose of illustrating the modelling framework used by the commission to calculate the VDO tariffs.  The commission gives no warranty and makes no representation as to the accuracy, reliability, timeliness or other features of the data contained in the model for use other than calculation by the commission of the VDO tariffs.
Copyright and all other intellectual property rights in the model vests with the commission.  The commission hereby permits a user to view the model, download and use the model, and display and print the model from the commission’s website only in unaltered form, for the purposes of internal study, research, criticism or review by the user only, provided the user acknowledges the source of the model or any parts of the model.
A user must not disrupt, modify or interfere with the model, or alter or tamper with any information or material in or associated with the model, or gain or attempt to gain unauthorized access to secure parts of the model.  A user must not make the model available to a third party and must direct a third party to access the model directly from the commission’s website.
By viewing, downloading, using, displaying or printing the model or parts of the model, you agree to be bound by the disclaimer, copyright provisions and these terms and conditions of use. 
Note:  If you have obtained the model otherwise than by downloading it from the commission’s website, the model may have been modified by a previous user. The commission accepts no liability in relation to modifications made by any user.</t>
  </si>
  <si>
    <t>Contents</t>
  </si>
  <si>
    <t>Confidentiality</t>
  </si>
  <si>
    <t>Name</t>
  </si>
  <si>
    <t>Link</t>
  </si>
  <si>
    <t>Description</t>
  </si>
  <si>
    <t>Public</t>
  </si>
  <si>
    <t>User guide</t>
  </si>
  <si>
    <t>Instructions for model operation.</t>
  </si>
  <si>
    <t>Information</t>
  </si>
  <si>
    <t>Sources</t>
  </si>
  <si>
    <t>Checks</t>
  </si>
  <si>
    <t>OP_Rates</t>
  </si>
  <si>
    <t>Output rates (both from cost stack calculation and true up) for all tariffs.</t>
  </si>
  <si>
    <t>OP_CMAB</t>
  </si>
  <si>
    <t>Output annual bills for Compliant Maximum Annual Bill (CMAB).</t>
  </si>
  <si>
    <t>Calc_Rates</t>
  </si>
  <si>
    <t>Calculations for cost stack rates.</t>
  </si>
  <si>
    <t>Calc_TU_values</t>
  </si>
  <si>
    <t>Calculations for total true up amounts to be recovered.</t>
  </si>
  <si>
    <t>Calc_TU_rates</t>
  </si>
  <si>
    <t>Calculations for true up rates to be applied over the determination period.</t>
  </si>
  <si>
    <t>Inputs</t>
  </si>
  <si>
    <t>All cost and non-cost inputs used in the model.</t>
  </si>
  <si>
    <t>General assumptions</t>
  </si>
  <si>
    <t>Assumptions and constants used in the model.</t>
  </si>
  <si>
    <t>CPI</t>
  </si>
  <si>
    <t>Contains CPI indices used in the model.</t>
  </si>
  <si>
    <t>Worksheet description:</t>
  </si>
  <si>
    <t>[Please provide a description of what this sheet does and any specific details or other notes the user needs to know]</t>
  </si>
  <si>
    <t>User Guide</t>
  </si>
  <si>
    <t>Section/Item notes (where necessary)</t>
  </si>
  <si>
    <t>Model Structure</t>
  </si>
  <si>
    <t>Calculation methodology</t>
  </si>
  <si>
    <t>Calculated rates and prices</t>
  </si>
  <si>
    <t>True up costs and rates</t>
  </si>
  <si>
    <t>Annual bills</t>
  </si>
  <si>
    <t>Worksheets</t>
  </si>
  <si>
    <t>Inupts and assumptions</t>
  </si>
  <si>
    <t>Cost calculations</t>
  </si>
  <si>
    <t>Output and summary</t>
  </si>
  <si>
    <t>Supporting information</t>
  </si>
  <si>
    <t>Source documentation - calculation inputs</t>
  </si>
  <si>
    <t>Year</t>
  </si>
  <si>
    <t>VDO decision</t>
  </si>
  <si>
    <t>Cost element</t>
  </si>
  <si>
    <t>Cost item</t>
  </si>
  <si>
    <t>F-NextVDO_Input</t>
  </si>
  <si>
    <t>Essential Services Commission 2023, Victorian Default Offer 2023–24: Final Decision Paper, 25 May 2023</t>
  </si>
  <si>
    <t>NA</t>
  </si>
  <si>
    <t>Essential Services Commission data</t>
  </si>
  <si>
    <t>Essential Services Commission, Victorian Energy Upgrades (VEU) data</t>
  </si>
  <si>
    <t>Australian Energy Market Operator June 2022 NEM Events: Compensation Update, 6 January 2023</t>
  </si>
  <si>
    <t>Checks:</t>
  </si>
  <si>
    <t>VDO residential rates</t>
  </si>
  <si>
    <t>VDO small business rates</t>
  </si>
  <si>
    <t>Rate name</t>
  </si>
  <si>
    <t>Unit</t>
  </si>
  <si>
    <t>Customer type</t>
  </si>
  <si>
    <t>-</t>
  </si>
  <si>
    <t>Ausnet</t>
  </si>
  <si>
    <t>Citipower</t>
  </si>
  <si>
    <t>Jemena</t>
  </si>
  <si>
    <t>Powercor</t>
  </si>
  <si>
    <t>United Energy</t>
  </si>
  <si>
    <t>Anytime - supply</t>
  </si>
  <si>
    <t>$</t>
  </si>
  <si>
    <t>Residential</t>
  </si>
  <si>
    <t>Small business</t>
  </si>
  <si>
    <t>Block 1</t>
  </si>
  <si>
    <t>$/kWh</t>
  </si>
  <si>
    <t>Balance</t>
  </si>
  <si>
    <t>Single rate</t>
  </si>
  <si>
    <t>TOU - supply</t>
  </si>
  <si>
    <t>Peak</t>
  </si>
  <si>
    <t>Off peak</t>
  </si>
  <si>
    <t>Controlled load</t>
  </si>
  <si>
    <t>Residential calculated rate</t>
  </si>
  <si>
    <t>Small business calculated rate</t>
  </si>
  <si>
    <t>Residential True Up</t>
  </si>
  <si>
    <t>Small business True Up</t>
  </si>
  <si>
    <t>Anytime</t>
  </si>
  <si>
    <t>Network</t>
  </si>
  <si>
    <t>TOU</t>
  </si>
  <si>
    <t>Environmental</t>
  </si>
  <si>
    <t>Compliant Maximum Annual Bill (CMAB)</t>
  </si>
  <si>
    <t>Usage profile</t>
  </si>
  <si>
    <t>Residential - small</t>
  </si>
  <si>
    <t>Small business - small</t>
  </si>
  <si>
    <t>Residential - medium</t>
  </si>
  <si>
    <t>Small business - medium</t>
  </si>
  <si>
    <t>Residential - large</t>
  </si>
  <si>
    <t>Small business - large</t>
  </si>
  <si>
    <t>Percentage change</t>
  </si>
  <si>
    <t>This worksheet contains all inputs used for calculating the VDO cost stacks.</t>
  </si>
  <si>
    <t>Year selection</t>
  </si>
  <si>
    <t>Period type</t>
  </si>
  <si>
    <t>Decision</t>
  </si>
  <si>
    <t>Start date</t>
  </si>
  <si>
    <t>End date</t>
  </si>
  <si>
    <t>Next regulatory period</t>
  </si>
  <si>
    <t>Financial year</t>
  </si>
  <si>
    <t>VDO 2024-25 - Draft</t>
  </si>
  <si>
    <t>Current regulatory period</t>
  </si>
  <si>
    <t>VDO 2023-24 - Final</t>
  </si>
  <si>
    <t>Cost stack inputs</t>
  </si>
  <si>
    <t>2022-23</t>
  </si>
  <si>
    <t>2023-24</t>
  </si>
  <si>
    <t>Input_ForRateCalc</t>
  </si>
  <si>
    <t>Fixed/Variable</t>
  </si>
  <si>
    <t>F-PreviousVDO_InputDate</t>
  </si>
  <si>
    <t>F-PreviousVDO_Input</t>
  </si>
  <si>
    <t>VD-PreviousVDO_InputDate</t>
  </si>
  <si>
    <t>VD-PreviousVDO_Input</t>
  </si>
  <si>
    <t>VF-PreviousVDO_InputDate</t>
  </si>
  <si>
    <t>VF-PreviousVDO_Input</t>
  </si>
  <si>
    <t>D-PreviousVDO_InputDate</t>
  </si>
  <si>
    <t>D-PreviousVDO_Input</t>
  </si>
  <si>
    <t>F-PreviousVDO_InputDate2</t>
  </si>
  <si>
    <t>F-PreviousVDO_Input2</t>
  </si>
  <si>
    <t>D-PreviousVDO_InputDate2</t>
  </si>
  <si>
    <t>D-PreviousVDO_Input2</t>
  </si>
  <si>
    <t>F-PreviousVDO_InputDate3</t>
  </si>
  <si>
    <t>F-PreviousVDO_Input3</t>
  </si>
  <si>
    <t>D-CurrentVDO_InputDate</t>
  </si>
  <si>
    <t>D-CurrentVDO_Input</t>
  </si>
  <si>
    <t>F-CurrentVDO_InputDate</t>
  </si>
  <si>
    <t>F-CurrentVDO_Input</t>
  </si>
  <si>
    <t>D-NextVDO_InputDate</t>
  </si>
  <si>
    <t>D-NextVDO_Input</t>
  </si>
  <si>
    <t>F-NextVDO_InputDate</t>
  </si>
  <si>
    <t>Retail</t>
  </si>
  <si>
    <t>Retail operating cost - base</t>
  </si>
  <si>
    <t>Fixed</t>
  </si>
  <si>
    <t>All</t>
  </si>
  <si>
    <t>Retail operating cost - regulatory cost allowance</t>
  </si>
  <si>
    <t>Retail operating cost - 5 min settlement allowance</t>
  </si>
  <si>
    <t>Retail operating cost - bad debt allowance</t>
  </si>
  <si>
    <t>Retail operating cost - consumer data right allowance</t>
  </si>
  <si>
    <t>Customer acquisition and retention cost</t>
  </si>
  <si>
    <t>Solar</t>
  </si>
  <si>
    <t>Feed-in tariff (FiT)</t>
  </si>
  <si>
    <t>Other</t>
  </si>
  <si>
    <t>ESC licence fees</t>
  </si>
  <si>
    <t>Reliability and emergency reserve trader (RERT)</t>
  </si>
  <si>
    <t>Energy Consumers Australia</t>
  </si>
  <si>
    <t>$/week</t>
  </si>
  <si>
    <t>Full retail competition (FRC) operations</t>
  </si>
  <si>
    <t>General NEM fees - fixed</t>
  </si>
  <si>
    <t>Distributed Energy Resources Integration Program (DER) - fixed</t>
  </si>
  <si>
    <t>IT upgrade and 5MS/GS compliance - fixed</t>
  </si>
  <si>
    <t>Metering - Ausnet</t>
  </si>
  <si>
    <t>$/year</t>
  </si>
  <si>
    <t>Metering - Citipower</t>
  </si>
  <si>
    <t>Metering - Jemena</t>
  </si>
  <si>
    <t>Metering - Powercor</t>
  </si>
  <si>
    <t>Metering - United Energy</t>
  </si>
  <si>
    <t>Anytime - supply charge - RES - Ausnet</t>
  </si>
  <si>
    <t>Anytime - supply charge - RES - Citipower</t>
  </si>
  <si>
    <t>Anytime - supply charge - RES - Jemena</t>
  </si>
  <si>
    <t>Anytime - supply charge - RES - Powercor</t>
  </si>
  <si>
    <t>Anytime - supply charge - RES - United Energy</t>
  </si>
  <si>
    <t>Anytime - supply charge - SME - Ausnet</t>
  </si>
  <si>
    <t>Anytime - supply charge - SME - Citipower</t>
  </si>
  <si>
    <t>Anytime - supply charge - SME - Jemena</t>
  </si>
  <si>
    <t>Anytime - supply charge - SME - Powercor</t>
  </si>
  <si>
    <t>Anytime - supply charge - SME - United Energy</t>
  </si>
  <si>
    <t>TOU - supply charge - RES - Ausnet</t>
  </si>
  <si>
    <t>TOU - supply charge - RES - Citipower</t>
  </si>
  <si>
    <t>TOU - supply charge - RES - Jemena</t>
  </si>
  <si>
    <t>TOU - supply charge - RES - Powercor</t>
  </si>
  <si>
    <t>TOU - supply charge - RES - United Energy</t>
  </si>
  <si>
    <t>TOU - supply charge - SME - Ausnet</t>
  </si>
  <si>
    <t>TOU - supply charge - SME - Citipower</t>
  </si>
  <si>
    <t>TOU - supply charge - SME - Jemena</t>
  </si>
  <si>
    <t>TOU - supply charge - SME - Powercor</t>
  </si>
  <si>
    <t>TOU - supply charge - SME - United Energy</t>
  </si>
  <si>
    <t>Wholesale</t>
  </si>
  <si>
    <t>Price - RES - Ausnet</t>
  </si>
  <si>
    <t>Variable</t>
  </si>
  <si>
    <t>$/MWh</t>
  </si>
  <si>
    <t>Price - RES - Citipower</t>
  </si>
  <si>
    <t>Price - RES - Jemena</t>
  </si>
  <si>
    <t>Price - RES - Powercor</t>
  </si>
  <si>
    <t>Price - RES - United Energy</t>
  </si>
  <si>
    <t>Volatility - RES - Ausnet</t>
  </si>
  <si>
    <t>Volatility - RES - Citipower</t>
  </si>
  <si>
    <t>Volatility - RES - Jemena</t>
  </si>
  <si>
    <t>Volatility - RES - Powercor</t>
  </si>
  <si>
    <t>Volatility - RES - United Energy</t>
  </si>
  <si>
    <t>Price - SME - Ausnet</t>
  </si>
  <si>
    <t>Price - SME - Citipower</t>
  </si>
  <si>
    <t>Price - SME - Jemena</t>
  </si>
  <si>
    <t>Price - SME - Powercor</t>
  </si>
  <si>
    <t>Price - SME - United Energy</t>
  </si>
  <si>
    <t>Volatility - SME - Ausnet</t>
  </si>
  <si>
    <t>Volatility - SME - Citipower</t>
  </si>
  <si>
    <t>Volatility - SME - Jemena</t>
  </si>
  <si>
    <t>Volatility - SME - Powercor</t>
  </si>
  <si>
    <t>Volatility - SME - United Energy</t>
  </si>
  <si>
    <t>Victorian energy upgrades (VEU) - Price</t>
  </si>
  <si>
    <t>$/certificate</t>
  </si>
  <si>
    <t>Large-scale renewable energy target (LRET) - Price</t>
  </si>
  <si>
    <t>Small-scale renewable energy scheme (SRES) - Price</t>
  </si>
  <si>
    <t>Victorian energy upgrades (VEU) - Liability</t>
  </si>
  <si>
    <t>%/year</t>
  </si>
  <si>
    <t>Large-scale renewable energy target (LRET) - Liability</t>
  </si>
  <si>
    <t>Large-scale renewable energy target (LRET) - Liability true up (2021 only)</t>
  </si>
  <si>
    <t>Small-scale renewable energy scheme (SRES) - Liability</t>
  </si>
  <si>
    <t>General NEM fees</t>
  </si>
  <si>
    <t>Full retail competition (FRC) operations (OBSOLETE)</t>
  </si>
  <si>
    <t>National transmission planner</t>
  </si>
  <si>
    <t>Ancillary services</t>
  </si>
  <si>
    <t>IT upgrade and 5MS/GS compliance</t>
  </si>
  <si>
    <t>Distributed Energy Resources Integration Program (DER)</t>
  </si>
  <si>
    <t>NEW</t>
  </si>
  <si>
    <t>Market suspension - usage</t>
  </si>
  <si>
    <t>Directions - usage</t>
  </si>
  <si>
    <t>Administered price cap - usage</t>
  </si>
  <si>
    <t>Anytime - Block 1 - RES - Ausnet</t>
  </si>
  <si>
    <t>c/kWh</t>
  </si>
  <si>
    <t>Anytime - Balance - RES - Ausnet</t>
  </si>
  <si>
    <t>Anytime - Single rate - RES - Citipower</t>
  </si>
  <si>
    <t>Anytime - Single rate - RES - Jemena</t>
  </si>
  <si>
    <t>Anytime - Single rate - RES - Powercor</t>
  </si>
  <si>
    <t>Anytime - Single rate - RES - United Energy</t>
  </si>
  <si>
    <t>Anytime - Block 1 - SME - Ausnet</t>
  </si>
  <si>
    <t>Anytime - Balance - SME - Ausnet</t>
  </si>
  <si>
    <t>Anytime - Single rate - SME - Citipower</t>
  </si>
  <si>
    <t>Anytime - Single rate - SME - Jemena</t>
  </si>
  <si>
    <t>Anytime - Single rate - SME - Powercor</t>
  </si>
  <si>
    <t>Anytime - Single rate - SME - United Energy</t>
  </si>
  <si>
    <t>TOU - Peak - RES - Ausnet</t>
  </si>
  <si>
    <t>TOU - Peak - RES - Citipower</t>
  </si>
  <si>
    <t>TOU - Peak - RES - Jemena</t>
  </si>
  <si>
    <t>TOU - Peak - RES - Powercor</t>
  </si>
  <si>
    <t>TOU - Peak - RES - United Energy</t>
  </si>
  <si>
    <t>TOU - Off peak - RES - Ausnet</t>
  </si>
  <si>
    <t>TOU - Off peak - RES - Citipower</t>
  </si>
  <si>
    <t>TOU - Off peak - RES - Jemena</t>
  </si>
  <si>
    <t>TOU - Off peak - RES - Powercor</t>
  </si>
  <si>
    <t>TOU - Off peak - RES - United Energy</t>
  </si>
  <si>
    <t>TOU - Peak - SME - Ausnet</t>
  </si>
  <si>
    <t>TOU - Peak - SME - Citipower</t>
  </si>
  <si>
    <t>TOU - Peak - SME - Jemena</t>
  </si>
  <si>
    <t>TOU - Peak - SME - Powercor</t>
  </si>
  <si>
    <t>TOU - Peak - SME - United Energy</t>
  </si>
  <si>
    <t>TOU - Off peak - SME - Ausnet</t>
  </si>
  <si>
    <t>TOU - Off peak - SME - Citipower</t>
  </si>
  <si>
    <t>TOU - Off peak - SME - Jemena</t>
  </si>
  <si>
    <t>TOU - Off peak - SME - Powercor</t>
  </si>
  <si>
    <t>TOU - Off peak - SME - United Energy</t>
  </si>
  <si>
    <t>Controlled load - RES - Ausnet</t>
  </si>
  <si>
    <t>Controlled load - RES - Citipower</t>
  </si>
  <si>
    <t>Controlled load - RES - Jemena</t>
  </si>
  <si>
    <t>Controlled load - RES - Powercor</t>
  </si>
  <si>
    <t>Controlled load - RES - United Energy</t>
  </si>
  <si>
    <t>Retail margin</t>
  </si>
  <si>
    <t>Retail operating margin</t>
  </si>
  <si>
    <t>%</t>
  </si>
  <si>
    <t>Marginal loss factors</t>
  </si>
  <si>
    <t>Marginal loss factor - Ausnet</t>
  </si>
  <si>
    <t>Marginal loss factor - Citipower</t>
  </si>
  <si>
    <t>Marginal loss factor - Jemena</t>
  </si>
  <si>
    <t>Marginal loss factor - Powercor</t>
  </si>
  <si>
    <t>Marginal loss factor - United Energy</t>
  </si>
  <si>
    <t>Distribution loss factors</t>
  </si>
  <si>
    <t>Distribution loss factor - Ausnet</t>
  </si>
  <si>
    <t>Distribution loss factor - Citipower</t>
  </si>
  <si>
    <t>Distribution loss factor - Jemena</t>
  </si>
  <si>
    <t>Distribution loss factor - Powercor</t>
  </si>
  <si>
    <t>Distribution loss factor - United Energy</t>
  </si>
  <si>
    <t>Usage profile inputs</t>
  </si>
  <si>
    <t>Input_Usage</t>
  </si>
  <si>
    <t>Profile name</t>
  </si>
  <si>
    <t>Usage type</t>
  </si>
  <si>
    <t>Ref</t>
  </si>
  <si>
    <t>Tariff type</t>
  </si>
  <si>
    <t>[blank]</t>
  </si>
  <si>
    <t>[blank]2</t>
  </si>
  <si>
    <t>[blank]3</t>
  </si>
  <si>
    <t>[blank]4</t>
  </si>
  <si>
    <t>[blank]5</t>
  </si>
  <si>
    <t>[blank]6</t>
  </si>
  <si>
    <t>[blank]7</t>
  </si>
  <si>
    <t>[blank]8</t>
  </si>
  <si>
    <t>[blank]9</t>
  </si>
  <si>
    <t>[blank]10</t>
  </si>
  <si>
    <t>[blank]11</t>
  </si>
  <si>
    <t>Annual</t>
  </si>
  <si>
    <t>True up inputs</t>
  </si>
  <si>
    <t>Midpoint</t>
  </si>
  <si>
    <t>Input_TUEnv_Actual</t>
  </si>
  <si>
    <t>kWh/year</t>
  </si>
  <si>
    <t>Input_TU_Periods</t>
  </si>
  <si>
    <t>Item</t>
  </si>
  <si>
    <t>Item2</t>
  </si>
  <si>
    <t>[blank]12</t>
  </si>
  <si>
    <t>[blank]13</t>
  </si>
  <si>
    <t>Decision period</t>
  </si>
  <si>
    <t>Standard regulatory period</t>
  </si>
  <si>
    <t>Days</t>
  </si>
  <si>
    <t>Modified regulatory period</t>
  </si>
  <si>
    <t>Input_TU_YesNo</t>
  </si>
  <si>
    <t>Component</t>
  </si>
  <si>
    <t>[blank]14</t>
  </si>
  <si>
    <t>Large-scale renewable energy target (LRET)</t>
  </si>
  <si>
    <t>No</t>
  </si>
  <si>
    <t>Yes</t>
  </si>
  <si>
    <t>Small-scale renewable energy scheme (SRES)</t>
  </si>
  <si>
    <t>Victorian energy upgrades (VEU)</t>
  </si>
  <si>
    <t>Anytime - Residential</t>
  </si>
  <si>
    <t>Anytime - Small business</t>
  </si>
  <si>
    <t>TOU - Residential</t>
  </si>
  <si>
    <t>TOU - Small business</t>
  </si>
  <si>
    <t>Input_DecisionActual</t>
  </si>
  <si>
    <t>VDO period</t>
  </si>
  <si>
    <t>Actual</t>
  </si>
  <si>
    <t>VDO 2021 - Final</t>
  </si>
  <si>
    <t>VDO 2021 - Variation draft</t>
  </si>
  <si>
    <t>VDO 2021 - Variation final</t>
  </si>
  <si>
    <t>VDO 2022 - Draft</t>
  </si>
  <si>
    <t>VDO 2022 - Final</t>
  </si>
  <si>
    <t>VDO 2022-23 - Draft</t>
  </si>
  <si>
    <t>VDO 2022-23 - Final</t>
  </si>
  <si>
    <t>VDO 2023-24 - Draft</t>
  </si>
  <si>
    <t>VDO 2024-25 - Final</t>
  </si>
  <si>
    <t>N/A</t>
  </si>
  <si>
    <t>General Assumptions</t>
  </si>
  <si>
    <t>Constants</t>
  </si>
  <si>
    <t>Assumption</t>
  </si>
  <si>
    <t>Value</t>
  </si>
  <si>
    <t>Number of days</t>
  </si>
  <si>
    <t>[DiY]</t>
  </si>
  <si>
    <t>[DiPY]</t>
  </si>
  <si>
    <t>Number of months</t>
  </si>
  <si>
    <t>Number of months in a year</t>
  </si>
  <si>
    <t>[MiY]</t>
  </si>
  <si>
    <t>Number of months in a quarter year</t>
  </si>
  <si>
    <t>[MiQ]</t>
  </si>
  <si>
    <t>Number of weeks</t>
  </si>
  <si>
    <t>[WiY]</t>
  </si>
  <si>
    <t>[WiPY]</t>
  </si>
  <si>
    <t>Financial units</t>
  </si>
  <si>
    <t>AUD</t>
  </si>
  <si>
    <t>[AUD]</t>
  </si>
  <si>
    <t>Financial year end month</t>
  </si>
  <si>
    <t>Goods &amp; Services Tax (GST)</t>
  </si>
  <si>
    <t>[GST]</t>
  </si>
  <si>
    <t>VDO decisions</t>
  </si>
  <si>
    <t>Index</t>
  </si>
  <si>
    <t>VD-CurrentVDO_Input</t>
  </si>
  <si>
    <t>VF-CurrentVDO_Input</t>
  </si>
  <si>
    <t>Rate checks:</t>
  </si>
  <si>
    <t>Calculation</t>
  </si>
  <si>
    <t>Rates</t>
  </si>
  <si>
    <t>Fixed costs</t>
  </si>
  <si>
    <t>Solar (FiT)</t>
  </si>
  <si>
    <t>Metering</t>
  </si>
  <si>
    <t>Residential charges - daily supply</t>
  </si>
  <si>
    <t>Network charge</t>
  </si>
  <si>
    <t>GST</t>
  </si>
  <si>
    <t>Total fixed costs</t>
  </si>
  <si>
    <t>Small business charges - daily supply</t>
  </si>
  <si>
    <t>Variable costs</t>
  </si>
  <si>
    <t>Environmental programs</t>
  </si>
  <si>
    <t>Wholesale cost</t>
  </si>
  <si>
    <t>Network losses</t>
  </si>
  <si>
    <t>Residential charges - usage</t>
  </si>
  <si>
    <t>Anytime usage</t>
  </si>
  <si>
    <t>TOU usage</t>
  </si>
  <si>
    <t>Small business charges - usage</t>
  </si>
  <si>
    <t>Non cost items</t>
  </si>
  <si>
    <t>Indice at VDO decision</t>
  </si>
  <si>
    <t>Adjust?</t>
  </si>
  <si>
    <t>CPI increase</t>
  </si>
  <si>
    <t>CPI uplift factor</t>
  </si>
  <si>
    <t xml:space="preserve"> </t>
  </si>
  <si>
    <t>Marginal loss factor</t>
  </si>
  <si>
    <t>Distribution loss factor</t>
  </si>
  <si>
    <t>Total loss factor</t>
  </si>
  <si>
    <t>Retail costs</t>
  </si>
  <si>
    <t>Retail operating cost</t>
  </si>
  <si>
    <t>Fixed network charges</t>
  </si>
  <si>
    <t>Variable network charges</t>
  </si>
  <si>
    <t>Residential wholesale</t>
  </si>
  <si>
    <t>Price - RES</t>
  </si>
  <si>
    <t>Volatility - RES</t>
  </si>
  <si>
    <t>Small business wholesale</t>
  </si>
  <si>
    <t>Price - SME</t>
  </si>
  <si>
    <t>Volatility - SME</t>
  </si>
  <si>
    <t>Environmental &amp; Solar</t>
  </si>
  <si>
    <t>Victorian Energy Upgrades (VEU)</t>
  </si>
  <si>
    <t>VEU cost</t>
  </si>
  <si>
    <t>Large-scale Renewable Energy Target (LRET)</t>
  </si>
  <si>
    <t>LRET cost</t>
  </si>
  <si>
    <t>Small-scale Renewable Energy Scheme (SRES)</t>
  </si>
  <si>
    <t>SRES cost</t>
  </si>
  <si>
    <t>Feed-in Tariff (FiT)</t>
  </si>
  <si>
    <t>True up</t>
  </si>
  <si>
    <t>Environmental costs</t>
  </si>
  <si>
    <t>Actual time period, months</t>
  </si>
  <si>
    <t>VIC avg</t>
  </si>
  <si>
    <t>Proportion of annual</t>
  </si>
  <si>
    <t>LRET True up</t>
  </si>
  <si>
    <t>WACC adjustment</t>
  </si>
  <si>
    <t>SRES True up</t>
  </si>
  <si>
    <t>VEU True up</t>
  </si>
  <si>
    <t>Calc_TUV_Env_1</t>
  </si>
  <si>
    <t>Decision/Actual</t>
  </si>
  <si>
    <t>Decision ref</t>
  </si>
  <si>
    <t>Pass through (Yes/No)</t>
  </si>
  <si>
    <t>Cost</t>
  </si>
  <si>
    <t>Difference</t>
  </si>
  <si>
    <t>Network loss adjustment</t>
  </si>
  <si>
    <t>Profit margin adjustment</t>
  </si>
  <si>
    <t>GST adjustment</t>
  </si>
  <si>
    <t>Network costs</t>
  </si>
  <si>
    <t>Time period, decision/actual</t>
  </si>
  <si>
    <t>AVG per month</t>
  </si>
  <si>
    <t>1 month impact (TOU)</t>
  </si>
  <si>
    <t>Network true up cost start date</t>
  </si>
  <si>
    <t>Network true up cost end date</t>
  </si>
  <si>
    <t>Cost recovery days</t>
  </si>
  <si>
    <t>TUNet_Usage_Actual_1</t>
  </si>
  <si>
    <t>Total usage</t>
  </si>
  <si>
    <t>Total customers</t>
  </si>
  <si>
    <t>Usage per customer</t>
  </si>
  <si>
    <t>CL usage - True up proportion</t>
  </si>
  <si>
    <t>TUNet_Usage_PerRate_1</t>
  </si>
  <si>
    <t>Usage per customer - Block 1</t>
  </si>
  <si>
    <t>Usage per customer - Balance</t>
  </si>
  <si>
    <t>Usage per customer - Single rate</t>
  </si>
  <si>
    <t>Calc_TUV_Net_1</t>
  </si>
  <si>
    <t>Anytime - supply cost - residential</t>
  </si>
  <si>
    <t>Anytime - supply charge - RES</t>
  </si>
  <si>
    <t>Anytime - supply cost true up</t>
  </si>
  <si>
    <t>Anytime - usage cost - residential</t>
  </si>
  <si>
    <t>Anytime - Block 1 - RES</t>
  </si>
  <si>
    <t>Anytime - Balance - RES</t>
  </si>
  <si>
    <t>Anytime - Single rate - RES</t>
  </si>
  <si>
    <t>Anytime - usage cost true up</t>
  </si>
  <si>
    <t>Controlled load cost - residential</t>
  </si>
  <si>
    <t>Controlled load - RES</t>
  </si>
  <si>
    <t>Controlled load - usage cost true up</t>
  </si>
  <si>
    <t>Anytime - supply cost - small business</t>
  </si>
  <si>
    <t>Anytime - supply charge - SME</t>
  </si>
  <si>
    <t>Anytime - usage cost - small business</t>
  </si>
  <si>
    <t>Anytime - Block 1 - SME</t>
  </si>
  <si>
    <t>Anytime - Balance - SME</t>
  </si>
  <si>
    <t>Anytime - Single rate - SME</t>
  </si>
  <si>
    <t>TOU - supply cost - residential</t>
  </si>
  <si>
    <t>TOU - supply charge - RES</t>
  </si>
  <si>
    <t>TOU - supply cost true up</t>
  </si>
  <si>
    <t>TOU - usage cost - residential</t>
  </si>
  <si>
    <t>TOU - Peak - RES</t>
  </si>
  <si>
    <t>TOU - Off peak - RES</t>
  </si>
  <si>
    <t>TOU - usage cost true up</t>
  </si>
  <si>
    <t>TOU - supply cost - small business</t>
  </si>
  <si>
    <t>TOU - supply charge - SME</t>
  </si>
  <si>
    <t>TOU - usage cost - small business</t>
  </si>
  <si>
    <t>TOU - Peak - SME</t>
  </si>
  <si>
    <t>TOU - Off peak - SME</t>
  </si>
  <si>
    <t>Calc_TUV_Env_2</t>
  </si>
  <si>
    <t>TUNet_Usage_Actual_2</t>
  </si>
  <si>
    <t>TUNet_Usage_PerRate_2</t>
  </si>
  <si>
    <t>Calc_TUV_Net_2</t>
  </si>
  <si>
    <t>True up rate calculation</t>
  </si>
  <si>
    <t>Network true up rates</t>
  </si>
  <si>
    <t>Network true up values per customers - Calc_TUV_NetGroup_1</t>
  </si>
  <si>
    <t>Network true up rate start date</t>
  </si>
  <si>
    <t>Network true up rate end date</t>
  </si>
  <si>
    <t>Network true up rates per customer per day - Calc_TUR_Net_1</t>
  </si>
  <si>
    <t>Rate type</t>
  </si>
  <si>
    <t>Porportion of annual usage</t>
  </si>
  <si>
    <t>Cost recovery kWh</t>
  </si>
  <si>
    <t>Proportion of CL usage</t>
  </si>
  <si>
    <t>Cost recovery CL kWh</t>
  </si>
  <si>
    <t>Network true up rates per customer per kWh - Calc_TUR_NetCL_2</t>
  </si>
  <si>
    <t>Environmental true up rates</t>
  </si>
  <si>
    <t>Calc_TUV_EnvGroup_1</t>
  </si>
  <si>
    <t>Period (days)</t>
  </si>
  <si>
    <t>Decision period multiplier</t>
  </si>
  <si>
    <t>Calc_TUR_Env_1</t>
  </si>
  <si>
    <t>LRET true up</t>
  </si>
  <si>
    <t>SRES true up</t>
  </si>
  <si>
    <t>VEU true up</t>
  </si>
  <si>
    <t>Network true up values per customers - Calc_TUV_NetGroup_2</t>
  </si>
  <si>
    <t>Network true up rates per customer per day - Calc_TUR_Net_2</t>
  </si>
  <si>
    <t>Network true ups - checks</t>
  </si>
  <si>
    <t>Environmental true up values</t>
  </si>
  <si>
    <t>Environmental variable rate true ups</t>
  </si>
  <si>
    <t>Environmental true ups - checks</t>
  </si>
  <si>
    <t>This worksheet contains indices used to adjust cost stack elements by CPI (where necessary).</t>
  </si>
  <si>
    <t>Indices "as at" for previous VDO decisions</t>
  </si>
  <si>
    <t>Decision paper</t>
  </si>
  <si>
    <t>Date</t>
  </si>
  <si>
    <t>Indice</t>
  </si>
  <si>
    <t>VDO 2019</t>
  </si>
  <si>
    <t>VDO 2020</t>
  </si>
  <si>
    <t>VDO 2021 - Draft</t>
  </si>
  <si>
    <t>CPI indices</t>
  </si>
  <si>
    <t>ABS All groups CPI, Australia</t>
  </si>
  <si>
    <t>Series ID A2325846C</t>
  </si>
  <si>
    <t>Latest extract</t>
  </si>
  <si>
    <t>Period</t>
  </si>
  <si>
    <t>Cost items for CPI adjustment</t>
  </si>
  <si>
    <t>Cost stacks - estimated annual bill</t>
  </si>
  <si>
    <t>Zone</t>
  </si>
  <si>
    <t>Average</t>
  </si>
  <si>
    <t>Customer</t>
  </si>
  <si>
    <t>X axis labels</t>
  </si>
  <si>
    <t>Total</t>
  </si>
  <si>
    <t>change</t>
  </si>
  <si>
    <t>contribution</t>
  </si>
  <si>
    <t>kWh/yr</t>
  </si>
  <si>
    <t>Labels</t>
  </si>
  <si>
    <t>Environmental schemes</t>
  </si>
  <si>
    <t>FiT</t>
  </si>
  <si>
    <t>Environmental true up</t>
  </si>
  <si>
    <t>Cost element total</t>
  </si>
  <si>
    <t>Annual costs</t>
  </si>
  <si>
    <t>Retail cost</t>
  </si>
  <si>
    <t>Network fixed cost</t>
  </si>
  <si>
    <t>Environmental (FiT)</t>
  </si>
  <si>
    <t>Per kWh costs</t>
  </si>
  <si>
    <t>Network usage charge</t>
  </si>
  <si>
    <t>Network true up rate</t>
  </si>
  <si>
    <t>Environmental  true up rate</t>
  </si>
  <si>
    <t>Lookup references</t>
  </si>
  <si>
    <t>Units</t>
  </si>
  <si>
    <t>Usage profiles</t>
  </si>
  <si>
    <t>Change log review</t>
  </si>
  <si>
    <t>Cost Item CPI</t>
  </si>
  <si>
    <t>Decisions</t>
  </si>
  <si>
    <t>ERROR</t>
  </si>
  <si>
    <t>No.</t>
  </si>
  <si>
    <t>$/day</t>
  </si>
  <si>
    <t>Diff. vs Last FY</t>
  </si>
  <si>
    <t>% Diff.</t>
  </si>
  <si>
    <t>Not for Public</t>
  </si>
  <si>
    <t>Small-scale renewable energy scheme (SRES) - Liability true up (2021 Only)</t>
  </si>
  <si>
    <t>Essential Services Commission 2024, Victorian Default Offer 2024–25: Final Decision Paper, 23 May</t>
  </si>
  <si>
    <t>Essential Services Commission calculation, Minimum electricity feed-in tariffs to apply from 1 July 2024 final decision, February 2024, p. 41</t>
  </si>
  <si>
    <t>Australian Energy Market Operator, Reliability and Emergency Reserve Trader (RERT), End of Financial Year 2022-23 Report August 2023 and 2024 Quarterly Report Q4 2023, February 2024</t>
  </si>
  <si>
    <t>Australian Energy Market Operator, Draft FY25 Budget and Fees April 2024</t>
  </si>
  <si>
    <t>Australian Energy Regulator, AusNet Services – 2024-25 annual SCS pricing model, 28 March 2024</t>
  </si>
  <si>
    <t>Australian Energy Regulator, CitiPower - 2024-25 annual pricing model, 28 March 2024</t>
  </si>
  <si>
    <t>Australian Energy Regulator, JEN - 2024-25 annual SCS pricing model, 28 March 2024</t>
  </si>
  <si>
    <t>Australian Energy Regulator, Powercor - 2024-25 annual pricing model, 28 March 2024</t>
  </si>
  <si>
    <t>Australian Energy Regulator, United Energy - 2024-25 Annual Pricing Model, 28 March 2024</t>
  </si>
  <si>
    <t>Frontier Economics, Wholesale electricity costs for 2024-25: A final report for the Essential Services Commission, May 2024</t>
  </si>
  <si>
    <t>Essential Services Commission, Victorian Energy Upgrades (VEU) program 2024</t>
  </si>
  <si>
    <t>Clean Energy Regulator, Renewable Power Percentage, 3 May 2024</t>
  </si>
  <si>
    <t>Clean Energy Regulator, Small-scale Technology Percentage, 17 April 2024</t>
  </si>
  <si>
    <t>Australian Energy Market Operator, Ancillary Services Payments and Recovery, AS Recovery Summary File 2023 and 2024</t>
  </si>
  <si>
    <t>Australian Energy Market Operator, Draft FY25 Budget and Fees April 2024 </t>
  </si>
  <si>
    <t>Australian Energy Market Operator, Market event reports Preliminary report Victoria market suspension June 2023 and Final report New South Wales market suspension March 2024</t>
  </si>
  <si>
    <t>Australian Energy Market Operator, 'Marginal Loss Factors for the 2024-25 Financial Year', May 2024</t>
  </si>
  <si>
    <t>Australian Energy Market Operator, 'Disctribution Loss Factors for the 2024-25 Financial Year', April 2024</t>
  </si>
  <si>
    <t>CH_CostStack_RES</t>
  </si>
  <si>
    <t>Estimated cost stacks for residential flat rate tariffs</t>
  </si>
  <si>
    <t>CH_CostStack_SME</t>
  </si>
  <si>
    <t>Estimated cost stacks for small business flat rate tariffs with usage 20,000kWh</t>
  </si>
  <si>
    <t>CH_CostStack_SME_10k</t>
  </si>
  <si>
    <t>Estimated cost stacks for small business flat rate tariffs with usage 10,000kWh</t>
  </si>
  <si>
    <t>Sources for the input values in the Inputs table</t>
  </si>
  <si>
    <t>Current regulatory period (2024-25FY)</t>
  </si>
  <si>
    <t>Last regulatory period (2023-24FY)</t>
  </si>
  <si>
    <t>Frontier Economics, Wholesale electricity costs for 2024-25: A final report for the Essential Services Commission, May 2024, page 41, Table 2</t>
  </si>
  <si>
    <t>Frontier Economics, Wholesale electricity costs for 2024-25: A final report for the Essential Services Commission, May 2024, page 42, Table 3</t>
  </si>
  <si>
    <t>&lt;&lt; Back to Contents</t>
  </si>
  <si>
    <t>Charts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</si>
</sst>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8" formatCode="&quot;$&quot;#,##0.00;[Red]\-&quot;$&quot;#,##0.00"/>
    <numFmt numFmtId="44" formatCode="_-&quot;$&quot;* #,##0.00_-;\-&quot;$&quot;* #,##0.00_-;_-&quot;$&quot;* &quot;-&quot;??_-;_-@_-"/>
    <numFmt numFmtId="43" formatCode="_-* #,##0.00_-;\-* #,##0.00_-;_-* &quot;-&quot;??_-;_-@_-"/>
    <numFmt numFmtId="164" formatCode="&quot;$&quot;#,##0_);[Red]\(&quot;$&quot;#,##0\)"/>
    <numFmt numFmtId="165" formatCode="&quot;$&quot;#,##0.00_);[Red]\(&quot;$&quot;#,##0.00\)"/>
    <numFmt numFmtId="166" formatCode="_(* #,##0.00_);_(* \(#,##0.00\);_(* &quot;-&quot;??_);_(@_)"/>
    <numFmt numFmtId="167" formatCode="[Green][=0]&quot;OK&quot;;[Red]&quot;Err&quot;"/>
    <numFmt numFmtId="168" formatCode="0.0000"/>
    <numFmt numFmtId="169" formatCode="&quot;$&quot;#,##0.0000;[Red]\-&quot;$&quot;#,##0.0000"/>
    <numFmt numFmtId="170" formatCode="&quot;$&quot;#,##0.00000;[Red]\-&quot;$&quot;#,##0.00000"/>
    <numFmt numFmtId="171" formatCode="#&quot;.&quot;##"/>
    <numFmt numFmtId="172" formatCode="[Green][=0]&quot;OK&quot;;[Red]&quot;Error&quot;"/>
    <numFmt numFmtId="173" formatCode="0.00000"/>
    <numFmt numFmtId="174" formatCode="0.0%"/>
    <numFmt numFmtId="175" formatCode="0.0"/>
    <numFmt numFmtId="176" formatCode="&quot;$&quot;#,##0.0;[Red]\-&quot;$&quot;#,##0.0"/>
    <numFmt numFmtId="177" formatCode="&quot;$&quot;#,##0.000000;[Red]\-&quot;$&quot;#,##0.000000"/>
    <numFmt numFmtId="178" formatCode="&quot;$&quot;#,##0.0000000;[Red]\-&quot;$&quot;#,##0.0000000"/>
    <numFmt numFmtId="179" formatCode="&quot;$&quot;#,##0.00000000;[Red]\-&quot;$&quot;#,##0.00000000"/>
    <numFmt numFmtId="180" formatCode="&quot;$&quot;#,##0.00;[Red]&quot;$&quot;#,##0.00"/>
    <numFmt numFmtId="181" formatCode="&quot;$&quot;#,##0.0_);[Red]\(&quot;$&quot;#,##0.0\)"/>
    <numFmt numFmtId="182" formatCode="&quot;$&quot;#,##0.0000;[Red]&quot;$&quot;#,##0.0000"/>
    <numFmt numFmtId="183" formatCode="0.000000"/>
    <numFmt numFmtId="184" formatCode="&quot;$&quot;#,##0.0000_);[Red]\(&quot;$&quot;#,##0.0000\)"/>
    <numFmt numFmtId="185" formatCode="0.000%"/>
    <numFmt numFmtId="186" formatCode="_(#,##0_);\(#,##0\);_(&quot;-&quot;_)"/>
    <numFmt numFmtId="187" formatCode="0.0000000"/>
    <numFmt numFmtId="188" formatCode="mmm\-yyyy"/>
  </numFmts>
  <fonts count="50" x14ac:knownFonts="1">
    <font>
      <sz val="11"/>
      <color theme="1"/>
      <name val="Calibri"/>
      <family val="2"/>
      <scheme val="minor"/>
    </font>
    <font>
      <b/>
      <sz val="14"/>
      <color theme="0"/>
      <name val="Calibri"/>
      <family val="2"/>
      <scheme val="minor"/>
    </font>
    <font>
      <b/>
      <sz val="12"/>
      <color theme="1"/>
      <name val="Calibri"/>
      <family val="2"/>
      <scheme val="minor"/>
    </font>
    <font>
      <b/>
      <sz val="12"/>
      <color rgb="FF4986A0"/>
      <name val="Calibri"/>
      <family val="2"/>
      <scheme val="minor"/>
    </font>
    <font>
      <b/>
      <sz val="12"/>
      <name val="Calibri"/>
      <family val="2"/>
      <scheme val="minor"/>
    </font>
    <font>
      <b/>
      <sz val="12"/>
      <color rgb="FFCE0058"/>
      <name val="Calibri"/>
      <family val="2"/>
      <scheme val="minor"/>
    </font>
    <font>
      <sz val="11"/>
      <color theme="0"/>
      <name val="Calibri"/>
      <family val="2"/>
      <scheme val="minor"/>
    </font>
    <font>
      <sz val="11"/>
      <name val="Calibri"/>
      <family val="2"/>
      <scheme val="minor"/>
    </font>
    <font>
      <sz val="11"/>
      <color rgb="FF236192"/>
      <name val="Calibri"/>
      <family val="2"/>
      <scheme val="minor"/>
    </font>
    <font>
      <b/>
      <sz val="12"/>
      <color theme="0"/>
      <name val="Calibri"/>
      <family val="2"/>
      <scheme val="minor"/>
    </font>
    <font>
      <b/>
      <sz val="18"/>
      <color theme="0"/>
      <name val="Calibri"/>
      <family val="2"/>
      <scheme val="minor"/>
    </font>
    <font>
      <b/>
      <sz val="12"/>
      <color rgb="FF236192"/>
      <name val="Calibri"/>
      <family val="2"/>
      <scheme val="minor"/>
    </font>
    <font>
      <sz val="10"/>
      <color indexed="9"/>
      <name val="Verdana"/>
      <family val="2"/>
    </font>
    <font>
      <sz val="11"/>
      <color rgb="FF7F7F7F"/>
      <name val="Calibri"/>
      <family val="2"/>
      <scheme val="minor"/>
    </font>
    <font>
      <b/>
      <sz val="22"/>
      <color theme="0"/>
      <name val="Calibri"/>
      <family val="2"/>
      <scheme val="minor"/>
    </font>
    <font>
      <sz val="11"/>
      <color rgb="FFED8B00"/>
      <name val="Calibri"/>
      <family val="2"/>
      <scheme val="minor"/>
    </font>
    <font>
      <sz val="11"/>
      <color theme="1" tint="0.24994659260841701"/>
      <name val="Calibri"/>
      <family val="2"/>
      <scheme val="minor"/>
    </font>
    <font>
      <b/>
      <sz val="11"/>
      <name val="Calibri"/>
      <family val="2"/>
      <scheme val="minor"/>
    </font>
    <font>
      <sz val="11"/>
      <color theme="1"/>
      <name val="Calibri"/>
      <family val="2"/>
      <scheme val="minor"/>
    </font>
    <font>
      <i/>
      <sz val="11"/>
      <color rgb="FF7F7F7F"/>
      <name val="Calibri"/>
      <family val="2"/>
      <scheme val="minor"/>
    </font>
    <font>
      <sz val="12"/>
      <color rgb="FFCE0058"/>
      <name val="Calibri"/>
      <family val="2"/>
      <scheme val="minor"/>
    </font>
    <font>
      <sz val="11"/>
      <color rgb="FF4986A0"/>
      <name val="Calibri"/>
      <family val="2"/>
      <scheme val="minor"/>
    </font>
    <font>
      <sz val="12"/>
      <color rgb="FF4986A0"/>
      <name val="Calibri"/>
      <family val="2"/>
      <scheme val="minor"/>
    </font>
    <font>
      <sz val="12"/>
      <color theme="0"/>
      <name val="Calibri"/>
      <family val="2"/>
      <scheme val="minor"/>
    </font>
    <font>
      <sz val="12"/>
      <color theme="3"/>
      <name val="Calibri"/>
      <family val="2"/>
      <scheme val="minor"/>
    </font>
    <font>
      <sz val="12"/>
      <color theme="1"/>
      <name val="Calibri"/>
      <family val="2"/>
      <scheme val="minor"/>
    </font>
    <font>
      <sz val="11"/>
      <color rgb="FFCE0058"/>
      <name val="Calibri"/>
      <family val="2"/>
      <scheme val="minor"/>
    </font>
    <font>
      <sz val="11"/>
      <color rgb="FFFA7D00"/>
      <name val="Calibri"/>
      <family val="2"/>
      <scheme val="minor"/>
    </font>
    <font>
      <sz val="22"/>
      <color theme="0"/>
      <name val="Calibri"/>
      <family val="2"/>
      <scheme val="minor"/>
    </font>
    <font>
      <b/>
      <sz val="11"/>
      <color theme="1"/>
      <name val="Calibri"/>
      <family val="2"/>
      <scheme val="minor"/>
    </font>
    <font>
      <sz val="8"/>
      <name val="Calibri"/>
      <family val="2"/>
      <scheme val="minor"/>
    </font>
    <font>
      <b/>
      <sz val="10"/>
      <color theme="1"/>
      <name val="Verdana"/>
      <family val="2"/>
    </font>
    <font>
      <b/>
      <sz val="10"/>
      <color theme="0"/>
      <name val="Verdana"/>
      <family val="2"/>
    </font>
    <font>
      <b/>
      <sz val="11"/>
      <color theme="0"/>
      <name val="Verdana"/>
      <family val="2"/>
    </font>
    <font>
      <i/>
      <sz val="11"/>
      <color theme="1" tint="0.499984740745262"/>
      <name val="Calibri"/>
      <family val="2"/>
      <scheme val="minor"/>
    </font>
    <font>
      <sz val="11"/>
      <color rgb="FF3F3F76"/>
      <name val="Calibri"/>
      <family val="2"/>
      <scheme val="minor"/>
    </font>
    <font>
      <b/>
      <sz val="11"/>
      <color theme="0"/>
      <name val="Calibri"/>
      <family val="2"/>
      <scheme val="minor"/>
    </font>
    <font>
      <u/>
      <sz val="11"/>
      <color theme="10"/>
      <name val="Calibri"/>
      <family val="2"/>
      <scheme val="minor"/>
    </font>
    <font>
      <sz val="18"/>
      <color theme="1" tint="0.499984740745262"/>
      <name val="Calibri"/>
      <family val="2"/>
      <scheme val="minor"/>
    </font>
    <font>
      <sz val="24"/>
      <color theme="4"/>
      <name val="Calibri"/>
      <family val="2"/>
      <scheme val="minor"/>
    </font>
    <font>
      <sz val="40"/>
      <color theme="1"/>
      <name val="Tahoma"/>
      <family val="2"/>
    </font>
    <font>
      <sz val="11"/>
      <color rgb="FF000000"/>
      <name val="Calibri"/>
      <family val="2"/>
    </font>
    <font>
      <sz val="8"/>
      <color theme="1"/>
      <name val="Arial"/>
      <family val="2"/>
    </font>
    <font>
      <sz val="20"/>
      <color theme="0"/>
      <name val="Calibri"/>
      <family val="2"/>
      <scheme val="minor"/>
    </font>
    <font>
      <sz val="8"/>
      <name val="Arial"/>
      <family val="2"/>
    </font>
    <font>
      <u/>
      <sz val="8"/>
      <color theme="10"/>
      <name val="Arial"/>
      <family val="2"/>
    </font>
    <font>
      <i/>
      <sz val="11"/>
      <color rgb="FFFF0000"/>
      <name val="Calibri"/>
      <family val="2"/>
      <scheme val="minor"/>
    </font>
    <font>
      <sz val="11"/>
      <color rgb="FFFF0000"/>
      <name val="Calibri"/>
      <family val="2"/>
      <scheme val="minor"/>
    </font>
    <font>
      <sz val="11"/>
      <color theme="5"/>
      <name val="Calibri"/>
      <family val="2"/>
      <scheme val="minor"/>
    </font>
    <font>
      <u/>
      <sz val="11"/>
      <color theme="0"/>
      <name val="Calibri"/>
      <family val="2"/>
      <scheme val="minor"/>
    </font>
  </fonts>
  <fills count="22">
    <fill>
      <patternFill patternType="none"/>
    </fill>
    <fill>
      <patternFill patternType="gray125"/>
    </fill>
    <fill>
      <patternFill patternType="solid">
        <fgColor rgb="FF236192"/>
        <bgColor indexed="64"/>
      </patternFill>
    </fill>
    <fill>
      <patternFill patternType="solid">
        <fgColor theme="0" tint="-0.14999847407452621"/>
        <bgColor indexed="64"/>
      </patternFill>
    </fill>
    <fill>
      <patternFill patternType="solid">
        <fgColor rgb="FF236192"/>
        <bgColor rgb="FF00A1DE"/>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tint="0.499984740745262"/>
        <bgColor indexed="64"/>
      </patternFill>
    </fill>
    <fill>
      <patternFill patternType="solid">
        <fgColor rgb="FF4986A0"/>
        <bgColor indexed="64"/>
      </patternFill>
    </fill>
    <fill>
      <patternFill patternType="solid">
        <fgColor rgb="FFAFCDDB"/>
        <bgColor indexed="64"/>
      </patternFill>
    </fill>
    <fill>
      <patternFill patternType="solid">
        <fgColor rgb="FFFFFF00"/>
        <bgColor indexed="64"/>
      </patternFill>
    </fill>
    <fill>
      <patternFill patternType="solid">
        <fgColor theme="0" tint="-0.34998626667073579"/>
        <bgColor indexed="64"/>
      </patternFill>
    </fill>
    <fill>
      <patternFill patternType="solid">
        <fgColor rgb="FFCE0058"/>
        <bgColor indexed="64"/>
      </patternFill>
    </fill>
    <fill>
      <patternFill patternType="solid">
        <fgColor rgb="FFD3DFE9"/>
        <bgColor indexed="64"/>
      </patternFill>
    </fill>
    <fill>
      <patternFill patternType="solid">
        <fgColor rgb="FF67A0B9"/>
        <bgColor indexed="64"/>
      </patternFill>
    </fill>
    <fill>
      <patternFill patternType="solid">
        <fgColor theme="5" tint="0.79998168889431442"/>
        <bgColor indexed="64"/>
      </patternFill>
    </fill>
    <fill>
      <patternFill patternType="solid">
        <fgColor rgb="FFFFCC99"/>
      </patternFill>
    </fill>
    <fill>
      <patternFill patternType="solid">
        <fgColor rgb="FFA5A5A5"/>
      </patternFill>
    </fill>
    <fill>
      <patternFill patternType="solid">
        <fgColor rgb="FF99FFCC"/>
        <bgColor indexed="64"/>
      </patternFill>
    </fill>
    <fill>
      <patternFill patternType="solid">
        <fgColor theme="8" tint="0.59999389629810485"/>
        <bgColor indexed="64"/>
      </patternFill>
    </fill>
    <fill>
      <patternFill patternType="solid">
        <fgColor theme="1" tint="0.34998626667073579"/>
        <bgColor indexed="64"/>
      </patternFill>
    </fill>
    <fill>
      <patternFill patternType="solid">
        <fgColor rgb="FFED8B00"/>
        <bgColor indexed="64"/>
      </patternFill>
    </fill>
  </fills>
  <borders count="32">
    <border>
      <left/>
      <right/>
      <top/>
      <bottom/>
      <diagonal/>
    </border>
    <border>
      <left/>
      <right/>
      <top/>
      <bottom style="thin">
        <color theme="0"/>
      </bottom>
      <diagonal/>
    </border>
    <border>
      <left/>
      <right/>
      <top/>
      <bottom style="medium">
        <color rgb="FFCE0058"/>
      </bottom>
      <diagonal/>
    </border>
    <border>
      <left style="hair">
        <color rgb="FF7F7F7F"/>
      </left>
      <right style="hair">
        <color rgb="FF7F7F7F"/>
      </right>
      <top style="hair">
        <color rgb="FF7F7F7F"/>
      </top>
      <bottom style="hair">
        <color rgb="FF7F7F7F"/>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rgb="FFCE0058"/>
      </bottom>
      <diagonal/>
    </border>
    <border>
      <left style="thin">
        <color theme="0"/>
      </left>
      <right style="thin">
        <color theme="0"/>
      </right>
      <top style="thin">
        <color theme="0"/>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rgb="FFFF8001"/>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top style="thin">
        <color rgb="FF4986A0"/>
      </top>
      <bottom style="double">
        <color rgb="FF4986A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rgb="FFFFFFFF"/>
      </top>
      <bottom style="thin">
        <color theme="0"/>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left>
      <right/>
      <top style="thin">
        <color theme="0"/>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0"/>
      </left>
      <right/>
      <top/>
      <bottom/>
      <diagonal/>
    </border>
    <border>
      <left style="medium">
        <color indexed="18"/>
      </left>
      <right style="medium">
        <color indexed="18"/>
      </right>
      <top style="medium">
        <color indexed="18"/>
      </top>
      <bottom style="medium">
        <color indexed="18"/>
      </bottom>
      <diagonal/>
    </border>
    <border>
      <left style="thin">
        <color theme="0" tint="-0.24994659260841701"/>
      </left>
      <right style="thin">
        <color theme="0" tint="-0.24994659260841701"/>
      </right>
      <top style="thin">
        <color theme="0" tint="-0.24994659260841701"/>
      </top>
      <bottom style="thin">
        <color rgb="FFBFBFBF"/>
      </bottom>
      <diagonal/>
    </border>
  </borders>
  <cellStyleXfs count="54">
    <xf numFmtId="0" fontId="0"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14" fillId="2" borderId="0" applyProtection="0">
      <alignment horizontal="left" vertical="center"/>
    </xf>
    <xf numFmtId="0" fontId="5" fillId="0" borderId="0" applyFill="0" applyProtection="0">
      <alignment horizontal="left" vertical="center"/>
    </xf>
    <xf numFmtId="0" fontId="7" fillId="9" borderId="7" applyNumberFormat="0">
      <alignment horizontal="center" vertical="center"/>
      <protection locked="0"/>
    </xf>
    <xf numFmtId="0" fontId="8" fillId="0" borderId="3" applyNumberFormat="0" applyProtection="0">
      <alignment horizontal="center" vertical="center"/>
    </xf>
    <xf numFmtId="0" fontId="9" fillId="2" borderId="0" applyProtection="0">
      <alignment horizontal="left" vertical="center"/>
    </xf>
    <xf numFmtId="0" fontId="6" fillId="2" borderId="0">
      <alignment horizontal="left" vertical="center"/>
    </xf>
    <xf numFmtId="0" fontId="10" fillId="2" borderId="1" applyProtection="0">
      <alignment horizontal="left" vertical="center"/>
    </xf>
    <xf numFmtId="0" fontId="11" fillId="0" borderId="0">
      <alignment horizontal="center" vertical="center"/>
    </xf>
    <xf numFmtId="0" fontId="12" fillId="4" borderId="4" applyBorder="0">
      <alignment horizontal="left" vertical="center"/>
    </xf>
    <xf numFmtId="0" fontId="13" fillId="0" borderId="0">
      <alignment horizontal="center" vertical="top"/>
    </xf>
    <xf numFmtId="0" fontId="16" fillId="6" borderId="7">
      <alignment horizontal="center" vertical="center"/>
    </xf>
    <xf numFmtId="0" fontId="15" fillId="5" borderId="7">
      <alignment vertical="top"/>
    </xf>
    <xf numFmtId="0" fontId="21" fillId="5" borderId="7">
      <alignment vertical="top"/>
    </xf>
    <xf numFmtId="0" fontId="2" fillId="0" borderId="2" applyFill="0" applyProtection="0">
      <alignment horizontal="left" vertical="center"/>
    </xf>
    <xf numFmtId="167" fontId="26" fillId="5" borderId="7" applyAlignment="0" applyProtection="0"/>
    <xf numFmtId="0" fontId="18" fillId="10" borderId="5" applyNumberFormat="0" applyFont="0" applyAlignment="0" applyProtection="0"/>
    <xf numFmtId="0" fontId="19" fillId="0" borderId="0" applyNumberFormat="0" applyFill="0" applyBorder="0" applyProtection="0">
      <alignment vertical="top"/>
    </xf>
    <xf numFmtId="172" fontId="20" fillId="5" borderId="7" applyProtection="0">
      <alignment horizontal="center" vertical="top"/>
    </xf>
    <xf numFmtId="0" fontId="2" fillId="0" borderId="6" applyFill="0" applyProtection="0">
      <alignment horizontal="left" vertical="center"/>
    </xf>
    <xf numFmtId="0" fontId="23" fillId="8" borderId="7">
      <alignment horizontal="center" vertical="top"/>
    </xf>
    <xf numFmtId="0" fontId="18" fillId="0" borderId="8">
      <alignment vertical="top"/>
    </xf>
    <xf numFmtId="0" fontId="22" fillId="0" borderId="0">
      <alignment vertical="top"/>
    </xf>
    <xf numFmtId="0" fontId="14" fillId="2" borderId="0" applyNumberFormat="0" applyProtection="0">
      <alignment horizontal="left" vertical="center"/>
    </xf>
    <xf numFmtId="0" fontId="10" fillId="2" borderId="1" applyNumberFormat="0" applyProtection="0">
      <alignment horizontal="left" vertical="center"/>
    </xf>
    <xf numFmtId="0" fontId="2" fillId="0" borderId="2" applyNumberFormat="0" applyFill="0" applyProtection="0">
      <alignment horizontal="left" vertical="center"/>
    </xf>
    <xf numFmtId="0" fontId="3" fillId="0" borderId="0" applyNumberFormat="0" applyFill="0" applyProtection="0">
      <alignment horizontal="left" vertical="center"/>
    </xf>
    <xf numFmtId="0" fontId="4" fillId="0" borderId="0" applyFill="0" applyProtection="0">
      <alignment horizontal="left" vertical="center"/>
    </xf>
    <xf numFmtId="0" fontId="5" fillId="0" borderId="0" applyFill="0" applyProtection="0">
      <alignment horizontal="left" vertical="center"/>
    </xf>
    <xf numFmtId="0" fontId="7" fillId="0" borderId="8" applyAlignment="0" applyProtection="0">
      <alignment horizontal="left" vertical="center"/>
    </xf>
    <xf numFmtId="0" fontId="1" fillId="2" borderId="0">
      <alignment horizontal="center" vertical="center"/>
    </xf>
    <xf numFmtId="0" fontId="6" fillId="7" borderId="7">
      <alignment horizontal="center" vertical="center"/>
    </xf>
    <xf numFmtId="0" fontId="27" fillId="0" borderId="9" applyNumberFormat="0" applyFill="0" applyAlignment="0" applyProtection="0"/>
    <xf numFmtId="171" fontId="33" fillId="2" borderId="0">
      <alignment horizontal="left" vertical="center"/>
    </xf>
    <xf numFmtId="9" fontId="18" fillId="0" borderId="0" applyFont="0" applyFill="0" applyBorder="0" applyAlignment="0" applyProtection="0"/>
    <xf numFmtId="0" fontId="8" fillId="0" borderId="0">
      <alignment horizontal="left" vertical="center"/>
    </xf>
    <xf numFmtId="0" fontId="29" fillId="0" borderId="17" applyNumberFormat="0" applyFill="0" applyAlignment="0" applyProtection="0"/>
    <xf numFmtId="0" fontId="34" fillId="0" borderId="18">
      <alignment horizontal="left" vertical="center"/>
    </xf>
    <xf numFmtId="0" fontId="7" fillId="0" borderId="24" applyAlignment="0" applyProtection="0">
      <alignment horizontal="left" vertical="center"/>
    </xf>
    <xf numFmtId="0" fontId="18" fillId="0" borderId="0"/>
    <xf numFmtId="0" fontId="35" fillId="16" borderId="27" applyNumberFormat="0" applyAlignment="0" applyProtection="0"/>
    <xf numFmtId="0" fontId="36" fillId="17" borderId="28" applyNumberFormat="0" applyAlignment="0" applyProtection="0"/>
    <xf numFmtId="0" fontId="37" fillId="0" borderId="0" applyNumberForma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42" fillId="0" borderId="0"/>
    <xf numFmtId="186" fontId="44" fillId="0" borderId="30">
      <alignment horizontal="right" vertical="center"/>
      <protection locked="0"/>
    </xf>
    <xf numFmtId="0" fontId="45" fillId="0" borderId="0" applyNumberFormat="0" applyFill="0" applyBorder="0" applyAlignment="0" applyProtection="0"/>
  </cellStyleXfs>
  <cellXfs count="255">
    <xf numFmtId="0" fontId="0" fillId="0" borderId="0" xfId="0">
      <alignment vertical="top"/>
    </xf>
    <xf numFmtId="0" fontId="5" fillId="0" borderId="0" xfId="6">
      <alignment horizontal="left" vertical="center"/>
    </xf>
    <xf numFmtId="0" fontId="9" fillId="2" borderId="0" xfId="9">
      <alignment horizontal="left" vertical="center"/>
    </xf>
    <xf numFmtId="0" fontId="0" fillId="3" borderId="0" xfId="0" applyFill="1">
      <alignment vertical="top"/>
    </xf>
    <xf numFmtId="0" fontId="0" fillId="3" borderId="0" xfId="0" applyFill="1" applyAlignment="1">
      <alignment wrapText="1"/>
    </xf>
    <xf numFmtId="0" fontId="0" fillId="0" borderId="0" xfId="0" applyAlignment="1">
      <alignment horizontal="center"/>
    </xf>
    <xf numFmtId="0" fontId="11" fillId="0" borderId="0" xfId="12">
      <alignment horizontal="center" vertical="center"/>
    </xf>
    <xf numFmtId="0" fontId="0" fillId="0" borderId="0" xfId="0" applyAlignment="1">
      <alignment vertical="top" wrapText="1"/>
    </xf>
    <xf numFmtId="0" fontId="6" fillId="2" borderId="0" xfId="10" applyAlignment="1">
      <alignment horizontal="left" vertical="top" wrapText="1"/>
    </xf>
    <xf numFmtId="0" fontId="0" fillId="3" borderId="0" xfId="0" applyFill="1" applyAlignment="1">
      <alignment vertical="top" wrapText="1"/>
    </xf>
    <xf numFmtId="0" fontId="16" fillId="6" borderId="7" xfId="15">
      <alignment horizontal="center" vertical="center"/>
    </xf>
    <xf numFmtId="0" fontId="0" fillId="3" borderId="0" xfId="0" applyFill="1" applyAlignment="1">
      <alignment horizontal="center" vertical="top"/>
    </xf>
    <xf numFmtId="0" fontId="0" fillId="2" borderId="0" xfId="0" applyFill="1" applyAlignment="1">
      <alignment horizontal="center"/>
    </xf>
    <xf numFmtId="0" fontId="0" fillId="2" borderId="0" xfId="0" applyFill="1">
      <alignment vertical="top"/>
    </xf>
    <xf numFmtId="0" fontId="18" fillId="0" borderId="8" xfId="25">
      <alignment vertical="top"/>
    </xf>
    <xf numFmtId="172" fontId="20" fillId="5" borderId="7" xfId="22">
      <alignment horizontal="center" vertical="top"/>
    </xf>
    <xf numFmtId="0" fontId="14" fillId="2" borderId="0" xfId="5">
      <alignment horizontal="left" vertical="center"/>
    </xf>
    <xf numFmtId="0" fontId="10" fillId="2" borderId="1" xfId="11">
      <alignment horizontal="left" vertical="center"/>
    </xf>
    <xf numFmtId="0" fontId="10" fillId="2" borderId="1" xfId="11" applyAlignment="1">
      <alignment horizontal="center" vertical="center"/>
    </xf>
    <xf numFmtId="0" fontId="2" fillId="0" borderId="2" xfId="18">
      <alignment horizontal="left" vertical="center"/>
    </xf>
    <xf numFmtId="0" fontId="22" fillId="0" borderId="0" xfId="26">
      <alignment vertical="top"/>
    </xf>
    <xf numFmtId="0" fontId="14" fillId="2" borderId="0" xfId="5" applyAlignment="1">
      <alignment horizontal="center" vertical="center"/>
    </xf>
    <xf numFmtId="0" fontId="9" fillId="2" borderId="0" xfId="9" applyAlignment="1">
      <alignment horizontal="center" vertical="center"/>
    </xf>
    <xf numFmtId="0" fontId="6" fillId="2" borderId="0" xfId="10" applyAlignment="1">
      <alignment horizontal="center" vertical="top"/>
    </xf>
    <xf numFmtId="0" fontId="2" fillId="0" borderId="2" xfId="18" applyFill="1">
      <alignment horizontal="left" vertical="center"/>
    </xf>
    <xf numFmtId="0" fontId="18" fillId="0" borderId="8" xfId="25" applyAlignment="1">
      <alignment vertical="top" wrapText="1"/>
    </xf>
    <xf numFmtId="0" fontId="28" fillId="2" borderId="0" xfId="5" applyFont="1" applyAlignment="1">
      <alignment horizontal="center" vertical="center"/>
    </xf>
    <xf numFmtId="0" fontId="22" fillId="0" borderId="0" xfId="26" applyAlignment="1">
      <alignment horizontal="right" vertical="center"/>
    </xf>
    <xf numFmtId="0" fontId="6" fillId="7" borderId="7" xfId="35">
      <alignment horizontal="center" vertical="center"/>
    </xf>
    <xf numFmtId="0" fontId="23" fillId="8" borderId="7" xfId="24">
      <alignment horizontal="center" vertical="top"/>
    </xf>
    <xf numFmtId="0" fontId="23" fillId="8" borderId="10" xfId="24" applyBorder="1">
      <alignment horizontal="center" vertical="top"/>
    </xf>
    <xf numFmtId="0" fontId="18" fillId="0" borderId="11" xfId="25" applyBorder="1">
      <alignment vertical="top"/>
    </xf>
    <xf numFmtId="0" fontId="23" fillId="8" borderId="7" xfId="24" applyAlignment="1">
      <alignment horizontal="right" vertical="top"/>
    </xf>
    <xf numFmtId="0" fontId="16" fillId="6" borderId="15" xfId="15" applyBorder="1" applyAlignment="1">
      <alignment horizontal="left" vertical="center"/>
    </xf>
    <xf numFmtId="0" fontId="23" fillId="8" borderId="1" xfId="24" applyBorder="1">
      <alignment horizontal="center" vertical="top"/>
    </xf>
    <xf numFmtId="0" fontId="16" fillId="6" borderId="12" xfId="15" applyBorder="1" applyAlignment="1">
      <alignment horizontal="left" vertical="center"/>
    </xf>
    <xf numFmtId="0" fontId="23" fillId="8" borderId="7" xfId="24" applyAlignment="1">
      <alignment horizontal="left" vertical="top"/>
    </xf>
    <xf numFmtId="0" fontId="29" fillId="0" borderId="8" xfId="25" applyFont="1">
      <alignment vertical="top"/>
    </xf>
    <xf numFmtId="0" fontId="0" fillId="0" borderId="8" xfId="0" applyBorder="1">
      <alignment vertical="top"/>
    </xf>
    <xf numFmtId="0" fontId="0" fillId="0" borderId="8" xfId="25" applyFont="1">
      <alignment vertical="top"/>
    </xf>
    <xf numFmtId="0" fontId="23" fillId="8" borderId="10" xfId="24" applyBorder="1" applyAlignment="1">
      <alignment horizontal="right" vertical="top"/>
    </xf>
    <xf numFmtId="169" fontId="7" fillId="0" borderId="8" xfId="33" applyNumberFormat="1" applyAlignment="1">
      <alignment vertical="top"/>
    </xf>
    <xf numFmtId="169" fontId="15" fillId="5" borderId="7" xfId="16" applyNumberFormat="1">
      <alignment vertical="top"/>
    </xf>
    <xf numFmtId="168" fontId="18" fillId="0" borderId="8" xfId="25" applyNumberFormat="1">
      <alignment vertical="top"/>
    </xf>
    <xf numFmtId="2" fontId="18" fillId="0" borderId="8" xfId="25" applyNumberFormat="1">
      <alignment vertical="top"/>
    </xf>
    <xf numFmtId="2" fontId="0" fillId="0" borderId="8" xfId="25" applyNumberFormat="1" applyFont="1">
      <alignment vertical="top"/>
    </xf>
    <xf numFmtId="168" fontId="0" fillId="0" borderId="8" xfId="25" applyNumberFormat="1" applyFont="1">
      <alignment vertical="top"/>
    </xf>
    <xf numFmtId="0" fontId="29" fillId="0" borderId="8" xfId="0" applyFont="1" applyBorder="1">
      <alignment vertical="top"/>
    </xf>
    <xf numFmtId="0" fontId="0" fillId="0" borderId="11" xfId="0" applyBorder="1">
      <alignment vertical="top"/>
    </xf>
    <xf numFmtId="169" fontId="7" fillId="0" borderId="11" xfId="33" applyNumberFormat="1" applyBorder="1" applyAlignment="1">
      <alignment vertical="top"/>
    </xf>
    <xf numFmtId="165" fontId="7" fillId="0" borderId="8" xfId="33" applyNumberFormat="1" applyAlignment="1">
      <alignment vertical="top" wrapText="1"/>
    </xf>
    <xf numFmtId="169" fontId="17" fillId="0" borderId="8" xfId="33" applyNumberFormat="1" applyFont="1" applyAlignment="1">
      <alignment vertical="top" wrapText="1"/>
    </xf>
    <xf numFmtId="0" fontId="15" fillId="5" borderId="7" xfId="16">
      <alignment vertical="top"/>
    </xf>
    <xf numFmtId="169" fontId="7" fillId="0" borderId="8" xfId="33" applyNumberFormat="1" applyAlignment="1">
      <alignment vertical="top" wrapText="1"/>
    </xf>
    <xf numFmtId="169" fontId="0" fillId="0" borderId="0" xfId="0" applyNumberFormat="1">
      <alignment vertical="top"/>
    </xf>
    <xf numFmtId="170" fontId="0" fillId="0" borderId="0" xfId="0" applyNumberFormat="1">
      <alignment vertical="top"/>
    </xf>
    <xf numFmtId="170" fontId="7" fillId="0" borderId="8" xfId="33" applyNumberFormat="1" applyAlignment="1">
      <alignment vertical="top" wrapText="1"/>
    </xf>
    <xf numFmtId="0" fontId="4" fillId="0" borderId="0" xfId="31">
      <alignment horizontal="left" vertical="center"/>
    </xf>
    <xf numFmtId="0" fontId="6" fillId="7" borderId="7" xfId="35" applyAlignment="1">
      <alignment horizontal="left" vertical="center"/>
    </xf>
    <xf numFmtId="0" fontId="23" fillId="8" borderId="14" xfId="24" applyBorder="1" applyAlignment="1">
      <alignment horizontal="right" vertical="top"/>
    </xf>
    <xf numFmtId="168" fontId="7" fillId="0" borderId="8" xfId="33" applyNumberFormat="1" applyAlignment="1">
      <alignment vertical="top"/>
    </xf>
    <xf numFmtId="165" fontId="0" fillId="0" borderId="0" xfId="0" applyNumberFormat="1">
      <alignment vertical="top"/>
    </xf>
    <xf numFmtId="0" fontId="31" fillId="13" borderId="4" xfId="0" applyFont="1" applyFill="1" applyBorder="1" applyAlignment="1">
      <alignment horizontal="center" vertical="center"/>
    </xf>
    <xf numFmtId="0" fontId="32" fillId="11" borderId="4" xfId="0" applyFont="1" applyFill="1" applyBorder="1" applyAlignment="1">
      <alignment horizontal="center" vertical="center"/>
    </xf>
    <xf numFmtId="0" fontId="32" fillId="2" borderId="4" xfId="0" applyFont="1" applyFill="1" applyBorder="1" applyAlignment="1">
      <alignment horizontal="center" vertical="center"/>
    </xf>
    <xf numFmtId="0" fontId="32" fillId="12" borderId="4" xfId="0" applyFont="1" applyFill="1" applyBorder="1" applyAlignment="1">
      <alignment horizontal="center" vertical="center"/>
    </xf>
    <xf numFmtId="0" fontId="32" fillId="14" borderId="4" xfId="0" applyFont="1" applyFill="1" applyBorder="1" applyAlignment="1">
      <alignment horizontal="center" vertical="center"/>
    </xf>
    <xf numFmtId="172" fontId="20" fillId="5" borderId="7" xfId="22" applyAlignment="1">
      <alignment horizontal="right" vertical="top"/>
    </xf>
    <xf numFmtId="169" fontId="15" fillId="5" borderId="13" xfId="16" applyNumberFormat="1" applyBorder="1">
      <alignment vertical="top"/>
    </xf>
    <xf numFmtId="172" fontId="20" fillId="5" borderId="7" xfId="22" applyAlignment="1">
      <alignment horizontal="center" vertical="center"/>
    </xf>
    <xf numFmtId="0" fontId="23" fillId="2" borderId="0" xfId="9" applyFont="1" applyAlignment="1">
      <alignment horizontal="center"/>
    </xf>
    <xf numFmtId="10" fontId="15" fillId="5" borderId="7" xfId="16" applyNumberFormat="1">
      <alignment vertical="top"/>
    </xf>
    <xf numFmtId="168" fontId="15" fillId="5" borderId="7" xfId="16" applyNumberFormat="1">
      <alignment vertical="top"/>
    </xf>
    <xf numFmtId="164" fontId="18" fillId="0" borderId="8" xfId="25" applyNumberFormat="1" applyAlignment="1">
      <alignment vertical="top" wrapText="1"/>
    </xf>
    <xf numFmtId="164" fontId="18" fillId="0" borderId="8" xfId="25" applyNumberFormat="1">
      <alignment vertical="top"/>
    </xf>
    <xf numFmtId="0" fontId="18" fillId="0" borderId="8" xfId="25" applyAlignment="1">
      <alignment horizontal="center" vertical="top"/>
    </xf>
    <xf numFmtId="164" fontId="15" fillId="5" borderId="7" xfId="16" applyNumberFormat="1">
      <alignment vertical="top"/>
    </xf>
    <xf numFmtId="0" fontId="22" fillId="0" borderId="0" xfId="26" applyAlignment="1">
      <alignment horizontal="right" vertical="top"/>
    </xf>
    <xf numFmtId="173" fontId="0" fillId="0" borderId="0" xfId="0" applyNumberFormat="1">
      <alignment vertical="top"/>
    </xf>
    <xf numFmtId="167" fontId="26" fillId="5" borderId="7" xfId="19" applyAlignment="1">
      <alignment vertical="top" wrapText="1"/>
    </xf>
    <xf numFmtId="10" fontId="0" fillId="0" borderId="0" xfId="0" applyNumberFormat="1">
      <alignment vertical="top"/>
    </xf>
    <xf numFmtId="9" fontId="0" fillId="0" borderId="0" xfId="0" applyNumberFormat="1">
      <alignment vertical="top"/>
    </xf>
    <xf numFmtId="165" fontId="18" fillId="0" borderId="8" xfId="25" applyNumberFormat="1" applyAlignment="1">
      <alignment vertical="top" wrapText="1"/>
    </xf>
    <xf numFmtId="164" fontId="0" fillId="0" borderId="0" xfId="0" applyNumberFormat="1">
      <alignment vertical="top"/>
    </xf>
    <xf numFmtId="174" fontId="0" fillId="0" borderId="0" xfId="0" applyNumberFormat="1">
      <alignment vertical="top"/>
    </xf>
    <xf numFmtId="0" fontId="23" fillId="2" borderId="0" xfId="9" applyFont="1" applyAlignment="1">
      <alignment horizontal="left"/>
    </xf>
    <xf numFmtId="173" fontId="18" fillId="0" borderId="8" xfId="25" applyNumberFormat="1">
      <alignment vertical="top"/>
    </xf>
    <xf numFmtId="173" fontId="0" fillId="0" borderId="8" xfId="25" applyNumberFormat="1" applyFont="1">
      <alignment vertical="top"/>
    </xf>
    <xf numFmtId="164" fontId="0" fillId="0" borderId="8" xfId="25" applyNumberFormat="1" applyFont="1" applyAlignment="1">
      <alignment vertical="top" wrapText="1"/>
    </xf>
    <xf numFmtId="0" fontId="23" fillId="8" borderId="7" xfId="24" applyAlignment="1">
      <alignment vertical="top"/>
    </xf>
    <xf numFmtId="0" fontId="23" fillId="8" borderId="10" xfId="24" applyBorder="1" applyAlignment="1">
      <alignment vertical="top"/>
    </xf>
    <xf numFmtId="165" fontId="7" fillId="0" borderId="8" xfId="33" applyNumberFormat="1" applyAlignment="1">
      <alignment vertical="top"/>
    </xf>
    <xf numFmtId="2" fontId="0" fillId="0" borderId="0" xfId="0" applyNumberFormat="1">
      <alignment vertical="top"/>
    </xf>
    <xf numFmtId="0" fontId="18" fillId="0" borderId="0" xfId="25" applyBorder="1">
      <alignment vertical="top"/>
    </xf>
    <xf numFmtId="0" fontId="0" fillId="0" borderId="0" xfId="25" applyFont="1" applyBorder="1">
      <alignment vertical="top"/>
    </xf>
    <xf numFmtId="0" fontId="0" fillId="0" borderId="8" xfId="25" applyFont="1" applyAlignment="1">
      <alignment horizontal="left" vertical="top" indent="1"/>
    </xf>
    <xf numFmtId="2" fontId="29" fillId="0" borderId="8" xfId="25" applyNumberFormat="1" applyFont="1">
      <alignment vertical="top"/>
    </xf>
    <xf numFmtId="0" fontId="5" fillId="0" borderId="0" xfId="32">
      <alignment horizontal="left" vertical="center"/>
    </xf>
    <xf numFmtId="165" fontId="15" fillId="5" borderId="7" xfId="16" applyNumberFormat="1">
      <alignment vertical="top"/>
    </xf>
    <xf numFmtId="169" fontId="0" fillId="0" borderId="8" xfId="25" applyNumberFormat="1" applyFont="1">
      <alignment vertical="top"/>
    </xf>
    <xf numFmtId="168" fontId="18" fillId="0" borderId="8" xfId="25" applyNumberFormat="1" applyAlignment="1">
      <alignment horizontal="right" vertical="top"/>
    </xf>
    <xf numFmtId="10" fontId="18" fillId="0" borderId="8" xfId="25" applyNumberFormat="1" applyAlignment="1">
      <alignment horizontal="right" vertical="top"/>
    </xf>
    <xf numFmtId="9" fontId="7" fillId="0" borderId="8" xfId="33" applyNumberFormat="1" applyAlignment="1">
      <alignment vertical="top"/>
    </xf>
    <xf numFmtId="0" fontId="23" fillId="8" borderId="19" xfId="24" applyBorder="1" applyAlignment="1">
      <alignment vertical="top"/>
    </xf>
    <xf numFmtId="0" fontId="23" fillId="8" borderId="19" xfId="24" applyBorder="1">
      <alignment horizontal="center" vertical="top"/>
    </xf>
    <xf numFmtId="177" fontId="15" fillId="5" borderId="7" xfId="16" applyNumberFormat="1">
      <alignment vertical="top"/>
    </xf>
    <xf numFmtId="178" fontId="15" fillId="5" borderId="7" xfId="16" applyNumberFormat="1">
      <alignment vertical="top"/>
    </xf>
    <xf numFmtId="177" fontId="0" fillId="0" borderId="8" xfId="25" applyNumberFormat="1" applyFont="1">
      <alignment vertical="top"/>
    </xf>
    <xf numFmtId="179" fontId="0" fillId="0" borderId="8" xfId="25" applyNumberFormat="1" applyFont="1">
      <alignment vertical="top"/>
    </xf>
    <xf numFmtId="165" fontId="17" fillId="0" borderId="8" xfId="33" applyNumberFormat="1" applyFont="1" applyAlignment="1">
      <alignment vertical="top"/>
    </xf>
    <xf numFmtId="165" fontId="29" fillId="0" borderId="8" xfId="25" applyNumberFormat="1" applyFont="1">
      <alignment vertical="top"/>
    </xf>
    <xf numFmtId="165" fontId="0" fillId="0" borderId="8" xfId="25" applyNumberFormat="1" applyFont="1">
      <alignment vertical="top"/>
    </xf>
    <xf numFmtId="169" fontId="18" fillId="0" borderId="8" xfId="25" applyNumberFormat="1">
      <alignment vertical="top"/>
    </xf>
    <xf numFmtId="167" fontId="26" fillId="5" borderId="7" xfId="19" applyAlignment="1">
      <alignment vertical="top"/>
    </xf>
    <xf numFmtId="3" fontId="0" fillId="0" borderId="8" xfId="25" applyNumberFormat="1" applyFont="1">
      <alignment vertical="top"/>
    </xf>
    <xf numFmtId="1" fontId="0" fillId="0" borderId="8" xfId="25" applyNumberFormat="1" applyFont="1">
      <alignment vertical="top"/>
    </xf>
    <xf numFmtId="0" fontId="0" fillId="0" borderId="11" xfId="25" applyFont="1" applyBorder="1">
      <alignment vertical="top"/>
    </xf>
    <xf numFmtId="0" fontId="6" fillId="7" borderId="23" xfId="35" applyBorder="1" applyAlignment="1">
      <alignment horizontal="left" vertical="center"/>
    </xf>
    <xf numFmtId="3" fontId="0" fillId="0" borderId="11" xfId="25" applyNumberFormat="1" applyFont="1" applyBorder="1">
      <alignment vertical="top"/>
    </xf>
    <xf numFmtId="15" fontId="15" fillId="5" borderId="7" xfId="16" applyNumberFormat="1">
      <alignment vertical="top"/>
    </xf>
    <xf numFmtId="3" fontId="0" fillId="0" borderId="0" xfId="25" applyNumberFormat="1" applyFont="1" applyBorder="1">
      <alignment vertical="top"/>
    </xf>
    <xf numFmtId="0" fontId="23" fillId="8" borderId="10" xfId="24" applyBorder="1" applyAlignment="1">
      <alignment horizontal="left" vertical="top"/>
    </xf>
    <xf numFmtId="169" fontId="15" fillId="5" borderId="7" xfId="16" applyNumberFormat="1" applyAlignment="1">
      <alignment vertical="top" wrapText="1"/>
    </xf>
    <xf numFmtId="172" fontId="20" fillId="5" borderId="7" xfId="22" applyAlignment="1">
      <alignment horizontal="right" vertical="top" wrapText="1"/>
    </xf>
    <xf numFmtId="0" fontId="6" fillId="7" borderId="7" xfId="35" applyAlignment="1">
      <alignment horizontal="center" vertical="top" wrapText="1"/>
    </xf>
    <xf numFmtId="168" fontId="7" fillId="0" borderId="11" xfId="33" applyNumberFormat="1" applyBorder="1" applyAlignment="1">
      <alignment vertical="top"/>
    </xf>
    <xf numFmtId="165" fontId="18" fillId="0" borderId="8" xfId="25" applyNumberFormat="1">
      <alignment vertical="top"/>
    </xf>
    <xf numFmtId="174" fontId="0" fillId="0" borderId="0" xfId="38" applyNumberFormat="1" applyFont="1" applyAlignment="1">
      <alignment vertical="top"/>
    </xf>
    <xf numFmtId="9" fontId="0" fillId="0" borderId="0" xfId="38" applyFont="1" applyAlignment="1">
      <alignment vertical="top"/>
    </xf>
    <xf numFmtId="0" fontId="7" fillId="0" borderId="8" xfId="33" applyAlignment="1">
      <alignment vertical="top"/>
    </xf>
    <xf numFmtId="164" fontId="18" fillId="0" borderId="11" xfId="25" applyNumberFormat="1" applyBorder="1">
      <alignment vertical="top"/>
    </xf>
    <xf numFmtId="168" fontId="0" fillId="0" borderId="0" xfId="0" applyNumberFormat="1">
      <alignment vertical="top"/>
    </xf>
    <xf numFmtId="176" fontId="0" fillId="0" borderId="0" xfId="0" applyNumberFormat="1">
      <alignment vertical="top"/>
    </xf>
    <xf numFmtId="180" fontId="0" fillId="0" borderId="0" xfId="0" applyNumberFormat="1">
      <alignment vertical="top"/>
    </xf>
    <xf numFmtId="3" fontId="7" fillId="0" borderId="8" xfId="33" applyNumberFormat="1" applyAlignment="1">
      <alignment vertical="top"/>
    </xf>
    <xf numFmtId="4" fontId="0" fillId="0" borderId="8" xfId="25" applyNumberFormat="1" applyFont="1">
      <alignment vertical="top"/>
    </xf>
    <xf numFmtId="165" fontId="17" fillId="0" borderId="8" xfId="33" applyNumberFormat="1" applyFont="1" applyAlignment="1">
      <alignment horizontal="right" vertical="top"/>
    </xf>
    <xf numFmtId="181" fontId="0" fillId="0" borderId="0" xfId="0" applyNumberFormat="1">
      <alignment vertical="top"/>
    </xf>
    <xf numFmtId="182" fontId="0" fillId="0" borderId="0" xfId="0" applyNumberFormat="1">
      <alignment vertical="top"/>
    </xf>
    <xf numFmtId="184" fontId="7" fillId="0" borderId="8" xfId="33" applyNumberFormat="1" applyAlignment="1">
      <alignment vertical="top" wrapText="1"/>
    </xf>
    <xf numFmtId="0" fontId="0" fillId="15" borderId="0" xfId="0" applyFill="1">
      <alignment vertical="top"/>
    </xf>
    <xf numFmtId="0" fontId="6" fillId="2" borderId="0" xfId="39" quotePrefix="1" applyFont="1" applyFill="1" applyAlignment="1">
      <alignment horizontal="left" vertical="top"/>
    </xf>
    <xf numFmtId="174" fontId="18" fillId="0" borderId="8" xfId="25" applyNumberFormat="1">
      <alignment vertical="top"/>
    </xf>
    <xf numFmtId="174" fontId="0" fillId="0" borderId="8" xfId="25" applyNumberFormat="1" applyFont="1">
      <alignment vertical="top"/>
    </xf>
    <xf numFmtId="0" fontId="0" fillId="10" borderId="0" xfId="0" applyFill="1">
      <alignment vertical="top"/>
    </xf>
    <xf numFmtId="10" fontId="18" fillId="0" borderId="8" xfId="25" applyNumberFormat="1" applyAlignment="1">
      <alignment horizontal="left" vertical="top"/>
    </xf>
    <xf numFmtId="3" fontId="15" fillId="5" borderId="7" xfId="16" applyNumberFormat="1">
      <alignment vertical="top"/>
    </xf>
    <xf numFmtId="0" fontId="7" fillId="0" borderId="8" xfId="33" applyAlignment="1">
      <alignment horizontal="left" vertical="center"/>
    </xf>
    <xf numFmtId="0" fontId="38" fillId="0" borderId="0" xfId="0" applyFont="1">
      <alignment vertical="top"/>
    </xf>
    <xf numFmtId="0" fontId="39" fillId="0" borderId="0" xfId="0" applyFont="1">
      <alignment vertical="top"/>
    </xf>
    <xf numFmtId="0" fontId="40" fillId="0" borderId="0" xfId="0" applyFont="1" applyAlignment="1">
      <alignment vertical="top" wrapText="1"/>
    </xf>
    <xf numFmtId="168" fontId="0" fillId="18" borderId="8" xfId="25" applyNumberFormat="1" applyFont="1" applyFill="1">
      <alignment vertical="top"/>
    </xf>
    <xf numFmtId="10" fontId="7" fillId="0" borderId="8" xfId="33" applyNumberFormat="1" applyAlignment="1">
      <alignment vertical="top"/>
    </xf>
    <xf numFmtId="10" fontId="7" fillId="0" borderId="11" xfId="33" applyNumberFormat="1" applyBorder="1" applyAlignment="1">
      <alignment vertical="top"/>
    </xf>
    <xf numFmtId="8" fontId="0" fillId="0" borderId="0" xfId="0" applyNumberFormat="1">
      <alignment vertical="top"/>
    </xf>
    <xf numFmtId="2" fontId="11" fillId="0" borderId="0" xfId="12" applyNumberFormat="1">
      <alignment horizontal="center" vertical="center"/>
    </xf>
    <xf numFmtId="0" fontId="43" fillId="8" borderId="7" xfId="24" applyFont="1" applyAlignment="1">
      <alignment horizontal="left" vertical="top"/>
    </xf>
    <xf numFmtId="0" fontId="23" fillId="7" borderId="7" xfId="35" applyFont="1" applyAlignment="1">
      <alignment horizontal="left" vertical="center"/>
    </xf>
    <xf numFmtId="0" fontId="46" fillId="0" borderId="0" xfId="0" applyFont="1">
      <alignment vertical="top"/>
    </xf>
    <xf numFmtId="0" fontId="0" fillId="10" borderId="0" xfId="0" applyFill="1" applyAlignment="1">
      <alignment horizontal="center"/>
    </xf>
    <xf numFmtId="177" fontId="7" fillId="0" borderId="11" xfId="33" applyNumberFormat="1" applyBorder="1" applyAlignment="1">
      <alignment vertical="top"/>
    </xf>
    <xf numFmtId="170" fontId="7" fillId="0" borderId="8" xfId="33" applyNumberFormat="1" applyAlignment="1">
      <alignment vertical="top"/>
    </xf>
    <xf numFmtId="183" fontId="0" fillId="0" borderId="8" xfId="25" applyNumberFormat="1" applyFont="1">
      <alignment vertical="top"/>
    </xf>
    <xf numFmtId="187" fontId="0" fillId="0" borderId="8" xfId="25" applyNumberFormat="1" applyFont="1">
      <alignment vertical="top"/>
    </xf>
    <xf numFmtId="0" fontId="7" fillId="0" borderId="0" xfId="39" applyFont="1">
      <alignment horizontal="left" vertical="center"/>
    </xf>
    <xf numFmtId="164" fontId="18" fillId="0" borderId="11" xfId="25" applyNumberFormat="1" applyBorder="1" applyAlignment="1">
      <alignment vertical="top" wrapText="1"/>
    </xf>
    <xf numFmtId="174" fontId="18" fillId="0" borderId="11" xfId="38" applyNumberFormat="1" applyFill="1" applyBorder="1" applyAlignment="1">
      <alignment vertical="top" wrapText="1"/>
    </xf>
    <xf numFmtId="174" fontId="18" fillId="0" borderId="11" xfId="38" applyNumberFormat="1" applyFill="1" applyBorder="1" applyAlignment="1">
      <alignment vertical="top"/>
    </xf>
    <xf numFmtId="9" fontId="18" fillId="0" borderId="8" xfId="38" applyFill="1" applyBorder="1" applyAlignment="1">
      <alignment vertical="top" wrapText="1"/>
    </xf>
    <xf numFmtId="9" fontId="18" fillId="0" borderId="8" xfId="38" applyFill="1" applyBorder="1" applyAlignment="1">
      <alignment vertical="top"/>
    </xf>
    <xf numFmtId="9" fontId="0" fillId="0" borderId="0" xfId="38" applyFont="1" applyFill="1" applyAlignment="1">
      <alignment vertical="top"/>
    </xf>
    <xf numFmtId="0" fontId="47" fillId="0" borderId="0" xfId="0" applyFont="1" applyAlignment="1">
      <alignment horizontal="center"/>
    </xf>
    <xf numFmtId="0" fontId="47" fillId="0" borderId="0" xfId="0" applyFont="1">
      <alignment vertical="top"/>
    </xf>
    <xf numFmtId="174" fontId="0" fillId="0" borderId="31" xfId="38" applyNumberFormat="1" applyFont="1" applyFill="1" applyBorder="1" applyAlignment="1">
      <alignment vertical="top"/>
    </xf>
    <xf numFmtId="185" fontId="0" fillId="0" borderId="0" xfId="38" applyNumberFormat="1" applyFont="1" applyFill="1" applyAlignment="1">
      <alignment vertical="top"/>
    </xf>
    <xf numFmtId="0" fontId="6" fillId="0" borderId="0" xfId="0" applyFont="1">
      <alignment vertical="top"/>
    </xf>
    <xf numFmtId="168" fontId="48" fillId="5" borderId="7" xfId="16" applyNumberFormat="1" applyFont="1">
      <alignment vertical="top"/>
    </xf>
    <xf numFmtId="0" fontId="48" fillId="0" borderId="0" xfId="0" applyFont="1">
      <alignment vertical="top"/>
    </xf>
    <xf numFmtId="1" fontId="0" fillId="0" borderId="0" xfId="0" applyNumberFormat="1">
      <alignment vertical="top"/>
    </xf>
    <xf numFmtId="164" fontId="0" fillId="0" borderId="8" xfId="25" applyNumberFormat="1" applyFont="1">
      <alignment vertical="top"/>
    </xf>
    <xf numFmtId="0" fontId="18" fillId="0" borderId="8" xfId="25" applyAlignment="1" applyProtection="1">
      <alignment horizontal="center" vertical="top"/>
      <protection locked="0"/>
    </xf>
    <xf numFmtId="1" fontId="15" fillId="5" borderId="7" xfId="16" applyNumberFormat="1">
      <alignment vertical="top"/>
    </xf>
    <xf numFmtId="174" fontId="15" fillId="5" borderId="7" xfId="16" applyNumberFormat="1">
      <alignment vertical="top"/>
    </xf>
    <xf numFmtId="0" fontId="2" fillId="0" borderId="2" xfId="18" applyProtection="1">
      <alignment horizontal="left" vertical="center"/>
    </xf>
    <xf numFmtId="0" fontId="23" fillId="8" borderId="16" xfId="24" applyBorder="1">
      <alignment horizontal="center" vertical="top"/>
    </xf>
    <xf numFmtId="0" fontId="23" fillId="8" borderId="29" xfId="24" applyBorder="1">
      <alignment horizontal="center" vertical="top"/>
    </xf>
    <xf numFmtId="0" fontId="7" fillId="9" borderId="15" xfId="7" applyNumberFormat="1" applyBorder="1" applyAlignment="1" applyProtection="1">
      <alignment horizontal="left" vertical="center"/>
    </xf>
    <xf numFmtId="15" fontId="7" fillId="9" borderId="7" xfId="7" applyNumberFormat="1" applyProtection="1">
      <alignment horizontal="center" vertical="center"/>
    </xf>
    <xf numFmtId="15" fontId="7" fillId="9" borderId="13" xfId="7" applyNumberFormat="1" applyBorder="1" applyProtection="1">
      <alignment horizontal="center" vertical="center"/>
    </xf>
    <xf numFmtId="0" fontId="14" fillId="2" borderId="0" xfId="5" applyProtection="1">
      <alignment horizontal="left" vertical="center"/>
    </xf>
    <xf numFmtId="0" fontId="14" fillId="0" borderId="0" xfId="5" applyFill="1" applyProtection="1">
      <alignment horizontal="left" vertical="center"/>
    </xf>
    <xf numFmtId="0" fontId="10" fillId="2" borderId="1" xfId="11" applyAlignment="1" applyProtection="1">
      <alignment horizontal="center" vertical="center"/>
    </xf>
    <xf numFmtId="0" fontId="10" fillId="2" borderId="1" xfId="11" applyProtection="1">
      <alignment horizontal="left" vertical="center"/>
    </xf>
    <xf numFmtId="0" fontId="10" fillId="0" borderId="1" xfId="11" applyFill="1" applyProtection="1">
      <alignment horizontal="left" vertical="center"/>
    </xf>
    <xf numFmtId="0" fontId="2" fillId="0" borderId="2" xfId="18" applyFill="1" applyProtection="1">
      <alignment horizontal="left" vertical="center"/>
    </xf>
    <xf numFmtId="10" fontId="0" fillId="0" borderId="0" xfId="38" applyNumberFormat="1" applyFont="1" applyAlignment="1" applyProtection="1">
      <alignment vertical="top"/>
    </xf>
    <xf numFmtId="0" fontId="7" fillId="9" borderId="7" xfId="7" applyProtection="1">
      <alignment horizontal="center" vertical="center"/>
    </xf>
    <xf numFmtId="15" fontId="16" fillId="6" borderId="7" xfId="15" applyNumberFormat="1" applyAlignment="1">
      <alignment horizontal="right" vertical="center"/>
    </xf>
    <xf numFmtId="0" fontId="16" fillId="6" borderId="7" xfId="15" applyAlignment="1">
      <alignment horizontal="right" vertical="center"/>
    </xf>
    <xf numFmtId="168" fontId="16" fillId="6" borderId="7" xfId="15" applyNumberFormat="1" applyAlignment="1">
      <alignment horizontal="right" vertical="center"/>
    </xf>
    <xf numFmtId="15" fontId="7" fillId="9" borderId="7" xfId="7" applyNumberFormat="1" applyAlignment="1" applyProtection="1">
      <alignment horizontal="right" vertical="center"/>
    </xf>
    <xf numFmtId="168" fontId="7" fillId="9" borderId="7" xfId="7" applyNumberFormat="1" applyAlignment="1" applyProtection="1">
      <alignment horizontal="right" vertical="center"/>
    </xf>
    <xf numFmtId="15" fontId="7" fillId="19" borderId="7" xfId="7" applyNumberFormat="1" applyFill="1" applyAlignment="1" applyProtection="1">
      <alignment horizontal="right" vertical="center"/>
    </xf>
    <xf numFmtId="168" fontId="7" fillId="19" borderId="7" xfId="7" applyNumberFormat="1" applyFill="1" applyAlignment="1" applyProtection="1">
      <alignment horizontal="right" vertical="center"/>
    </xf>
    <xf numFmtId="0" fontId="18" fillId="0" borderId="26" xfId="25" applyBorder="1">
      <alignment vertical="top"/>
    </xf>
    <xf numFmtId="173" fontId="7" fillId="9" borderId="7" xfId="7" applyNumberFormat="1" applyAlignment="1" applyProtection="1">
      <alignment horizontal="right" vertical="center"/>
    </xf>
    <xf numFmtId="183" fontId="7" fillId="9" borderId="7" xfId="7" applyNumberFormat="1" applyAlignment="1" applyProtection="1">
      <alignment horizontal="right" vertical="center"/>
    </xf>
    <xf numFmtId="2" fontId="7" fillId="9" borderId="7" xfId="7" applyNumberFormat="1" applyAlignment="1" applyProtection="1">
      <alignment horizontal="right" vertical="center"/>
    </xf>
    <xf numFmtId="15" fontId="0" fillId="0" borderId="0" xfId="0" applyNumberFormat="1">
      <alignment vertical="top"/>
    </xf>
    <xf numFmtId="0" fontId="7" fillId="0" borderId="8" xfId="25" applyFont="1">
      <alignment vertical="top"/>
    </xf>
    <xf numFmtId="9" fontId="0" fillId="0" borderId="0" xfId="38" applyFont="1" applyFill="1" applyAlignment="1" applyProtection="1">
      <alignment vertical="top"/>
    </xf>
    <xf numFmtId="168" fontId="7" fillId="9" borderId="7" xfId="7" applyNumberFormat="1" applyAlignment="1" applyProtection="1">
      <alignment vertical="center"/>
    </xf>
    <xf numFmtId="173" fontId="16" fillId="6" borderId="7" xfId="15" applyNumberFormat="1" applyAlignment="1">
      <alignment horizontal="right" vertical="center"/>
    </xf>
    <xf numFmtId="168" fontId="7" fillId="20" borderId="7" xfId="7" applyNumberFormat="1" applyFill="1" applyAlignment="1" applyProtection="1">
      <alignment horizontal="right" vertical="center"/>
    </xf>
    <xf numFmtId="15" fontId="7" fillId="20" borderId="7" xfId="7" applyNumberFormat="1" applyFill="1" applyAlignment="1" applyProtection="1">
      <alignment horizontal="right" vertical="center"/>
    </xf>
    <xf numFmtId="3" fontId="16" fillId="6" borderId="7" xfId="15" applyNumberFormat="1" applyAlignment="1">
      <alignment horizontal="right" vertical="center"/>
    </xf>
    <xf numFmtId="3" fontId="7" fillId="9" borderId="7" xfId="7" applyNumberFormat="1" applyAlignment="1" applyProtection="1">
      <alignment horizontal="right" vertical="center"/>
    </xf>
    <xf numFmtId="0" fontId="17" fillId="9" borderId="7" xfId="7" applyFont="1" applyProtection="1">
      <alignment horizontal="center" vertical="center"/>
    </xf>
    <xf numFmtId="0" fontId="7" fillId="9" borderId="7" xfId="7" applyAlignment="1" applyProtection="1">
      <alignment horizontal="right" vertical="center"/>
    </xf>
    <xf numFmtId="2" fontId="7" fillId="9" borderId="10" xfId="7" applyNumberFormat="1" applyBorder="1" applyAlignment="1" applyProtection="1">
      <alignment horizontal="right" vertical="center"/>
    </xf>
    <xf numFmtId="168" fontId="7" fillId="9" borderId="10" xfId="7" applyNumberFormat="1" applyBorder="1" applyAlignment="1" applyProtection="1">
      <alignment horizontal="right" vertical="center"/>
    </xf>
    <xf numFmtId="168" fontId="7" fillId="9" borderId="13" xfId="7" applyNumberFormat="1" applyBorder="1" applyAlignment="1" applyProtection="1">
      <alignment horizontal="right" vertical="center"/>
    </xf>
    <xf numFmtId="168" fontId="7" fillId="9" borderId="23" xfId="7" applyNumberFormat="1" applyBorder="1" applyAlignment="1" applyProtection="1">
      <alignment horizontal="right" vertical="center"/>
    </xf>
    <xf numFmtId="0" fontId="18" fillId="0" borderId="8" xfId="25" applyAlignment="1">
      <alignment horizontal="left" vertical="top"/>
    </xf>
    <xf numFmtId="0" fontId="23" fillId="8" borderId="22" xfId="24" applyBorder="1">
      <alignment horizontal="center" vertical="top"/>
    </xf>
    <xf numFmtId="0" fontId="7" fillId="9" borderId="23" xfId="7" applyBorder="1" applyProtection="1">
      <alignment horizontal="center" vertical="center"/>
    </xf>
    <xf numFmtId="0" fontId="23" fillId="8" borderId="14" xfId="24" applyBorder="1">
      <alignment horizontal="center" vertical="top"/>
    </xf>
    <xf numFmtId="0" fontId="16" fillId="6" borderId="21" xfId="15" applyBorder="1" applyAlignment="1">
      <alignment horizontal="left" vertical="center"/>
    </xf>
    <xf numFmtId="0" fontId="16" fillId="6" borderId="7" xfId="15" applyAlignment="1">
      <alignment horizontal="left" vertical="center"/>
    </xf>
    <xf numFmtId="0" fontId="16" fillId="6" borderId="13" xfId="15" applyBorder="1" applyAlignment="1">
      <alignment horizontal="left" vertical="center"/>
    </xf>
    <xf numFmtId="0" fontId="16" fillId="6" borderId="20" xfId="15" applyBorder="1" applyAlignment="1">
      <alignment horizontal="left" vertical="center"/>
    </xf>
    <xf numFmtId="0" fontId="16" fillId="6" borderId="23" xfId="15" applyBorder="1" applyAlignment="1">
      <alignment horizontal="left" vertical="center"/>
    </xf>
    <xf numFmtId="0" fontId="16" fillId="6" borderId="25" xfId="15" applyBorder="1" applyAlignment="1">
      <alignment horizontal="left" vertical="center"/>
    </xf>
    <xf numFmtId="0" fontId="29" fillId="0" borderId="0" xfId="0" applyFont="1">
      <alignment vertical="top"/>
    </xf>
    <xf numFmtId="0" fontId="13" fillId="0" borderId="0" xfId="14">
      <alignment horizontal="center" vertical="top"/>
    </xf>
    <xf numFmtId="175" fontId="6" fillId="7" borderId="7" xfId="35" applyNumberFormat="1">
      <alignment horizontal="center" vertical="center"/>
    </xf>
    <xf numFmtId="0" fontId="7" fillId="9" borderId="7" xfId="7" applyNumberFormat="1" applyProtection="1">
      <alignment horizontal="center" vertical="center"/>
    </xf>
    <xf numFmtId="0" fontId="0" fillId="0" borderId="0" xfId="0" applyAlignment="1">
      <alignment horizontal="center" vertical="top" wrapText="1"/>
    </xf>
    <xf numFmtId="9" fontId="7" fillId="9" borderId="7" xfId="7" applyNumberFormat="1" applyProtection="1">
      <alignment horizontal="center" vertical="center"/>
    </xf>
    <xf numFmtId="15" fontId="16" fillId="6" borderId="7" xfId="15" applyNumberFormat="1">
      <alignment horizontal="center" vertical="center"/>
    </xf>
    <xf numFmtId="0" fontId="6" fillId="7" borderId="13" xfId="35" applyBorder="1">
      <alignment horizontal="center" vertical="center"/>
    </xf>
    <xf numFmtId="15" fontId="16" fillId="6" borderId="23" xfId="15" applyNumberFormat="1" applyBorder="1">
      <alignment horizontal="center" vertical="center"/>
    </xf>
    <xf numFmtId="0" fontId="6" fillId="7" borderId="25" xfId="35" applyBorder="1">
      <alignment horizontal="center" vertical="center"/>
    </xf>
    <xf numFmtId="175" fontId="6" fillId="7" borderId="25" xfId="35" applyNumberFormat="1" applyBorder="1">
      <alignment horizontal="center" vertical="center"/>
    </xf>
    <xf numFmtId="15" fontId="18" fillId="0" borderId="8" xfId="25" applyNumberFormat="1" applyAlignment="1">
      <alignment horizontal="left" vertical="top"/>
    </xf>
    <xf numFmtId="2" fontId="7" fillId="9" borderId="13" xfId="7" applyNumberFormat="1" applyBorder="1" applyProtection="1">
      <alignment horizontal="center" vertical="center"/>
    </xf>
    <xf numFmtId="183" fontId="18" fillId="0" borderId="8" xfId="25" applyNumberFormat="1">
      <alignment vertical="top"/>
    </xf>
    <xf numFmtId="0" fontId="41" fillId="0" borderId="8" xfId="25" applyFont="1">
      <alignment vertical="top"/>
    </xf>
    <xf numFmtId="0" fontId="49" fillId="2" borderId="0" xfId="39" quotePrefix="1" applyFont="1" applyFill="1">
      <alignment horizontal="left" vertical="center"/>
    </xf>
    <xf numFmtId="0" fontId="9" fillId="2" borderId="0" xfId="11" applyFont="1" applyBorder="1">
      <alignment horizontal="left" vertical="center"/>
    </xf>
    <xf numFmtId="0" fontId="32" fillId="21" borderId="4" xfId="0" applyFont="1" applyFill="1" applyBorder="1" applyAlignment="1">
      <alignment horizontal="center" vertical="center"/>
    </xf>
    <xf numFmtId="188" fontId="18" fillId="0" borderId="8" xfId="25" applyNumberFormat="1" applyAlignment="1">
      <alignment horizontal="right" vertical="top"/>
    </xf>
    <xf numFmtId="0" fontId="6" fillId="2" borderId="0" xfId="10" applyAlignment="1">
      <alignment horizontal="left" vertical="center" wrapText="1"/>
    </xf>
    <xf numFmtId="0" fontId="24" fillId="0" borderId="0" xfId="0" applyFont="1" applyAlignment="1">
      <alignment horizontal="left" vertical="top" wrapText="1"/>
    </xf>
    <xf numFmtId="0" fontId="25" fillId="0" borderId="0" xfId="0" applyFont="1" applyAlignment="1">
      <alignment horizontal="left" vertical="top" wrapText="1"/>
    </xf>
  </cellXfs>
  <cellStyles count="54">
    <cellStyle name="Assumptions Right Number" xfId="52" xr:uid="{5B8E2D8C-A2E8-4D7C-9CEC-AF28B8E3CF13}"/>
    <cellStyle name="Auto-label" xfId="41" xr:uid="{73CCA8BC-5AD7-4E85-A6E0-32EF7EF688EF}"/>
    <cellStyle name="Auto-populated" xfId="35" xr:uid="{92CD633B-B870-4480-A542-76D077643B78}"/>
    <cellStyle name="Banner_H3" xfId="13" xr:uid="{FE5785C0-235B-4C70-900C-EF2001520144}"/>
    <cellStyle name="Body_H1" xfId="37" xr:uid="{3D3122E7-4A4D-43F7-8A2F-A315DF102D9A}"/>
    <cellStyle name="Calculation" xfId="8" builtinId="22" hidden="1" customBuiltin="1"/>
    <cellStyle name="Calculation" xfId="33" xr:uid="{02E3DF3F-3256-4406-B889-2D6690639BEB}"/>
    <cellStyle name="Check Cell" xfId="19" builtinId="23" customBuiltin="1"/>
    <cellStyle name="Check Cell 2" xfId="45" xr:uid="{2C5B93AF-BB66-412D-BA64-77758034BDC0}"/>
    <cellStyle name="Check result" xfId="22" xr:uid="{7CA6913E-F58F-4741-9988-4121D79BFD7B}"/>
    <cellStyle name="Comma 2" xfId="47" xr:uid="{0AECBC68-5599-44FB-96B7-109DBD9FAB2A}"/>
    <cellStyle name="Comma 2 2" xfId="48" xr:uid="{93EB43EF-18FC-4778-9B5C-840F933F6A0C}"/>
    <cellStyle name="Comma 3" xfId="49" xr:uid="{9ABC892E-1082-4619-8B6B-91BCF8908FA0}"/>
    <cellStyle name="Currency 2" xfId="50" xr:uid="{3BFC55EA-B4CA-47F0-9211-C082284DAF7F}"/>
    <cellStyle name="Defined names" xfId="14" xr:uid="{4248BE1A-3F2D-4913-B913-A6FBE3436F34}"/>
    <cellStyle name="Explanatory Text" xfId="21" builtinId="53" customBuiltin="1"/>
    <cellStyle name="External link" xfId="17" xr:uid="{FAB4C5FD-358F-4CD6-BC6E-724C598431E5}"/>
    <cellStyle name="Formulas" xfId="42" xr:uid="{F112E758-6F5C-4D3B-8A1A-B0DFEBB4A882}"/>
    <cellStyle name="Hard-coded" xfId="15" xr:uid="{200D9EA9-3A37-415F-8834-A52A844D661D}"/>
    <cellStyle name="Heading 1" xfId="1" builtinId="16" hidden="1" customBuiltin="1"/>
    <cellStyle name="Heading 1" xfId="27" builtinId="16" customBuiltin="1"/>
    <cellStyle name="Heading 2" xfId="2" builtinId="17" hidden="1" customBuiltin="1"/>
    <cellStyle name="Heading 2" xfId="28" builtinId="17" customBuiltin="1"/>
    <cellStyle name="Heading 3" xfId="3" builtinId="18" hidden="1" customBuiltin="1"/>
    <cellStyle name="Heading 3" xfId="29" builtinId="18" customBuiltin="1"/>
    <cellStyle name="Heading 4" xfId="4" builtinId="19" hidden="1" customBuiltin="1"/>
    <cellStyle name="Heading 4" xfId="30" builtinId="19" customBuiltin="1"/>
    <cellStyle name="Heading 5" xfId="31" xr:uid="{94E6345E-6BD4-45F0-9D01-9D42661ECA31}"/>
    <cellStyle name="Heading 6" xfId="32" xr:uid="{69B6DADD-1AE3-442B-9C06-14D5E52B303F}"/>
    <cellStyle name="Heading 7" xfId="9" xr:uid="{65CE4549-62A3-4210-9F25-2F9839E1F791}"/>
    <cellStyle name="Heading 8" xfId="23" xr:uid="{9E45A076-5177-4FEE-A6E2-BC3208B3DF96}"/>
    <cellStyle name="Hyperlink" xfId="39" builtinId="8" customBuiltin="1"/>
    <cellStyle name="Hyperlink 2" xfId="46" xr:uid="{456112B3-E30F-4DF3-ADB8-38F9E1C20B4C}"/>
    <cellStyle name="Hyperlink 3" xfId="53" xr:uid="{A0A8F1EA-32F3-4AEB-9237-EAE4E1D978F0}"/>
    <cellStyle name="Input" xfId="7" builtinId="20" customBuiltin="1"/>
    <cellStyle name="Input 2" xfId="44" xr:uid="{B63F3EFA-FFE2-439A-9B97-C1D883122531}"/>
    <cellStyle name="Internal link/lookup" xfId="16" xr:uid="{2D1739BB-E732-4E26-A2B2-CCA56472379C}"/>
    <cellStyle name="Linked Cell" xfId="36" builtinId="24" hidden="1"/>
    <cellStyle name="Model title heading" xfId="5" xr:uid="{49720198-0457-4C71-953B-1E69023AC69A}"/>
    <cellStyle name="Normal" xfId="0" builtinId="0" customBuiltin="1"/>
    <cellStyle name="Normal 2" xfId="10" xr:uid="{F85F6E40-0042-4237-9B34-A53CE09B085A}"/>
    <cellStyle name="Normal 2 2" xfId="51" xr:uid="{CF842B27-04E4-44A1-BB82-EAF10052AF7E}"/>
    <cellStyle name="Normal 3" xfId="43" xr:uid="{FC35F5ED-67EB-43C2-85D4-7A2F4396DE3F}"/>
    <cellStyle name="Note" xfId="20" builtinId="10" customBuiltin="1"/>
    <cellStyle name="Numbering" xfId="12" xr:uid="{7BCF1B39-1E88-4D0F-9909-781FF2652C1A}"/>
    <cellStyle name="Numbering 3" xfId="34" xr:uid="{513ECFB5-F1B0-4A60-8F3D-7675E1A0F618}"/>
    <cellStyle name="Other heading 1" xfId="6" xr:uid="{5A2EFDA9-BC12-42D8-8C23-4D391E77FA8E}"/>
    <cellStyle name="Percent" xfId="38" builtinId="5"/>
    <cellStyle name="Section heading" xfId="18" xr:uid="{9F4B368D-F879-44E3-8E17-29DD8542A9E8}"/>
    <cellStyle name="Sheet heading" xfId="11" xr:uid="{6DEA63FE-C2FC-4D51-AFD8-F668D7E75EDD}"/>
    <cellStyle name="Table cell" xfId="25" xr:uid="{33044786-416C-4FE4-85B1-41BEF94590D6}"/>
    <cellStyle name="Table col heading" xfId="24" xr:uid="{796CBF3A-5CFE-4864-B572-7D991870B886}"/>
    <cellStyle name="Table heading" xfId="26" xr:uid="{C6E1E3D7-B02B-4DF4-8CAA-43F258527446}"/>
    <cellStyle name="Total" xfId="40" builtinId="25" customBuiltin="1"/>
  </cellStyles>
  <dxfs count="864">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alignment horizontal="left" vertical="center" textRotation="0" wrapText="0" indent="0" justifyLastLine="0" shrinkToFit="0" readingOrder="0"/>
      <border diagonalUp="0" diagonalDown="0">
        <left/>
        <right/>
        <top style="thin">
          <color theme="0"/>
        </top>
        <bottom style="thin">
          <color theme="0"/>
        </bottom>
        <vertical/>
        <horizontal/>
      </border>
    </dxf>
    <dxf>
      <border outline="0">
        <top style="thin">
          <color theme="0"/>
        </top>
      </border>
    </dxf>
    <dxf>
      <border outline="0">
        <left style="thin">
          <color theme="0"/>
        </left>
        <right style="thin">
          <color theme="0"/>
        </right>
        <top style="thin">
          <color theme="0"/>
        </top>
        <bottom style="thin">
          <color theme="0"/>
        </bottom>
      </border>
    </dxf>
    <dxf>
      <alignment horizontal="left" vertical="center" textRotation="0" wrapText="0" indent="0" justifyLastLine="0" shrinkToFit="0" readingOrder="0"/>
    </dxf>
    <dxf>
      <border outline="0">
        <bottom style="thin">
          <color theme="0"/>
        </bottom>
      </border>
    </dxf>
    <dxf>
      <font>
        <b val="0"/>
        <i val="0"/>
        <strike val="0"/>
        <condense val="0"/>
        <extend val="0"/>
        <outline val="0"/>
        <shadow val="0"/>
        <u val="none"/>
        <vertAlign val="baseline"/>
        <sz val="11"/>
        <color theme="1"/>
        <name val="Calibri"/>
        <family val="2"/>
        <scheme val="minor"/>
      </font>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7" formatCode="&quot;$&quot;#,##0.000000;[Red]\-&quot;$&quot;#,##0.000000"/>
      <border>
        <left style="thin">
          <color theme="0"/>
        </left>
      </border>
    </dxf>
    <dxf>
      <numFmt numFmtId="177" formatCode="&quot;$&quot;#,##0.000000;[Red]\-&quot;$&quot;#,##0.000000"/>
      <border>
        <left style="thin">
          <color theme="0"/>
        </left>
        <right style="thin">
          <color theme="0"/>
        </right>
      </border>
    </dxf>
    <dxf>
      <numFmt numFmtId="177" formatCode="&quot;$&quot;#,##0.000000;[Red]\-&quot;$&quot;#,##0.000000"/>
      <border>
        <left style="thin">
          <color theme="0"/>
        </left>
        <right style="thin">
          <color theme="0"/>
        </right>
      </border>
    </dxf>
    <dxf>
      <numFmt numFmtId="177" formatCode="&quot;$&quot;#,##0.000000;[Red]\-&quot;$&quot;#,##0.000000"/>
      <border>
        <left style="thin">
          <color theme="0"/>
        </left>
        <right style="thin">
          <color theme="0"/>
        </right>
      </border>
    </dxf>
    <dxf>
      <numFmt numFmtId="177" formatCode="&quot;$&quot;#,##0.000000;[Red]\-&quot;$&quot;#,##0.000000"/>
      <border>
        <right style="thin">
          <color theme="0"/>
        </right>
      </border>
    </dxf>
    <dxf>
      <border>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8" formatCode="&quot;$&quot;#,##0.0000000;[Red]\-&quot;$&quot;#,##0.0000000"/>
      <border>
        <left style="thin">
          <color theme="0"/>
        </left>
      </border>
    </dxf>
    <dxf>
      <numFmt numFmtId="178" formatCode="&quot;$&quot;#,##0.0000000;[Red]\-&quot;$&quot;#,##0.0000000"/>
      <border>
        <left style="thin">
          <color theme="0"/>
        </left>
        <right style="thin">
          <color theme="0"/>
        </right>
      </border>
    </dxf>
    <dxf>
      <numFmt numFmtId="178" formatCode="&quot;$&quot;#,##0.0000000;[Red]\-&quot;$&quot;#,##0.0000000"/>
      <border>
        <left style="thin">
          <color theme="0"/>
        </left>
        <right style="thin">
          <color theme="0"/>
        </right>
      </border>
    </dxf>
    <dxf>
      <numFmt numFmtId="178" formatCode="&quot;$&quot;#,##0.0000000;[Red]\-&quot;$&quot;#,##0.0000000"/>
      <border>
        <left style="thin">
          <color theme="0"/>
        </left>
        <right style="thin">
          <color theme="0"/>
        </right>
      </border>
    </dxf>
    <dxf>
      <numFmt numFmtId="178" formatCode="&quot;$&quot;#,##0.0000000;[Red]\-&quot;$&quot;#,##0.0000000"/>
      <border>
        <right style="thin">
          <color theme="0"/>
        </right>
      </border>
    </dxf>
    <dxf>
      <border>
        <right style="thin">
          <color theme="0"/>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7" formatCode="&quot;$&quot;#,##0.000000;[Red]\-&quot;$&quot;#,##0.000000"/>
      <border>
        <left style="thin">
          <color theme="0" tint="-0.24994659260841701"/>
        </left>
      </border>
    </dxf>
    <dxf>
      <numFmt numFmtId="177" formatCode="&quot;$&quot;#,##0.000000;[Red]\-&quot;$&quot;#,##0.000000"/>
      <border>
        <left style="thin">
          <color theme="0" tint="-0.24994659260841701"/>
        </left>
        <right style="thin">
          <color theme="0" tint="-0.24994659260841701"/>
        </right>
      </border>
    </dxf>
    <dxf>
      <numFmt numFmtId="177" formatCode="&quot;$&quot;#,##0.000000;[Red]\-&quot;$&quot;#,##0.000000"/>
      <border>
        <left style="thin">
          <color theme="0" tint="-0.24994659260841701"/>
        </left>
        <right style="thin">
          <color theme="0" tint="-0.24994659260841701"/>
        </right>
      </border>
    </dxf>
    <dxf>
      <numFmt numFmtId="177" formatCode="&quot;$&quot;#,##0.000000;[Red]\-&quot;$&quot;#,##0.000000"/>
      <border>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7" formatCode="&quot;$&quot;#,##0.000000;[Red]\-&quot;$&quot;#,##0.000000"/>
      <border>
        <right style="thin">
          <color theme="0" tint="-0.24994659260841701"/>
        </right>
      </border>
    </dxf>
    <dxf>
      <border>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79" formatCode="&quot;$&quot;#,##0.00000000;[Red]\-&quot;$&quot;#,##0.00000000"/>
      <border>
        <left style="thin">
          <color theme="0" tint="-0.24994659260841701"/>
        </left>
      </border>
    </dxf>
    <dxf>
      <numFmt numFmtId="179" formatCode="&quot;$&quot;#,##0.00000000;[Red]\-&quot;$&quot;#,##0.00000000"/>
      <border>
        <left style="thin">
          <color theme="0" tint="-0.24994659260841701"/>
        </left>
        <right style="thin">
          <color theme="0" tint="-0.24994659260841701"/>
        </right>
      </border>
    </dxf>
    <dxf>
      <numFmt numFmtId="179" formatCode="&quot;$&quot;#,##0.00000000;[Red]\-&quot;$&quot;#,##0.00000000"/>
      <border>
        <left style="thin">
          <color theme="0" tint="-0.24994659260841701"/>
        </left>
        <right style="thin">
          <color theme="0" tint="-0.24994659260841701"/>
        </right>
      </border>
    </dxf>
    <dxf>
      <numFmt numFmtId="179" formatCode="&quot;$&quot;#,##0.00000000;[Red]\-&quot;$&quot;#,##0.00000000"/>
      <border>
        <left style="thin">
          <color theme="0" tint="-0.24994659260841701"/>
        </left>
        <right style="thin">
          <color theme="0" tint="-0.24994659260841701"/>
        </right>
      </border>
    </dxf>
    <dxf>
      <font>
        <b val="0"/>
        <i val="0"/>
        <strike val="0"/>
        <condense val="0"/>
        <extend val="0"/>
        <outline val="0"/>
        <shadow val="0"/>
        <u val="none"/>
        <vertAlign val="baseline"/>
        <sz val="11"/>
        <color theme="1"/>
        <name val="Calibri"/>
        <family val="2"/>
        <scheme val="minor"/>
      </font>
      <numFmt numFmtId="179" formatCode="&quot;$&quot;#,##0.00000000;[Red]\-&quot;$&quot;#,##0.00000000"/>
      <border>
        <right style="thin">
          <color theme="0" tint="-0.24994659260841701"/>
        </right>
      </border>
    </dxf>
    <dxf>
      <border>
        <right style="thin">
          <color theme="0" tint="-0.24994659260841701"/>
        </right>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theme="0" tint="-0.24994659260841701"/>
        </top>
      </border>
    </dxf>
    <dxf>
      <border outline="0">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outline="0">
        <top style="thin">
          <color rgb="FFBFBFBF"/>
        </top>
      </border>
    </dxf>
    <dxf>
      <border outline="0">
        <top style="thin">
          <color rgb="FFFFFFFF"/>
        </top>
        <bottom style="thin">
          <color rgb="FFBFBFBF"/>
        </bottom>
      </border>
    </dxf>
    <dxf>
      <border outline="0">
        <bottom style="thin">
          <color rgb="FFFFFFFF"/>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numFmt numFmtId="3" formatCode="#,##0"/>
      <border diagonalUp="0" diagonalDown="0">
        <left style="thin">
          <color theme="0" tint="-0.24994659260841701"/>
        </left>
        <right style="thin">
          <color theme="0" tint="-0.24994659260841701"/>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border diagonalUp="0" diagonalDown="0">
        <left style="thin">
          <color theme="0"/>
        </left>
        <right style="thin">
          <color theme="0"/>
        </right>
        <top style="thin">
          <color theme="0"/>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op>
      </border>
    </dxf>
    <dxf>
      <font>
        <b val="0"/>
        <i val="0"/>
        <strike val="0"/>
        <condense val="0"/>
        <extend val="0"/>
        <outline val="0"/>
        <shadow val="0"/>
        <u val="none"/>
        <vertAlign val="baseline"/>
        <sz val="11"/>
        <color theme="1"/>
        <name val="Calibri"/>
        <family val="2"/>
        <scheme val="minor"/>
      </font>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alignment horizontal="left" vertical="center"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numFmt numFmtId="3" formatCode="#,##0"/>
    </dxf>
    <dxf>
      <font>
        <b val="0"/>
        <i val="0"/>
        <strike val="0"/>
        <condense val="0"/>
        <extend val="0"/>
        <outline val="0"/>
        <shadow val="0"/>
        <u val="none"/>
        <vertAlign val="baseline"/>
        <sz val="11"/>
        <color theme="1"/>
        <name val="Calibri"/>
        <family val="2"/>
        <scheme val="minor"/>
      </font>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2" formatCode="0.00"/>
    </dxf>
    <dxf>
      <numFmt numFmtId="2" formatCode="0.00"/>
    </dxf>
    <dxf>
      <numFmt numFmtId="2" formatCode="0.00"/>
    </dxf>
    <dxf>
      <numFmt numFmtId="2" formatCode="0.00"/>
    </dxf>
    <dxf>
      <numFmt numFmtId="2" formatCode="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numFmt numFmtId="169" formatCode="&quot;$&quot;#,##0.0000;[Red]\-&quot;$&quot;#,##0.0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border>
        <right style="thin">
          <color theme="0" tint="-0.24994659260841701"/>
        </right>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diagonalUp="0" diagonalDown="0">
        <left style="thin">
          <color theme="0" tint="-0.24994659260841701"/>
        </left>
        <right style="thin">
          <color theme="0" tint="-0.24994659260841701"/>
        </right>
        <top style="thin">
          <color theme="0" tint="-0.24994659260841701"/>
        </top>
        <bottom/>
        <vertical/>
        <horizontal/>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left style="thin">
          <color theme="0" tint="-0.24994659260841701"/>
        </lef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left style="thin">
          <color theme="0" tint="-0.24994659260841701"/>
        </lef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border>
        <left style="thin">
          <color theme="0" tint="-0.24994659260841701"/>
        </lef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ill>
        <patternFill patternType="none">
          <fgColor indexed="64"/>
          <bgColor auto="1"/>
        </patternFill>
      </fill>
      <border>
        <left style="thin">
          <color theme="0" tint="-0.24994659260841701"/>
        </lef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right style="thin">
          <color theme="0" tint="-0.24994659260841701"/>
        </right>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left style="thin">
          <color theme="0" tint="-0.24994659260841701"/>
        </lef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9" formatCode="&quot;$&quot;#,##0.0000;[Red]\-&quot;$&quot;#,##0.0000"/>
      <fill>
        <patternFill patternType="none">
          <fgColor indexed="64"/>
          <bgColor auto="1"/>
        </patternFill>
      </fill>
      <border>
        <left style="thin">
          <color theme="0" tint="-0.24994659260841701"/>
        </left>
        <right style="thin">
          <color theme="0" tint="-0.24994659260841701"/>
        </right>
      </border>
    </dxf>
    <dxf>
      <numFmt numFmtId="165" formatCode="&quot;$&quot;#,##0.00_);[Red]\(&quot;$&quot;#,##0.00\)"/>
      <fill>
        <patternFill patternType="none">
          <fgColor indexed="64"/>
          <bgColor auto="1"/>
        </patternFill>
      </fill>
      <alignment horizontal="general" vertical="top" textRotation="0" wrapText="0" indent="0" justifyLastLine="0" shrinkToFit="0" readingOrder="0"/>
      <border>
        <right style="thin">
          <color theme="0" tint="-0.24994659260841701"/>
        </right>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right style="thin">
          <color theme="0" tint="-0.24994659260841701"/>
        </right>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right style="thin">
          <color theme="0" tint="-0.24994659260841701"/>
        </right>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4" formatCode="0.00%"/>
      <fill>
        <patternFill patternType="none">
          <fgColor indexed="64"/>
          <bgColor auto="1"/>
        </patternFill>
      </fill>
      <border diagonalUp="0" diagonalDown="0">
        <left style="thin">
          <color theme="0" tint="-0.24994659260841701"/>
        </left>
        <right/>
        <top style="thin">
          <color theme="0"/>
        </top>
        <bottom style="thin">
          <color theme="0"/>
        </bottom>
      </border>
    </dxf>
    <dxf>
      <numFmt numFmtId="14" formatCode="0.00%"/>
      <fill>
        <patternFill patternType="none">
          <fgColor indexed="64"/>
          <bgColor auto="1"/>
        </patternFill>
      </fill>
      <border diagonalUp="0" diagonalDown="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left style="thin">
          <color theme="0" tint="-0.24994659260841701"/>
        </left>
        <right style="thin">
          <color theme="0" tint="-0.24994659260841701"/>
        </right>
        <top style="thin">
          <color theme="0"/>
        </top>
        <bottom style="thin">
          <color theme="0"/>
        </bottom>
      </border>
    </dxf>
    <dxf>
      <numFmt numFmtId="14" formatCode="0.00%"/>
      <fill>
        <patternFill patternType="none">
          <fgColor indexed="64"/>
          <bgColor auto="1"/>
        </patternFill>
      </fill>
      <border diagonalUp="0" diagonalDown="0">
        <left style="thin">
          <color theme="0" tint="-0.24994659260841701"/>
        </left>
        <right style="thin">
          <color theme="0" tint="-0.24994659260841701"/>
        </right>
        <top style="thin">
          <color theme="0"/>
        </top>
        <bottom style="thin">
          <color theme="0"/>
        </bottom>
      </border>
    </dxf>
    <dxf>
      <numFmt numFmtId="168" formatCode="0.0000"/>
      <fill>
        <patternFill patternType="none">
          <fgColor indexed="64"/>
          <bgColor auto="1"/>
        </patternFill>
      </fill>
      <alignment horizontal="general" vertical="top" textRotation="0" wrapText="0" indent="0" justifyLastLine="0" shrinkToFit="0" readingOrder="0"/>
      <border diagonalUp="0" diagonalDown="0">
        <left style="thin">
          <color theme="0"/>
        </left>
        <right style="thin">
          <color theme="0" tint="-0.24994659260841701"/>
        </right>
        <top style="thin">
          <color theme="0"/>
        </top>
        <bottom style="thin">
          <color theme="0"/>
        </bottom>
      </border>
    </dxf>
    <dxf>
      <border>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8" formatCode="0.0000"/>
      <fill>
        <patternFill patternType="none">
          <fgColor indexed="64"/>
          <bgColor auto="1"/>
        </patternFill>
      </fill>
      <border>
        <left style="thin">
          <color theme="0" tint="-0.24994659260841701"/>
        </left>
      </border>
    </dxf>
    <dxf>
      <numFmt numFmtId="168" formatCode="0.0000"/>
      <fill>
        <patternFill patternType="none">
          <fgColor indexed="64"/>
          <bgColor auto="1"/>
        </patternFill>
      </fill>
      <border>
        <left style="thin">
          <color theme="0" tint="-0.24994659260841701"/>
        </left>
        <right style="thin">
          <color theme="0" tint="-0.24994659260841701"/>
        </right>
      </border>
    </dxf>
    <dxf>
      <numFmt numFmtId="168" formatCode="0.0000"/>
      <fill>
        <patternFill patternType="none">
          <fgColor indexed="64"/>
          <bgColor auto="1"/>
        </patternFill>
      </fill>
      <border>
        <left style="thin">
          <color theme="0" tint="-0.24994659260841701"/>
        </left>
        <right style="thin">
          <color theme="0" tint="-0.24994659260841701"/>
        </right>
      </border>
    </dxf>
    <dxf>
      <numFmt numFmtId="168" formatCode="0.0000"/>
      <fill>
        <patternFill patternType="none">
          <fgColor indexed="64"/>
          <bgColor auto="1"/>
        </patternFill>
      </fill>
      <border>
        <left style="thin">
          <color theme="0" tint="-0.24994659260841701"/>
        </left>
        <right style="thin">
          <color theme="0" tint="-0.24994659260841701"/>
        </right>
      </border>
    </dxf>
    <dxf>
      <numFmt numFmtId="168" formatCode="0.0000"/>
      <fill>
        <patternFill patternType="none">
          <fgColor indexed="64"/>
          <bgColor auto="1"/>
        </patternFill>
      </fill>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left style="thin">
          <color theme="0" tint="-0.24994659260841701"/>
        </left>
      </border>
    </dxf>
    <dxf>
      <numFmt numFmtId="14" formatCode="0.00%"/>
      <fill>
        <patternFill patternType="none">
          <fgColor indexed="64"/>
          <bgColor auto="1"/>
        </patternFill>
      </fill>
      <border>
        <left style="thin">
          <color theme="0" tint="-0.24994659260841701"/>
        </left>
        <right style="thin">
          <color theme="0" tint="-0.24994659260841701"/>
        </right>
      </border>
    </dxf>
    <dxf>
      <numFmt numFmtId="0" formatCode="General"/>
      <fill>
        <patternFill patternType="none">
          <fgColor indexed="64"/>
          <bgColor auto="1"/>
        </patternFill>
      </fill>
      <border>
        <right style="thin">
          <color theme="0" tint="-0.24994659260841701"/>
        </right>
      </border>
    </dxf>
    <dxf>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alignment horizontal="general" vertical="top" textRotation="0" wrapText="0" indent="0" justifyLastLine="0" shrinkToFit="0" readingOrder="0"/>
      <border>
        <left style="thin">
          <color theme="0" tint="-0.24994659260841701"/>
        </left>
      </border>
    </dxf>
    <dxf>
      <numFmt numFmtId="169" formatCode="&quot;$&quot;#,##0.0000;[Red]\-&quot;$&quot;#,##0.0000"/>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alignment horizontal="general" vertical="top" textRotation="0" wrapText="0" indent="0" justifyLastLine="0" shrinkToFit="0" readingOrder="0"/>
      <border>
        <left style="thin">
          <color theme="0" tint="-0.24994659260841701"/>
        </left>
        <right style="thin">
          <color theme="0" tint="-0.24994659260841701"/>
        </right>
      </border>
    </dxf>
    <dxf>
      <numFmt numFmtId="169" formatCode="&quot;$&quot;#,##0.0000;[Red]\-&quot;$&quot;#,##0.0000"/>
      <alignment horizontal="general" vertical="top" textRotation="0" wrapText="0" indent="0" justifyLastLine="0" shrinkToFit="0" readingOrder="0"/>
      <border>
        <right style="thin">
          <color theme="0" tint="-0.24994659260841701"/>
        </right>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border>
        <left style="thin">
          <color theme="0" tint="-0.24994659260841701"/>
        </left>
      </border>
    </dxf>
    <dxf>
      <numFmt numFmtId="165" formatCode="&quot;$&quot;#,##0.00_);[Red]\(&quot;$&quot;#,##0.00\)"/>
      <alignment horizontal="general" vertical="top" textRotation="0" wrapText="1" indent="0" justifyLastLine="0" shrinkToFit="0" readingOrder="0"/>
      <border>
        <left style="thin">
          <color theme="0" tint="-0.24994659260841701"/>
        </left>
        <right style="thin">
          <color theme="0" tint="-0.24994659260841701"/>
        </right>
      </border>
    </dxf>
    <dxf>
      <numFmt numFmtId="165" formatCode="&quot;$&quot;#,##0.00_);[Red]\(&quot;$&quot;#,##0.00\)"/>
      <alignment horizontal="general" vertical="top" textRotation="0" wrapText="1" indent="0" justifyLastLine="0" shrinkToFit="0" readingOrder="0"/>
      <border>
        <left style="thin">
          <color theme="0" tint="-0.24994659260841701"/>
        </left>
        <right style="thin">
          <color theme="0" tint="-0.24994659260841701"/>
        </right>
      </border>
    </dxf>
    <dxf>
      <numFmt numFmtId="165" formatCode="&quot;$&quot;#,##0.00_);[Red]\(&quot;$&quot;#,##0.00\)"/>
      <alignment horizontal="general" vertical="top" textRotation="0" wrapText="1" indent="0" justifyLastLine="0" shrinkToFit="0" readingOrder="0"/>
      <border>
        <left style="thin">
          <color theme="0" tint="-0.24994659260841701"/>
        </left>
        <right style="thin">
          <color theme="0" tint="-0.24994659260841701"/>
        </right>
      </border>
    </dxf>
    <dxf>
      <numFmt numFmtId="165" formatCode="&quot;$&quot;#,##0.00_);[Red]\(&quot;$&quot;#,##0.00\)"/>
      <alignment horizontal="general" vertical="top" textRotation="0" wrapText="1" indent="0" justifyLastLine="0" shrinkToFit="0" readingOrder="0"/>
      <border>
        <right style="thin">
          <color theme="0" tint="-0.24994659260841701"/>
        </right>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fill>
        <patternFill patternType="none">
          <fgColor indexed="64"/>
          <bgColor auto="1"/>
        </patternFill>
      </fill>
      <border>
        <right style="thin">
          <color theme="0" tint="-0.24994659260841701"/>
        </right>
      </border>
    </dxf>
    <dxf>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border>
    </dxf>
    <dxf>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border>
    </dxf>
    <dxf>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border>
    </dxf>
    <dxf>
      <border outline="0">
        <top style="thin">
          <color theme="0" tint="-0.24994659260841701"/>
        </top>
      </border>
    </dxf>
    <dxf>
      <border outline="0">
        <top style="thin">
          <color theme="0"/>
        </top>
        <bottom style="thin">
          <color theme="0" tint="-0.24994659260841701"/>
        </bottom>
      </border>
    </dxf>
    <dxf>
      <fill>
        <patternFill patternType="none">
          <fgColor indexed="64"/>
          <bgColor auto="1"/>
        </patternFill>
      </fill>
    </dxf>
    <dxf>
      <border outline="0">
        <bottom style="thin">
          <color theme="0"/>
        </bottom>
      </border>
    </dxf>
    <dxf>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0"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numFmt numFmtId="169" formatCode="&quot;$&quot;#,##0.0000;[Red]\-&quot;$&quot;#,##0.0000"/>
      <fill>
        <patternFill patternType="none">
          <fgColor indexed="64"/>
          <bgColor auto="1"/>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left style="thin">
          <color theme="0" tint="-0.24994659260841701"/>
        </left>
        <right style="thin">
          <color theme="0" tint="-0.24994659260841701"/>
        </right>
      </border>
    </dxf>
    <dxf>
      <fill>
        <patternFill patternType="none">
          <fgColor indexed="64"/>
          <bgColor auto="1"/>
        </patternFill>
      </fill>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numFmt numFmtId="169" formatCode="&quot;$&quot;#,##0.0000;[Red]\-&quot;$&quot;#,##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vertical/>
        <horizontal/>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numFmt numFmtId="168"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8"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8"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8"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numFmt numFmtId="168" formatCode="0.0000"/>
      <fill>
        <patternFill patternType="solid">
          <fgColor indexed="64"/>
          <bgColor rgb="FF92D050"/>
        </patternFill>
      </fill>
      <alignment horizontal="general" vertical="top" textRotation="0" wrapText="0" indent="0" justifyLastLine="0" shrinkToFit="0" readingOrder="0"/>
      <border diagonalUp="0" diagonalDown="0">
        <left style="thin">
          <color theme="0" tint="-0.24994659260841701"/>
        </left>
        <right style="thin">
          <color theme="0" tint="-0.24994659260841701"/>
        </right>
        <top/>
        <bottom/>
      </border>
    </dxf>
    <dxf>
      <border>
        <right style="thin">
          <color theme="0" tint="-0.24994659260841701"/>
        </right>
      </border>
    </dxf>
    <dxf>
      <border outline="0">
        <right style="thin">
          <color theme="0"/>
        </right>
        <top style="thin">
          <color theme="0"/>
        </top>
      </border>
    </dxf>
    <dxf>
      <border outline="0">
        <bottom style="thin">
          <color theme="0"/>
        </bottom>
      </border>
    </dxf>
    <dxf>
      <border diagonalUp="0" diagonalDown="0" outline="0">
        <left style="thin">
          <color theme="0"/>
        </left>
        <right style="thin">
          <color theme="0"/>
        </right>
        <top/>
        <bottom/>
      </border>
    </dxf>
    <dxf>
      <numFmt numFmtId="168" formatCode="0.0000"/>
      <border>
        <left style="thin">
          <color theme="0" tint="-0.24994659260841701"/>
        </left>
      </border>
    </dxf>
    <dxf>
      <numFmt numFmtId="168" formatCode="0.0000"/>
      <border>
        <left style="thin">
          <color theme="0" tint="-0.24994659260841701"/>
        </left>
        <right style="thin">
          <color theme="0" tint="-0.24994659260841701"/>
        </right>
      </border>
    </dxf>
    <dxf>
      <numFmt numFmtId="168" formatCode="0.0000"/>
      <border>
        <left style="thin">
          <color theme="0" tint="-0.24994659260841701"/>
        </left>
        <right style="thin">
          <color theme="0" tint="-0.24994659260841701"/>
        </right>
      </border>
    </dxf>
    <dxf>
      <numFmt numFmtId="168" formatCode="0.0000"/>
      <border>
        <left style="thin">
          <color theme="0" tint="-0.24994659260841701"/>
        </left>
        <right style="thin">
          <color theme="0" tint="-0.24994659260841701"/>
        </right>
      </border>
    </dxf>
    <dxf>
      <numFmt numFmtId="168" formatCode="0.0000"/>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fill>
        <patternFill patternType="none">
          <fgColor indexed="64"/>
          <bgColor auto="1"/>
        </patternFill>
      </fill>
      <border>
        <left style="thin">
          <color theme="0" tint="-0.24994659260841701"/>
        </left>
      </border>
    </dxf>
    <dxf>
      <numFmt numFmtId="14" formatCode="0.00%"/>
      <fill>
        <patternFill patternType="none">
          <fgColor indexed="64"/>
          <bgColor auto="1"/>
        </patternFill>
      </fill>
      <alignment horizontal="general" vertical="top" textRotation="0" wrapText="0" indent="0" justifyLastLine="0" shrinkToFit="0" readingOrder="0"/>
      <border>
        <left style="thin">
          <color theme="0" tint="-0.24994659260841701"/>
        </left>
        <right style="thin">
          <color theme="0" tint="-0.24994659260841701"/>
        </right>
      </border>
    </dxf>
    <dxf>
      <numFmt numFmtId="0" formatCode="General"/>
      <fill>
        <patternFill patternType="none">
          <fgColor indexed="64"/>
          <bgColor auto="1"/>
        </patternFill>
      </fill>
      <border>
        <right style="thin">
          <color theme="0" tint="-0.24994659260841701"/>
        </right>
      </border>
    </dxf>
    <dxf>
      <border>
        <right style="thin">
          <color theme="0" tint="-0.24994659260841701"/>
        </right>
      </border>
    </dxf>
    <dxf>
      <border>
        <right style="thin">
          <color theme="0" tint="-0.24994659260841701"/>
        </right>
      </border>
    </dxf>
    <dxf>
      <border outline="0">
        <top style="thin">
          <color theme="0"/>
        </top>
        <bottom style="thin">
          <color theme="0" tint="-0.24994659260841701"/>
        </bottom>
      </border>
    </dxf>
    <dxf>
      <border outline="0">
        <bottom style="thin">
          <color theme="0"/>
        </bottom>
      </border>
    </dxf>
    <dxf>
      <border diagonalUp="0" diagonalDown="0" outline="0">
        <left style="thin">
          <color theme="0"/>
        </left>
        <right style="thin">
          <color theme="0"/>
        </right>
        <top/>
        <bottom/>
      </border>
    </dxf>
    <dxf>
      <border diagonalUp="0" diagonalDown="0">
        <left style="thin">
          <color theme="0"/>
        </left>
        <right style="thin">
          <color theme="0"/>
        </right>
        <top style="thin">
          <color theme="0"/>
        </top>
        <bottom/>
        <vertical/>
        <horizontal/>
      </border>
      <protection locked="1" hidden="0"/>
    </dxf>
    <dxf>
      <border diagonalUp="0" diagonalDown="0">
        <left style="thin">
          <color theme="0"/>
        </left>
        <right style="thin">
          <color theme="0"/>
        </right>
        <top style="thin">
          <color theme="0"/>
        </top>
        <bottom/>
        <vertical/>
        <horizontal/>
      </border>
      <protection locked="1" hidden="0"/>
    </dxf>
    <dxf>
      <fill>
        <patternFill patternType="solid">
          <fgColor indexed="64"/>
          <bgColor rgb="FFFFFF00"/>
        </patternFill>
      </fill>
      <border diagonalUp="0" diagonalDown="0">
        <left style="thin">
          <color theme="0"/>
        </left>
        <right style="thin">
          <color theme="0"/>
        </right>
        <top style="thin">
          <color theme="0"/>
        </top>
        <bottom/>
        <vertical/>
        <horizontal/>
      </border>
      <protection locked="1" hidden="0"/>
    </dxf>
    <dxf>
      <fill>
        <patternFill patternType="solid">
          <fgColor indexed="64"/>
          <bgColor rgb="FFFFFF00"/>
        </patternFill>
      </fill>
      <border diagonalUp="0" diagonalDown="0">
        <left style="thin">
          <color theme="0"/>
        </left>
        <right style="thin">
          <color theme="0"/>
        </right>
        <top style="thin">
          <color theme="0"/>
        </top>
        <bottom/>
        <vertical/>
        <horizontal/>
      </border>
      <protection locked="1" hidden="0"/>
    </dxf>
    <dxf>
      <border>
        <right style="thin">
          <color theme="0"/>
        </right>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border diagonalUp="0" diagonalDown="0">
        <left style="thin">
          <color theme="0"/>
        </left>
        <right/>
        <top style="thin">
          <color theme="0"/>
        </top>
        <bottom style="thin">
          <color theme="0"/>
        </bottom>
        <vertical/>
        <horizontal/>
      </border>
      <protection locked="1" hidden="0"/>
    </dxf>
    <dxf>
      <numFmt numFmtId="20" formatCode="d\-mmm\-yy"/>
      <protection locked="1" hidden="0"/>
    </dxf>
    <dxf>
      <protection locked="1" hidden="0"/>
    </dxf>
    <dxf>
      <border outline="0">
        <right style="thin">
          <color theme="0"/>
        </right>
        <top style="thin">
          <color theme="0"/>
        </top>
      </border>
    </dxf>
    <dxf>
      <protection locked="1" hidden="0"/>
    </dxf>
    <dxf>
      <border outline="0">
        <bottom style="thin">
          <color theme="0"/>
        </bottom>
      </border>
    </dxf>
    <dxf>
      <protection locked="1" hidden="0"/>
    </dxf>
    <dxf>
      <numFmt numFmtId="2" formatCode="0.00"/>
      <border diagonalUp="0" diagonalDown="0">
        <left style="thin">
          <color theme="0"/>
        </left>
        <right/>
        <top style="thin">
          <color theme="0"/>
        </top>
        <bottom style="thin">
          <color theme="0"/>
        </bottom>
        <vertical/>
        <horizontal/>
      </border>
      <protection locked="1" hidden="0"/>
    </dxf>
    <dxf>
      <numFmt numFmtId="20" formatCode="d\-mmm\-yy"/>
      <alignment horizontal="left" vertical="top" textRotation="0" wrapText="0" indent="0" justifyLastLine="0" shrinkToFit="0" readingOrder="0"/>
      <protection locked="1" hidden="0"/>
    </dxf>
    <dxf>
      <border outline="0">
        <right style="thin">
          <color theme="0"/>
        </right>
        <top style="thin">
          <color theme="0"/>
        </top>
      </border>
    </dxf>
    <dxf>
      <protection locked="1" hidden="0"/>
    </dxf>
    <dxf>
      <border outline="0">
        <bottom style="thin">
          <color theme="0"/>
        </bottom>
      </border>
    </dxf>
    <dxf>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protection locked="1" hidden="0"/>
    </dxf>
    <dxf>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border diagonalUp="0" diagonalDown="0">
        <left style="thin">
          <color theme="0"/>
        </left>
        <right style="thin">
          <color theme="0"/>
        </right>
        <top style="thin">
          <color theme="0"/>
        </top>
        <bottom/>
        <vertical/>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alignment horizontal="left"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protection locked="1" hidden="0"/>
    </dxf>
    <dxf>
      <border outline="0">
        <top style="thin">
          <color theme="0"/>
        </top>
      </border>
    </dxf>
    <dxf>
      <border outline="0">
        <bottom style="thin">
          <color theme="0"/>
        </bottom>
      </border>
    </dxf>
    <dxf>
      <protection locked="1" hidden="0"/>
    </dxf>
    <dxf>
      <border outline="0">
        <bottom style="thin">
          <color theme="0"/>
        </bottom>
      </border>
    </dxf>
    <dxf>
      <protection locked="1" hidden="0"/>
    </dxf>
    <dxf>
      <numFmt numFmtId="20" formatCode="d\-mmm\-yy"/>
      <alignment horizontal="center" vertical="center" textRotation="0" wrapText="0" indent="0" justifyLastLine="0" shrinkToFit="0" readingOrder="0"/>
      <border diagonalUp="0" diagonalDown="0">
        <left style="thin">
          <color theme="0"/>
        </left>
        <right/>
        <top style="thin">
          <color theme="0"/>
        </top>
        <bottom style="thin">
          <color theme="0"/>
        </bottom>
        <vertical/>
        <horizontal/>
      </border>
      <protection locked="1" hidden="0"/>
    </dxf>
    <dxf>
      <numFmt numFmtId="20" formatCode="d\-mmm\-yy"/>
      <alignment horizontal="center" vertical="center" textRotation="0" wrapText="0" indent="0" justifyLastLine="0" shrinkToFit="0" readingOrder="0"/>
      <protection locked="1" hidden="0"/>
    </dxf>
    <dxf>
      <numFmt numFmtId="0" formatCode="General"/>
      <alignment horizontal="left" vertical="center" textRotation="0" wrapText="0" indent="0" justifyLastLine="0" shrinkToFit="0" readingOrder="0"/>
      <border diagonalUp="0" diagonalDown="0">
        <left/>
        <right/>
        <top style="thin">
          <color theme="0"/>
        </top>
        <bottom style="thin">
          <color theme="0"/>
        </bottom>
        <vertical/>
        <horizontal/>
      </border>
      <protection locked="1" hidden="0"/>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protection locked="1" hidden="0"/>
    </dxf>
    <dxf>
      <border outline="0">
        <right style="thin">
          <color theme="0"/>
        </right>
        <top style="thin">
          <color theme="0"/>
        </top>
      </border>
    </dxf>
    <dxf>
      <numFmt numFmtId="0" formatCode="General"/>
      <protection locked="1" hidden="0"/>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left style="thin">
          <color theme="0"/>
        </left>
        <right style="thin">
          <color theme="0"/>
        </right>
        <top/>
        <bottom/>
      </border>
      <protection locked="1" hidden="0"/>
    </dxf>
    <dxf>
      <protection locked="1" hidden="0"/>
    </dxf>
    <dxf>
      <border>
        <right style="thin">
          <color theme="0"/>
        </right>
      </border>
      <protection locked="1" hidden="0"/>
    </dxf>
    <dxf>
      <protection locked="1" hidden="0"/>
    </dxf>
    <dxf>
      <protection locked="1" hidden="0"/>
    </dxf>
    <dxf>
      <fill>
        <patternFill>
          <fgColor indexed="64"/>
          <bgColor rgb="FF92D050"/>
        </patternFill>
      </fill>
      <protection locked="1" hidden="0"/>
    </dxf>
    <dxf>
      <protection locked="1" hidden="0"/>
    </dxf>
    <dxf>
      <fill>
        <patternFill>
          <fgColor indexed="64"/>
          <bgColor rgb="FF92D050"/>
        </patternFill>
      </fill>
      <protection locked="1" hidden="0"/>
    </dxf>
    <dxf>
      <protection locked="1" hidden="0"/>
    </dxf>
    <dxf>
      <protection locked="1" hidden="0"/>
    </dxf>
    <dxf>
      <protection locked="1" hidden="0"/>
    </dxf>
    <dxf>
      <protection locked="1" hidden="0"/>
    </dxf>
    <dxf>
      <protection locked="1" hidden="0"/>
    </dxf>
    <dxf>
      <border diagonalUp="0" diagonalDown="0">
        <left style="thin">
          <color theme="0"/>
        </left>
        <right/>
        <top style="thin">
          <color theme="0"/>
        </top>
        <bottom style="thin">
          <color theme="0"/>
        </bottom>
        <vertical/>
        <horizontal/>
      </border>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3" formatCode="#,##0"/>
      <alignment horizontal="right" vertical="center" textRotation="0" wrapText="0" indent="0" justifyLastLine="0" shrinkToFit="0" readingOrder="0"/>
      <protection locked="1" hidden="0"/>
    </dxf>
    <dxf>
      <alignment horizontal="center" vertical="top" textRotation="0" wrapText="0" indent="0" justifyLastLine="0" shrinkToFit="0" readingOrder="0"/>
      <protection locked="1" hidden="0"/>
    </dxf>
    <dxf>
      <alignment horizontal="center" vertical="top" textRotation="0" wrapText="0" indent="0" justifyLastLine="0" shrinkToFit="0" readingOrder="0"/>
      <protection locked="1" hidden="0"/>
    </dxf>
    <dxf>
      <alignment horizontal="center" vertical="top" textRotation="0" wrapText="0" indent="0" justifyLastLine="0" shrinkToFit="0" readingOrder="0"/>
      <protection locked="1" hidden="0"/>
    </dxf>
    <dxf>
      <alignment horizontal="left" vertical="top" textRotation="0" wrapText="0" indent="0" justifyLastLine="0" shrinkToFit="0" readingOrder="0"/>
      <protection locked="1" hidden="0"/>
    </dxf>
    <dxf>
      <alignment horizontal="left" vertical="top" textRotation="0" wrapText="0" indent="0" justifyLastLine="0" shrinkToFit="0" readingOrder="0"/>
      <protection locked="1" hidden="0"/>
    </dxf>
    <dxf>
      <border outline="0">
        <right style="thin">
          <color theme="0"/>
        </right>
        <top style="thin">
          <color theme="0"/>
        </top>
      </border>
    </dxf>
    <dxf>
      <protection locked="1" hidden="0"/>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center" vertical="top" textRotation="0" wrapText="0" indent="0" justifyLastLine="0" shrinkToFit="0" readingOrder="0"/>
      <border diagonalUp="0" diagonalDown="0">
        <left style="thin">
          <color theme="0"/>
        </left>
        <right style="thin">
          <color theme="0"/>
        </right>
        <top/>
        <bottom/>
      </border>
      <protection locked="1" hidden="0"/>
    </dxf>
    <dxf>
      <alignment horizontal="left" vertical="center" textRotation="0" wrapText="0" indent="0" justifyLastLine="0" shrinkToFit="0" readingOrder="0"/>
      <border diagonalUp="0" diagonalDown="0">
        <left style="thin">
          <color theme="0"/>
        </left>
        <right/>
        <top style="thin">
          <color theme="0"/>
        </top>
        <bottom style="thin">
          <color theme="0"/>
        </bottom>
        <vertical/>
        <horizontal/>
      </border>
      <protection locked="1" hidden="0"/>
    </dxf>
    <dxf>
      <alignment horizontal="left" vertical="center" textRotation="0" wrapText="0" indent="0" justifyLastLine="0" shrinkToFit="0" readingOrder="0"/>
      <protection locked="1" hidden="0"/>
    </dxf>
    <dxf>
      <alignment horizontal="left" vertical="center" textRotation="0" wrapText="0" indent="0" justifyLastLine="0" shrinkToFit="0" readingOrder="0"/>
      <border diagonalUp="0" diagonalDown="0">
        <left/>
        <right style="thin">
          <color theme="0"/>
        </right>
        <top style="thin">
          <color theme="0"/>
        </top>
        <bottom style="thin">
          <color theme="0"/>
        </bottom>
        <vertical/>
        <horizontal/>
      </border>
      <protection locked="1" hidden="0"/>
    </dxf>
    <dxf>
      <border outline="0">
        <top style="thin">
          <color theme="0"/>
        </top>
      </border>
    </dxf>
    <dxf>
      <border outline="0">
        <left style="thin">
          <color theme="0"/>
        </left>
        <right style="thin">
          <color theme="0"/>
        </right>
        <top style="thin">
          <color theme="0"/>
        </top>
        <bottom style="thin">
          <color theme="0"/>
        </bottom>
      </border>
    </dxf>
    <dxf>
      <protection locked="1" hidden="0"/>
    </dxf>
    <dxf>
      <border outline="0">
        <bottom style="thin">
          <color theme="0"/>
        </bottom>
      </border>
    </dxf>
    <dxf>
      <protection locked="1" hidden="0"/>
    </dxf>
    <dxf>
      <font>
        <strike val="0"/>
        <outline val="0"/>
        <shadow val="0"/>
        <u val="none"/>
        <vertAlign val="baseline"/>
        <sz val="11"/>
        <color rgb="FFFF0000"/>
        <name val="Calibri"/>
        <family val="2"/>
        <scheme val="minor"/>
      </font>
      <numFmt numFmtId="2" formatCode="0.00"/>
      <fill>
        <patternFill patternType="solid">
          <fgColor indexed="64"/>
          <bgColor theme="7" tint="0.59999389629810485"/>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protection locked="1" hidden="0"/>
    </dxf>
    <dxf>
      <numFmt numFmtId="2" formatCode="0.00"/>
      <fill>
        <patternFill patternType="solid">
          <fgColor indexed="64"/>
          <bgColor theme="7" tint="0.59999389629810485"/>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protection locked="1" hidden="0"/>
    </dxf>
    <dxf>
      <font>
        <color auto="1"/>
      </font>
      <numFmt numFmtId="168" formatCode="0.0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border>
      <protection locked="1" hidden="0"/>
    </dxf>
    <dxf>
      <font>
        <strike val="0"/>
        <outline val="0"/>
        <shadow val="0"/>
        <u val="none"/>
        <vertAlign val="baseline"/>
        <sz val="11"/>
        <color auto="1"/>
        <name val="Calibri"/>
        <family val="2"/>
        <scheme val="none"/>
      </font>
      <numFmt numFmtId="168" formatCode="0.0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style="thin">
          <color theme="0"/>
        </right>
        <top/>
        <bottom style="thin">
          <color theme="0"/>
        </bottom>
        <vertical/>
        <horizontal/>
      </border>
      <protection locked="1" hidden="0"/>
    </dxf>
    <dxf>
      <numFmt numFmtId="2" formatCode="0.00"/>
      <fill>
        <patternFill patternType="solid">
          <fgColor indexed="64"/>
          <bgColor rgb="FF92D050"/>
        </patternFill>
      </fill>
      <alignment horizontal="right" vertical="center" textRotation="0" wrapText="0" indent="0" justifyLastLine="0" shrinkToFit="0" readingOrder="0"/>
      <border diagonalUp="0" diagonalDown="0">
        <left style="thin">
          <color theme="0"/>
        </left>
        <right/>
        <top/>
        <bottom style="thin">
          <color theme="0"/>
        </bottom>
      </border>
      <protection locked="1" hidden="0"/>
    </dxf>
    <dxf>
      <numFmt numFmtId="168" formatCode="0.0000"/>
      <alignment horizontal="righ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1" hidden="0"/>
    </dxf>
    <dxf>
      <numFmt numFmtId="168" formatCode="0.0000"/>
      <alignment horizontal="right" vertical="center" textRotation="0" wrapText="0" indent="0" justifyLastLine="0" shrinkToFit="0" readingOrder="0"/>
      <border diagonalUp="0" diagonalDown="0">
        <left style="thin">
          <color theme="0"/>
        </left>
        <right/>
        <top style="thin">
          <color theme="0"/>
        </top>
        <bottom style="thin">
          <color theme="0"/>
        </bottom>
      </border>
      <protection locked="1" hidden="0"/>
    </dxf>
    <dxf>
      <numFmt numFmtId="168" formatCode="0.0000"/>
      <alignment horizontal="right" vertical="center" textRotation="0" wrapText="0" indent="0" justifyLastLine="0" shrinkToFit="0" readingOrder="0"/>
      <border diagonalUp="0" diagonalDown="0">
        <left style="thin">
          <color theme="0"/>
        </left>
        <right/>
        <top style="thin">
          <color theme="0"/>
        </top>
        <bottom style="thin">
          <color theme="0"/>
        </bottom>
      </border>
      <protection locked="1" hidden="0"/>
    </dxf>
    <dxf>
      <numFmt numFmtId="168" formatCode="0.0000"/>
      <alignment horizontal="right" vertical="center" textRotation="0" wrapText="0" indent="0" justifyLastLine="0" shrinkToFit="0" readingOrder="0"/>
      <border diagonalUp="0" diagonalDown="0">
        <left style="thin">
          <color theme="0"/>
        </left>
        <right/>
        <top style="thin">
          <color theme="0"/>
        </top>
        <bottom style="thin">
          <color theme="0"/>
        </bottom>
      </border>
      <protection locked="1" hidden="0"/>
    </dxf>
    <dxf>
      <numFmt numFmtId="168" formatCode="0.0000"/>
      <alignment horizontal="right" vertical="center" textRotation="0" wrapText="0" indent="0" justifyLastLine="0" shrinkToFit="0" readingOrder="0"/>
      <protection locked="1" hidden="0"/>
    </dxf>
    <dxf>
      <numFmt numFmtId="168" formatCode="0.00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border outline="0">
        <right style="thin">
          <color theme="0"/>
        </right>
        <top style="thin">
          <color theme="0"/>
        </top>
      </border>
    </dxf>
    <dxf>
      <protection locked="1" hidden="0"/>
    </dxf>
    <dxf>
      <border outline="0">
        <bottom style="thin">
          <color theme="0"/>
        </bottom>
      </border>
    </dxf>
    <dxf>
      <border diagonalUp="0" diagonalDown="0">
        <left style="thin">
          <color theme="0"/>
        </left>
        <right style="thin">
          <color theme="0"/>
        </right>
        <top/>
        <bottom/>
      </border>
      <protection locked="1" hidden="0"/>
    </dxf>
    <dxf>
      <numFmt numFmtId="3" formatCode="#,##0"/>
      <alignment horizontal="right" vertical="center" textRotation="0" wrapText="0" indent="0" justifyLastLine="0" shrinkToFit="0" readingOrder="0"/>
      <protection locked="1" hidden="0"/>
    </dxf>
    <dxf>
      <numFmt numFmtId="3" formatCode="#,##0"/>
      <alignment horizontal="right" vertical="center" textRotation="0" wrapText="0" indent="0" justifyLastLine="0" shrinkToFit="0" readingOrder="0"/>
      <protection locked="1" hidden="0"/>
    </dxf>
    <dxf>
      <numFmt numFmtId="3" formatCode="#,##0"/>
      <fill>
        <patternFill patternType="solid">
          <fgColor indexed="64"/>
          <bgColor rgb="FF92D050"/>
        </patternFill>
      </fill>
      <alignment horizontal="right" vertical="center" textRotation="0" wrapText="0" indent="0" justifyLastLine="0" shrinkToFit="0" readingOrder="0"/>
      <border>
        <left style="thin">
          <color theme="0"/>
        </left>
        <right style="thin">
          <color theme="0"/>
        </right>
      </border>
      <protection locked="1" hidden="0"/>
    </dxf>
    <dxf>
      <numFmt numFmtId="3" formatCode="#,##0"/>
      <fill>
        <patternFill patternType="solid">
          <fgColor indexed="64"/>
          <bgColor rgb="FF92D050"/>
        </patternFill>
      </fill>
      <alignment horizontal="right" vertical="center" textRotation="0" wrapText="0" indent="0" justifyLastLine="0" shrinkToFit="0" readingOrder="0"/>
      <border>
        <left style="thin">
          <color theme="0"/>
        </left>
        <right style="thin">
          <color theme="0"/>
        </right>
      </border>
      <protection locked="1" hidden="0"/>
    </dxf>
    <dxf>
      <numFmt numFmtId="3" formatCode="#,##0"/>
      <alignment horizontal="right" vertical="center" textRotation="0" wrapText="0" indent="0" justifyLastLine="0" shrinkToFit="0" readingOrder="0"/>
      <border>
        <left style="thin">
          <color theme="0"/>
        </left>
        <right style="thin">
          <color theme="0"/>
        </right>
      </border>
      <protection locked="1" hidden="0"/>
    </dxf>
    <dxf>
      <numFmt numFmtId="3" formatCode="#,##0"/>
      <alignment horizontal="right" vertical="center" textRotation="0" wrapText="0" indent="0" justifyLastLine="0" shrinkToFit="0" readingOrder="0"/>
      <border>
        <left style="thin">
          <color theme="0"/>
        </left>
        <right style="thin">
          <color theme="0"/>
        </right>
      </border>
      <protection locked="1" hidden="0"/>
    </dxf>
    <dxf>
      <numFmt numFmtId="3" formatCode="#,##0"/>
      <alignment horizontal="right" vertical="center" textRotation="0" wrapText="0" indent="0" justifyLastLine="0" shrinkToFit="0" readingOrder="0"/>
      <border>
        <left style="thin">
          <color theme="0"/>
        </left>
      </border>
      <protection locked="1" hidden="0"/>
    </dxf>
    <dxf>
      <numFmt numFmtId="3" formatCode="#,##0"/>
      <alignment horizontal="right" vertical="center" textRotation="0" wrapText="0" indent="0" justifyLastLine="0" shrinkToFit="0" readingOrder="0"/>
      <border>
        <left style="thin">
          <color theme="0"/>
        </left>
        <right style="thin">
          <color theme="0"/>
        </right>
      </border>
      <protection locked="1" hidden="0"/>
    </dxf>
    <dxf>
      <numFmt numFmtId="3" formatCode="#,##0"/>
      <alignment horizontal="right" vertical="center" textRotation="0" wrapText="0" indent="0" justifyLastLine="0" shrinkToFit="0" readingOrder="0"/>
      <border>
        <left style="thin">
          <color theme="0"/>
        </left>
        <right style="thin">
          <color theme="0"/>
        </right>
      </border>
      <protection locked="1" hidden="0"/>
    </dxf>
    <dxf>
      <numFmt numFmtId="3" formatCode="#,##0"/>
      <alignment horizontal="right" vertical="center" textRotation="0" wrapText="0" indent="0" justifyLastLine="0" shrinkToFit="0" readingOrder="0"/>
      <border>
        <left style="thin">
          <color theme="0"/>
        </left>
        <right style="thin">
          <color theme="0"/>
        </right>
      </border>
      <protection locked="1" hidden="0"/>
    </dxf>
    <dxf>
      <numFmt numFmtId="3" formatCode="#,##0"/>
      <alignment horizontal="right" vertical="center" textRotation="0" wrapText="0" indent="0" justifyLastLine="0" shrinkToFit="0" readingOrder="0"/>
      <protection locked="1" hidden="0"/>
    </dxf>
    <dxf>
      <border>
        <right style="thin">
          <color theme="0"/>
        </right>
      </border>
      <protection locked="1" hidden="0"/>
    </dxf>
    <dxf>
      <border>
        <right style="thin">
          <color theme="0"/>
        </right>
      </border>
      <protection locked="1" hidden="0"/>
    </dxf>
    <dxf>
      <protection locked="1" hidden="0"/>
    </dxf>
    <dxf>
      <protection locked="1" hidden="0"/>
    </dxf>
    <dxf>
      <protection locked="1" hidden="0"/>
    </dxf>
    <dxf>
      <border outline="0">
        <right style="thin">
          <color theme="0"/>
        </right>
        <top style="thin">
          <color theme="0"/>
        </top>
      </border>
    </dxf>
    <dxf>
      <protection locked="1" hidden="0"/>
    </dxf>
    <dxf>
      <border outline="0">
        <bottom style="thin">
          <color theme="0"/>
        </bottom>
      </border>
    </dxf>
    <dxf>
      <border diagonalUp="0" diagonalDown="0">
        <left style="thin">
          <color theme="0"/>
        </left>
        <right style="thin">
          <color theme="0"/>
        </right>
        <top/>
        <bottom/>
      </border>
      <protection locked="1" hidden="0"/>
    </dxf>
    <dxf>
      <font>
        <strike val="0"/>
        <outline val="0"/>
        <shadow val="0"/>
        <u val="none"/>
        <vertAlign val="baseline"/>
        <sz val="11"/>
        <color auto="1"/>
        <name val="Calibri"/>
        <family val="2"/>
        <scheme val="minor"/>
      </font>
      <numFmt numFmtId="168" formatCode="0.0000"/>
      <fill>
        <patternFill patternType="solid">
          <fgColor indexed="64"/>
          <bgColor theme="8" tint="0.59999389629810485"/>
        </patternFill>
      </fill>
      <alignment horizontal="right" vertical="center" textRotation="0" wrapText="0" indent="0" justifyLastLine="0" shrinkToFit="0" readingOrder="0"/>
      <protection locked="1" hidden="0"/>
    </dxf>
    <dxf>
      <numFmt numFmtId="20" formatCode="d\-mmm\-yy"/>
      <fill>
        <patternFill patternType="solid">
          <fgColor indexed="64"/>
          <bgColor theme="8" tint="0.59999389629810485"/>
        </patternFill>
      </fill>
      <alignment horizontal="right" vertical="center" textRotation="0" wrapText="0" indent="0" justifyLastLine="0" shrinkToFit="0" readingOrder="0"/>
      <border>
        <left style="thin">
          <color theme="0"/>
        </left>
        <right style="thin">
          <color theme="0"/>
        </right>
      </border>
      <protection locked="1" hidden="0"/>
    </dxf>
    <dxf>
      <numFmt numFmtId="168" formatCode="0.0000"/>
      <fill>
        <patternFill patternType="solid">
          <fgColor indexed="64"/>
          <bgColor theme="7" tint="0.59999389629810485"/>
        </patternFill>
      </fill>
      <alignment horizontal="right" vertical="center" textRotation="0" wrapText="0" indent="0" justifyLastLine="0" shrinkToFit="0" readingOrder="0"/>
      <border>
        <left style="thin">
          <color theme="0"/>
        </left>
      </border>
      <protection locked="1" hidden="0"/>
    </dxf>
    <dxf>
      <numFmt numFmtId="20" formatCode="d\-mmm\-yy"/>
      <fill>
        <patternFill patternType="solid">
          <fgColor indexed="64"/>
          <bgColor theme="8" tint="0.59999389629810485"/>
        </patternFill>
      </fill>
      <alignment horizontal="right" vertical="center" textRotation="0" wrapText="0" indent="0" justifyLastLine="0" shrinkToFit="0" readingOrder="0"/>
      <border>
        <right style="thin">
          <color theme="0"/>
        </right>
      </border>
      <protection locked="1" hidden="0"/>
    </dxf>
    <dxf>
      <numFmt numFmtId="168" formatCode="0.0000"/>
      <fill>
        <patternFill patternType="solid">
          <fgColor indexed="64"/>
          <bgColor rgb="FFFFFF00"/>
        </patternFill>
      </fill>
      <alignment horizontal="right" vertical="center" textRotation="0" wrapText="0" indent="0" justifyLastLine="0" shrinkToFit="0" readingOrder="0"/>
      <border>
        <left style="thin">
          <color theme="0"/>
        </left>
        <right style="thin">
          <color theme="0"/>
        </right>
      </border>
      <protection locked="1" hidden="0"/>
    </dxf>
    <dxf>
      <numFmt numFmtId="20" formatCode="d\-mmm\-yy"/>
      <fill>
        <patternFill patternType="solid">
          <fgColor indexed="64"/>
          <bgColor rgb="FFFFFF00"/>
        </patternFill>
      </fill>
      <alignment horizontal="right" vertical="center" textRotation="0" wrapText="0" indent="0" justifyLastLine="0" shrinkToFit="0" readingOrder="0"/>
      <border>
        <left style="thin">
          <color theme="0"/>
        </left>
        <right style="thin">
          <color theme="0"/>
        </right>
      </border>
      <protection locked="1" hidden="0"/>
    </dxf>
    <dxf>
      <numFmt numFmtId="173" formatCode="0.00000"/>
      <fill>
        <patternFill patternType="solid">
          <fgColor indexed="64"/>
          <bgColor rgb="FFFFFF00"/>
        </patternFill>
      </fill>
      <alignment horizontal="right" vertical="center" textRotation="0" wrapText="0" indent="0" justifyLastLine="0" shrinkToFit="0" readingOrder="0"/>
      <border>
        <left style="thin">
          <color theme="0"/>
        </left>
        <right style="thin">
          <color theme="0"/>
        </right>
      </border>
      <protection locked="1" hidden="0"/>
    </dxf>
    <dxf>
      <numFmt numFmtId="20" formatCode="d\-mmm\-yy"/>
      <fill>
        <patternFill patternType="solid">
          <fgColor indexed="64"/>
          <bgColor rgb="FFFFFF00"/>
        </patternFill>
      </fill>
      <alignment horizontal="right" vertical="center" textRotation="0" wrapText="0" indent="0" justifyLastLine="0" shrinkToFit="0" readingOrder="0"/>
      <border>
        <right style="thin">
          <color theme="0"/>
        </right>
      </border>
      <protection locked="1" hidden="0"/>
    </dxf>
    <dxf>
      <numFmt numFmtId="168" formatCode="0.0000"/>
      <fill>
        <patternFill patternType="solid">
          <fgColor indexed="64"/>
          <bgColor rgb="FF92D050"/>
        </patternFill>
      </fill>
      <alignment horizontal="right" vertical="center" textRotation="0" wrapText="0" indent="0" justifyLastLine="0" shrinkToFit="0" readingOrder="0"/>
      <border>
        <right style="thin">
          <color theme="0"/>
        </right>
      </border>
      <protection locked="1" hidden="0"/>
    </dxf>
    <dxf>
      <numFmt numFmtId="20" formatCode="d\-mmm\-yy"/>
      <alignment horizontal="right" vertical="center" textRotation="0" wrapText="0" indent="0" justifyLastLine="0" shrinkToFit="0" readingOrder="0"/>
      <border>
        <right style="thin">
          <color theme="0"/>
        </right>
      </border>
      <protection locked="1" hidden="0"/>
    </dxf>
    <dxf>
      <numFmt numFmtId="173" formatCode="0.00000"/>
      <alignment horizontal="right" vertical="center" textRotation="0" wrapText="0" indent="0" justifyLastLine="0" shrinkToFit="0" readingOrder="0"/>
      <protection locked="1" hidden="0"/>
    </dxf>
    <dxf>
      <numFmt numFmtId="20" formatCode="d\-mmm\-yy"/>
      <alignment horizontal="right" vertical="center" textRotation="0" wrapText="0" indent="0" justifyLastLine="0" shrinkToFit="0" readingOrder="0"/>
      <protection locked="1" hidden="0"/>
    </dxf>
    <dxf>
      <numFmt numFmtId="173" formatCode="0.00000"/>
      <alignment horizontal="right" vertical="center" textRotation="0" wrapText="0" indent="0" justifyLastLine="0" shrinkToFit="0" readingOrder="0"/>
      <border>
        <left style="thin">
          <color theme="0"/>
        </left>
      </border>
      <protection locked="1" hidden="0"/>
    </dxf>
    <dxf>
      <numFmt numFmtId="20" formatCode="d\-mmm\-yy"/>
      <alignment horizontal="right" vertical="center" textRotation="0" wrapText="0" indent="0" justifyLastLine="0" shrinkToFit="0" readingOrder="0"/>
      <border>
        <left style="thin">
          <color theme="0"/>
        </left>
        <right style="thin">
          <color theme="0"/>
        </right>
      </border>
      <protection locked="1" hidden="0"/>
    </dxf>
    <dxf>
      <alignment horizontal="right" vertical="center" textRotation="0" wrapText="0" indent="0" justifyLastLine="0" shrinkToFit="0" readingOrder="0"/>
      <border>
        <left style="thin">
          <color theme="0"/>
        </left>
        <right style="thin">
          <color theme="0"/>
        </right>
      </border>
      <protection locked="1" hidden="0"/>
    </dxf>
    <dxf>
      <numFmt numFmtId="20" formatCode="d\-mmm\-yy"/>
      <alignment horizontal="right" vertical="center" textRotation="0" wrapText="0" indent="0" justifyLastLine="0" shrinkToFit="0" readingOrder="0"/>
      <border>
        <left style="thin">
          <color theme="0"/>
        </left>
        <right style="thin">
          <color theme="0"/>
        </right>
      </border>
      <protection locked="1" hidden="0"/>
    </dxf>
    <dxf>
      <alignment horizontal="right" vertical="center" textRotation="0" wrapText="0" indent="0" justifyLastLine="0" shrinkToFit="0" readingOrder="0"/>
      <border>
        <left style="thin">
          <color theme="0"/>
        </left>
        <right style="thin">
          <color theme="0"/>
        </right>
      </border>
      <protection locked="1" hidden="0"/>
    </dxf>
    <dxf>
      <numFmt numFmtId="20" formatCode="d\-mmm\-yy"/>
      <alignment horizontal="right" vertical="center" textRotation="0" wrapText="0" indent="0" justifyLastLine="0" shrinkToFit="0" readingOrder="0"/>
      <border>
        <left style="thin">
          <color theme="0"/>
        </left>
        <right style="thin">
          <color theme="0"/>
        </right>
      </border>
      <protection locked="1" hidden="0"/>
    </dxf>
    <dxf>
      <numFmt numFmtId="168" formatCode="0.0000"/>
      <alignment horizontal="right" vertical="center" textRotation="0" wrapText="0" indent="0" justifyLastLine="0" shrinkToFit="0" readingOrder="0"/>
      <border>
        <right style="thin">
          <color theme="0"/>
        </right>
      </border>
      <protection locked="1" hidden="0"/>
    </dxf>
    <dxf>
      <alignment horizontal="right" vertical="center" textRotation="0" wrapText="0" indent="0" justifyLastLine="0" shrinkToFit="0" readingOrder="0"/>
      <border>
        <right style="thin">
          <color theme="0"/>
        </right>
      </border>
      <protection locked="1" hidden="0"/>
    </dxf>
    <dxf>
      <alignment horizontal="right" vertical="center" textRotation="0" wrapText="0" indent="0" justifyLastLine="0" shrinkToFit="0" readingOrder="0"/>
      <border>
        <left style="thin">
          <color theme="0"/>
        </left>
        <right style="thin">
          <color theme="0"/>
        </right>
      </border>
      <protection locked="1" hidden="0"/>
    </dxf>
    <dxf>
      <numFmt numFmtId="20" formatCode="d\-mmm\-yy"/>
      <alignment horizontal="right" vertical="center" textRotation="0" wrapText="0" indent="0" justifyLastLine="0" shrinkToFit="0" readingOrder="0"/>
      <border>
        <right style="thin">
          <color theme="0"/>
        </right>
      </border>
      <protection locked="1" hidden="0"/>
    </dxf>
    <dxf>
      <border>
        <right style="thin">
          <color theme="0"/>
        </right>
      </border>
      <protection locked="1" hidden="0"/>
    </dxf>
    <dxf>
      <border>
        <right style="thin">
          <color theme="0"/>
        </right>
      </border>
      <protection locked="1" hidden="0"/>
    </dxf>
    <dxf>
      <protection locked="1" hidden="0"/>
    </dxf>
    <dxf>
      <protection locked="1" hidden="0"/>
    </dxf>
    <dxf>
      <protection locked="1" hidden="0"/>
    </dxf>
    <dxf>
      <border outline="0">
        <top style="thin">
          <color theme="0" tint="-0.24994659260841701"/>
        </top>
      </border>
    </dxf>
    <dxf>
      <border outline="0">
        <top style="thin">
          <color theme="0"/>
        </top>
        <bottom style="thin">
          <color theme="0" tint="-0.24994659260841701"/>
        </bottom>
      </border>
    </dxf>
    <dxf>
      <protection locked="1" hidden="0"/>
    </dxf>
    <dxf>
      <protection locked="1" hidden="0"/>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rgb="FFBFBFBF"/>
        </top>
      </border>
    </dxf>
    <dxf>
      <border outline="0">
        <top style="thin">
          <color rgb="FFFFFFFF"/>
        </top>
        <bottom style="thin">
          <color rgb="FFBFBFBF"/>
        </bottom>
      </border>
    </dxf>
    <dxf>
      <alignment horizontal="general" vertical="top" textRotation="0" wrapText="1" indent="0" justifyLastLine="0" shrinkToFit="0" readingOrder="0"/>
    </dxf>
    <dxf>
      <border outline="0">
        <bottom style="thin">
          <color rgb="FFFFFFFF"/>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numFmt numFmtId="164" formatCode="&quot;$&quot;#,##0_);[Red]\(&quot;$&quot;#,##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4" formatCode="&quot;$&quot;#,##0_);[Red]\(&quot;$&quot;#,##0\)"/>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numFmt numFmtId="164" formatCode="&quot;$&quot;#,##0_);[Red]\(&quot;$&quot;#,##0\)"/>
      <fill>
        <patternFill patternType="none">
          <fgColor indexed="64"/>
          <bgColor indexed="65"/>
        </patternFill>
      </fill>
      <alignment horizontal="general" vertical="top"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border>
    </dxf>
    <dxf>
      <numFmt numFmtId="164" formatCode="&quot;$&quot;#,##0_);[Red]\(&quot;$&quot;#,##0\)"/>
      <alignment horizontal="general" vertical="top" textRotation="0" wrapText="1" indent="0" justifyLastLine="0" shrinkToFit="0" readingOrder="0"/>
    </dxf>
    <dxf>
      <fill>
        <patternFill patternType="none">
          <fgColor indexed="64"/>
          <bgColor indexed="65"/>
        </patternFill>
      </fill>
      <border diagonalUp="0" diagonalDown="0" outline="0">
        <left style="thin">
          <color theme="0" tint="-0.24994659260841701"/>
        </left>
        <right style="thin">
          <color theme="0" tint="-0.24994659260841701"/>
        </right>
        <top style="thin">
          <color theme="0" tint="-0.24994659260841701"/>
        </top>
        <bottom/>
      </border>
    </dxf>
    <dxf>
      <border outline="0">
        <top style="thin">
          <color theme="0" tint="-0.24994659260841701"/>
        </top>
      </border>
    </dxf>
    <dxf>
      <border outline="0">
        <top style="thin">
          <color theme="0"/>
        </top>
        <bottom style="thin">
          <color theme="0" tint="-0.24994659260841701"/>
        </bottom>
      </border>
    </dxf>
    <dxf>
      <alignment horizontal="general" vertical="top" textRotation="0" wrapText="1" indent="0" justifyLastLine="0" shrinkToFit="0" readingOrder="0"/>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1"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numFmt numFmtId="165" formatCode="&quot;$&quot;#,##0.00_);[Red]\(&quot;$&quot;#,##0.00\)"/>
      <alignment horizontal="general" vertical="top" textRotation="0" wrapText="0" indent="0" justifyLastLine="0" shrinkToFit="0" readingOrder="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alignment horizontal="general" vertical="top" textRotation="0" wrapText="0" indent="0" justifyLastLine="0" shrinkToFit="0" readingOrder="0"/>
      <border>
        <left style="thin">
          <color theme="0" tint="-0.24994659260841701"/>
        </left>
      </border>
    </dxf>
    <dxf>
      <alignment horizontal="general" vertical="top" textRotation="0" wrapText="0" indent="0" justifyLastLine="0" shrinkToFit="0" readingOrder="0"/>
      <border>
        <left style="thin">
          <color theme="0" tint="-0.24994659260841701"/>
        </left>
        <right style="thin">
          <color theme="0" tint="-0.24994659260841701"/>
        </right>
      </border>
    </dxf>
    <dxf>
      <alignment horizontal="general" vertical="top" textRotation="0" wrapText="0" indent="0" justifyLastLine="0" shrinkToFit="0" readingOrder="0"/>
      <border>
        <left style="thin">
          <color theme="0" tint="-0.24994659260841701"/>
        </left>
        <right style="thin">
          <color theme="0" tint="-0.24994659260841701"/>
        </right>
      </border>
    </dxf>
    <dxf>
      <alignment horizontal="general" vertical="top" textRotation="0" wrapText="0" indent="0" justifyLastLine="0" shrinkToFit="0" readingOrder="0"/>
      <border>
        <left style="thin">
          <color theme="0" tint="-0.24994659260841701"/>
        </left>
        <right style="thin">
          <color theme="0" tint="-0.24994659260841701"/>
        </right>
      </border>
    </dxf>
    <dxf>
      <numFmt numFmtId="165" formatCode="&quot;$&quot;#,##0.00_);[Red]\(&quot;$&quot;#,##0.00\)"/>
      <alignment horizontal="general" vertical="top" textRotation="0" wrapText="0" indent="0" justifyLastLine="0" shrinkToFit="0" readingOrder="0"/>
      <border>
        <right style="thin">
          <color theme="0" tint="-0.24994659260841701"/>
        </right>
      </border>
    </dxf>
    <dxf>
      <border>
        <right style="thin">
          <color theme="0" tint="-0.24994659260841701"/>
        </right>
      </border>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left style="thin">
          <color theme="0" tint="-0.24994659260841701"/>
        </left>
      </border>
    </dxf>
    <dxf>
      <numFmt numFmtId="169" formatCode="&quot;$&quot;#,##0.0000;[Red]\-&quot;$&quot;#,##0.0000"/>
      <border>
        <left style="thin">
          <color theme="0" tint="-0.24994659260841701"/>
        </left>
        <right style="thin">
          <color theme="0" tint="-0.24994659260841701"/>
        </right>
      </border>
    </dxf>
    <dxf>
      <numFmt numFmtId="169" formatCode="&quot;$&quot;#,##0.0000;[Red]\-&quot;$&quot;#,##0.0000"/>
      <border>
        <left style="thin">
          <color theme="0" tint="-0.24994659260841701"/>
        </left>
        <right style="thin">
          <color theme="0" tint="-0.24994659260841701"/>
        </right>
      </border>
    </dxf>
    <dxf>
      <numFmt numFmtId="169" formatCode="&quot;$&quot;#,##0.0000;[Red]\-&quot;$&quot;#,##0.0000"/>
      <border>
        <left style="thin">
          <color theme="0" tint="-0.24994659260841701"/>
        </left>
        <right style="thin">
          <color theme="0" tint="-0.24994659260841701"/>
        </right>
      </border>
    </dxf>
    <dxf>
      <numFmt numFmtId="169" formatCode="&quot;$&quot;#,##0.0000;[Red]\-&quot;$&quot;#,##0.0000"/>
      <border>
        <right style="thin">
          <color theme="0" tint="-0.24994659260841701"/>
        </right>
      </border>
    </dxf>
    <dxf>
      <border>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top style="thin">
          <color theme="0" tint="-0.24994659260841701"/>
        </top>
      </border>
    </dxf>
    <dxf>
      <border outline="0">
        <top style="thin">
          <color theme="0"/>
        </top>
        <bottom style="thin">
          <color theme="0" tint="-0.24994659260841701"/>
        </bottom>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left style="thin">
          <color theme="0" tint="-0.24994659260841701"/>
        </left>
      </border>
    </dxf>
    <dxf>
      <numFmt numFmtId="169" formatCode="&quot;$&quot;#,##0.0000;[Red]\-&quot;$&quot;#,##0.0000"/>
      <border>
        <left style="thin">
          <color theme="0" tint="-0.24994659260841701"/>
        </left>
        <right style="thin">
          <color theme="0" tint="-0.24994659260841701"/>
        </right>
      </border>
    </dxf>
    <dxf>
      <numFmt numFmtId="169" formatCode="&quot;$&quot;#,##0.0000;[Red]\-&quot;$&quot;#,##0.0000"/>
      <border>
        <left style="thin">
          <color theme="0" tint="-0.24994659260841701"/>
        </left>
        <right style="thin">
          <color theme="0" tint="-0.24994659260841701"/>
        </right>
      </border>
    </dxf>
    <dxf>
      <numFmt numFmtId="169" formatCode="&quot;$&quot;#,##0.0000;[Red]\-&quot;$&quot;#,##0.0000"/>
      <border>
        <left style="thin">
          <color theme="0" tint="-0.24994659260841701"/>
        </left>
        <right style="thin">
          <color theme="0" tint="-0.24994659260841701"/>
        </right>
      </border>
    </dxf>
    <dxf>
      <numFmt numFmtId="169" formatCode="&quot;$&quot;#,##0.0000;[Red]\-&quot;$&quot;#,##0.0000"/>
      <border>
        <right style="thin">
          <color theme="0" tint="-0.24994659260841701"/>
        </right>
      </border>
    </dxf>
    <dxf>
      <border>
        <right style="thin">
          <color theme="0" tint="-0.24994659260841701"/>
        </right>
      </border>
    </dxf>
    <dxf>
      <border outline="0">
        <top style="thin">
          <color theme="0"/>
        </top>
      </border>
    </dxf>
    <dxf>
      <border outline="0">
        <bottom style="thin">
          <color theme="0"/>
        </bottom>
      </border>
    </dxf>
    <dxf>
      <font>
        <b val="0"/>
        <i val="0"/>
        <strike val="0"/>
        <condense val="0"/>
        <extend val="0"/>
        <outline val="0"/>
        <shadow val="0"/>
        <u val="none"/>
        <vertAlign val="baseline"/>
        <sz val="12"/>
        <color theme="0"/>
        <name val="Calibri"/>
        <family val="2"/>
        <scheme val="minor"/>
      </font>
      <numFmt numFmtId="0" formatCode="General"/>
      <fill>
        <patternFill patternType="solid">
          <fgColor indexed="64"/>
          <bgColor rgb="FF4986A0"/>
        </patternFill>
      </fill>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numFmt numFmtId="169" formatCode="&quot;$&quot;#,##0.0000;[Red]\-&quot;$&quot;#,##0.0000"/>
      <border diagonalUp="0" diagonalDown="0">
        <left style="thin">
          <color theme="0"/>
        </left>
        <right/>
        <top style="thin">
          <color theme="0"/>
        </top>
        <bottom style="thin">
          <color theme="0"/>
        </bottom>
        <vertical/>
        <horizontal/>
      </border>
    </dxf>
    <dxf>
      <numFmt numFmtId="169" formatCode="&quot;$&quot;#,##0.0000;[Red]\-&quot;$&quot;#,##0.0000"/>
    </dxf>
    <dxf>
      <numFmt numFmtId="169" formatCode="&quot;$&quot;#,##0.0000;[Red]\-&quot;$&quot;#,##0.0000"/>
    </dxf>
    <dxf>
      <numFmt numFmtId="169" formatCode="&quot;$&quot;#,##0.0000;[Red]\-&quot;$&quot;#,##0.0000"/>
    </dxf>
    <dxf>
      <numFmt numFmtId="169" formatCode="&quot;$&quot;#,##0.0000;[Red]\-&quot;$&quot;#,##0.0000"/>
    </dxf>
    <dxf>
      <border outline="0">
        <right style="thin">
          <color theme="0"/>
        </right>
        <top style="thin">
          <color theme="0"/>
        </top>
      </border>
    </dxf>
    <dxf>
      <border outline="0">
        <bottom style="thin">
          <color theme="0"/>
        </bottom>
      </border>
    </dxf>
    <dxf>
      <alignment horizontal="right" vertical="top" textRotation="0" wrapText="0" indent="0" justifyLastLine="0" shrinkToFit="0" readingOrder="0"/>
      <border diagonalUp="0" diagonalDown="0" outline="0">
        <left style="thin">
          <color theme="0"/>
        </left>
        <right style="thin">
          <color theme="0"/>
        </right>
        <top/>
        <bottom/>
      </border>
    </dxf>
    <dxf>
      <font>
        <b val="0"/>
        <i val="0"/>
        <color theme="0"/>
      </font>
      <fill>
        <patternFill>
          <bgColor rgb="FF4986A0"/>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Default table" pivot="0" count="1" xr9:uid="{D7A9B941-B66A-4156-9972-EE896AA49F6E}">
      <tableStyleElement type="headerRow" dxfId="863"/>
    </tableStyle>
  </tableStyles>
  <colors>
    <mruColors>
      <color rgb="FFED8B00"/>
      <color rgb="FFED7D31"/>
      <color rgb="FF236192"/>
      <color rgb="FF7F7F7F"/>
      <color rgb="FFD50032"/>
      <color rgb="FF4986A0"/>
      <color rgb="FF99FFCC"/>
      <color rgb="FFA3ACA9"/>
      <color rgb="FFFF5050"/>
      <color rgb="FFE3E4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CH_CostStack_RES!$D$34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CH_CostStack_RES!$C$35:$C$36</c:f>
              <c:strCache>
                <c:ptCount val="2"/>
                <c:pt idx="0">
                  <c:v>VDO 2023-24 - Final</c:v>
                </c:pt>
                <c:pt idx="1">
                  <c:v>VDO 2024-25 - Final</c:v>
                </c:pt>
              </c:strCache>
            </c:strRef>
          </c:cat>
          <c:val>
            <c:numRef>
              <c:f>CH_CostStack_RES!$D$35:$D$36</c:f>
              <c:numCache>
                <c:formatCode>"$"#,##0_);[Red]\("$"#,##0\)</c:formatCode>
                <c:ptCount val="2"/>
                <c:pt idx="0">
                  <c:v>635.56598304666477</c:v>
                </c:pt>
                <c:pt idx="1">
                  <c:v>492.34815933476574</c:v>
                </c:pt>
              </c:numCache>
            </c:numRef>
          </c:val>
          <c:extLst>
            <c:ext xmlns:c16="http://schemas.microsoft.com/office/drawing/2014/chart" uri="{C3380CC4-5D6E-409C-BE32-E72D297353CC}">
              <c16:uniqueId val="{00000000-D111-4E1B-ABB0-8C923C6416AE}"/>
            </c:ext>
          </c:extLst>
        </c:ser>
        <c:ser>
          <c:idx val="1"/>
          <c:order val="1"/>
          <c:tx>
            <c:strRef>
              <c:f>CH_CostStack_RES!$E$34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CH_CostStack_RES!$E$35:$E$36</c:f>
              <c:numCache>
                <c:formatCode>"$"#,##0_);[Red]\("$"#,##0\)</c:formatCode>
                <c:ptCount val="2"/>
                <c:pt idx="0">
                  <c:v>548.78546404067549</c:v>
                </c:pt>
                <c:pt idx="1">
                  <c:v>593.06974347721575</c:v>
                </c:pt>
              </c:numCache>
            </c:numRef>
          </c:val>
          <c:extLst>
            <c:ext xmlns:c16="http://schemas.microsoft.com/office/drawing/2014/chart" uri="{C3380CC4-5D6E-409C-BE32-E72D297353CC}">
              <c16:uniqueId val="{00000002-D111-4E1B-ABB0-8C923C6416AE}"/>
            </c:ext>
          </c:extLst>
        </c:ser>
        <c:ser>
          <c:idx val="2"/>
          <c:order val="2"/>
          <c:tx>
            <c:strRef>
              <c:f>CH_CostStack_RES!$F$34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CH_CostStack_RES!$F$35:$F$36</c:f>
              <c:numCache>
                <c:formatCode>"$"#,##0_);[Red]\("$"#,##0\)</c:formatCode>
                <c:ptCount val="2"/>
                <c:pt idx="0">
                  <c:v>175.92415101117138</c:v>
                </c:pt>
                <c:pt idx="1">
                  <c:v>185.86772433721131</c:v>
                </c:pt>
              </c:numCache>
            </c:numRef>
          </c:val>
          <c:extLst>
            <c:ext xmlns:c16="http://schemas.microsoft.com/office/drawing/2014/chart" uri="{C3380CC4-5D6E-409C-BE32-E72D297353CC}">
              <c16:uniqueId val="{00000003-D111-4E1B-ABB0-8C923C6416AE}"/>
            </c:ext>
          </c:extLst>
        </c:ser>
        <c:ser>
          <c:idx val="3"/>
          <c:order val="3"/>
          <c:tx>
            <c:strRef>
              <c:f>CH_CostStack_RES!$G$34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CH_CostStack_RES!$G$35:$G$36</c:f>
              <c:numCache>
                <c:formatCode>"$"#,##0_);[Red]\("$"#,##0\)</c:formatCode>
                <c:ptCount val="2"/>
                <c:pt idx="0">
                  <c:v>131.71167452697065</c:v>
                </c:pt>
                <c:pt idx="1">
                  <c:v>135.21675811824983</c:v>
                </c:pt>
              </c:numCache>
            </c:numRef>
          </c:val>
          <c:extLst>
            <c:ext xmlns:c16="http://schemas.microsoft.com/office/drawing/2014/chart" uri="{C3380CC4-5D6E-409C-BE32-E72D297353CC}">
              <c16:uniqueId val="{00000004-D111-4E1B-ABB0-8C923C6416AE}"/>
            </c:ext>
          </c:extLst>
        </c:ser>
        <c:ser>
          <c:idx val="5"/>
          <c:order val="4"/>
          <c:tx>
            <c:strRef>
              <c:f>CH_CostStack_RES!$I$34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CH_CostStack_RES!$I$35:$I$36</c:f>
              <c:numCache>
                <c:formatCode>"$"#,##0_);[Red]\("$"#,##0\)</c:formatCode>
                <c:ptCount val="2"/>
                <c:pt idx="0">
                  <c:v>84.863307286151937</c:v>
                </c:pt>
                <c:pt idx="1">
                  <c:v>79.646909035372261</c:v>
                </c:pt>
              </c:numCache>
            </c:numRef>
          </c:val>
          <c:extLst>
            <c:ext xmlns:c16="http://schemas.microsoft.com/office/drawing/2014/chart" uri="{C3380CC4-5D6E-409C-BE32-E72D297353CC}">
              <c16:uniqueId val="{00000006-D111-4E1B-ABB0-8C923C6416AE}"/>
            </c:ext>
          </c:extLst>
        </c:ser>
        <c:ser>
          <c:idx val="6"/>
          <c:order val="5"/>
          <c:tx>
            <c:strRef>
              <c:f>CH_CostStack_RES!$J$34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CH_CostStack_RES!$J$35:$J$36</c:f>
              <c:numCache>
                <c:formatCode>"$"#,##0_);[Red]\("$"#,##0\)</c:formatCode>
                <c:ptCount val="2"/>
                <c:pt idx="0">
                  <c:v>160.0279508824579</c:v>
                </c:pt>
                <c:pt idx="1">
                  <c:v>150.19131418098772</c:v>
                </c:pt>
              </c:numCache>
            </c:numRef>
          </c:val>
          <c:extLst>
            <c:ext xmlns:c16="http://schemas.microsoft.com/office/drawing/2014/chart" uri="{C3380CC4-5D6E-409C-BE32-E72D297353CC}">
              <c16:uniqueId val="{00000007-D111-4E1B-ABB0-8C923C6416AE}"/>
            </c:ext>
          </c:extLst>
        </c:ser>
        <c:ser>
          <c:idx val="4"/>
          <c:order val="6"/>
          <c:tx>
            <c:strRef>
              <c:f>CH_CostStack_RES!$H$34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11-4E1B-ABB0-8C923C6416AE}"/>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11-4E1B-ABB0-8C923C6416A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CH_CostStack_RES!$H$35:$H$36</c:f>
              <c:numCache>
                <c:formatCode>"$"#,##0_);[Red]\("$"#,##0\)</c:formatCode>
                <c:ptCount val="2"/>
                <c:pt idx="0">
                  <c:v>17.775747550251065</c:v>
                </c:pt>
                <c:pt idx="1">
                  <c:v>18.340999644108383</c:v>
                </c:pt>
              </c:numCache>
            </c:numRef>
          </c:val>
          <c:extLst>
            <c:ext xmlns:c16="http://schemas.microsoft.com/office/drawing/2014/chart" uri="{C3380CC4-5D6E-409C-BE32-E72D297353CC}">
              <c16:uniqueId val="{00000005-D111-4E1B-ABB0-8C923C6416AE}"/>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CH_CostStack_RES!$K$34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CH_CostStack_RES!$K$35:$K$36</c:f>
              <c:numCache>
                <c:formatCode>"$"#,##0_);[Red]\("$"#,##0\)</c:formatCode>
                <c:ptCount val="2"/>
                <c:pt idx="0">
                  <c:v>1755.2</c:v>
                </c:pt>
                <c:pt idx="1">
                  <c:v>1655</c:v>
                </c:pt>
              </c:numCache>
            </c:numRef>
          </c:val>
          <c:smooth val="0"/>
          <c:extLst>
            <c:ext xmlns:c16="http://schemas.microsoft.com/office/drawing/2014/chart" uri="{C3380CC4-5D6E-409C-BE32-E72D297353CC}">
              <c16:uniqueId val="{00000008-D111-4E1B-ABB0-8C923C6416AE}"/>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CH_CostStack_SME!$D$34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CH_CostStack_SME!$C$35:$C$36</c:f>
              <c:strCache>
                <c:ptCount val="2"/>
                <c:pt idx="0">
                  <c:v>VDO 2023-24 - Final</c:v>
                </c:pt>
                <c:pt idx="1">
                  <c:v>VDO 2024-25 - Final</c:v>
                </c:pt>
              </c:strCache>
            </c:strRef>
          </c:cat>
          <c:val>
            <c:numRef>
              <c:f>CH_CostStack_SME!$D$35:$D$36</c:f>
              <c:numCache>
                <c:formatCode>"$"#,##0_);[Red]\("$"#,##0\)</c:formatCode>
                <c:ptCount val="2"/>
                <c:pt idx="0">
                  <c:v>2715.1030692508061</c:v>
                </c:pt>
                <c:pt idx="1">
                  <c:v>1974.5262391567001</c:v>
                </c:pt>
              </c:numCache>
            </c:numRef>
          </c:val>
          <c:extLst>
            <c:ext xmlns:c16="http://schemas.microsoft.com/office/drawing/2014/chart" uri="{C3380CC4-5D6E-409C-BE32-E72D297353CC}">
              <c16:uniqueId val="{00000000-A8A6-42CF-92D3-1BAC224FFB12}"/>
            </c:ext>
          </c:extLst>
        </c:ser>
        <c:ser>
          <c:idx val="1"/>
          <c:order val="1"/>
          <c:tx>
            <c:strRef>
              <c:f>CH_CostStack_SME!$E$34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CH_CostStack_SME!$E$35:$E$36</c:f>
              <c:numCache>
                <c:formatCode>"$"#,##0_);[Red]\("$"#,##0\)</c:formatCode>
                <c:ptCount val="2"/>
                <c:pt idx="0">
                  <c:v>2591.2946225901419</c:v>
                </c:pt>
                <c:pt idx="1">
                  <c:v>2784.7323026191434</c:v>
                </c:pt>
              </c:numCache>
            </c:numRef>
          </c:val>
          <c:extLst>
            <c:ext xmlns:c16="http://schemas.microsoft.com/office/drawing/2014/chart" uri="{C3380CC4-5D6E-409C-BE32-E72D297353CC}">
              <c16:uniqueId val="{00000001-A8A6-42CF-92D3-1BAC224FFB12}"/>
            </c:ext>
          </c:extLst>
        </c:ser>
        <c:ser>
          <c:idx val="2"/>
          <c:order val="2"/>
          <c:tx>
            <c:strRef>
              <c:f>CH_CostStack_SME!$F$34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CH_CostStack_SME!$F$35:$F$36</c:f>
              <c:numCache>
                <c:formatCode>"$"#,##0_);[Red]\("$"#,##0\)</c:formatCode>
                <c:ptCount val="2"/>
                <c:pt idx="0">
                  <c:v>175.92415101117138</c:v>
                </c:pt>
                <c:pt idx="1">
                  <c:v>185.86772433721131</c:v>
                </c:pt>
              </c:numCache>
            </c:numRef>
          </c:val>
          <c:extLst>
            <c:ext xmlns:c16="http://schemas.microsoft.com/office/drawing/2014/chart" uri="{C3380CC4-5D6E-409C-BE32-E72D297353CC}">
              <c16:uniqueId val="{00000002-A8A6-42CF-92D3-1BAC224FFB12}"/>
            </c:ext>
          </c:extLst>
        </c:ser>
        <c:ser>
          <c:idx val="3"/>
          <c:order val="3"/>
          <c:tx>
            <c:strRef>
              <c:f>CH_CostStack_SME!$G$34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CH_CostStack_SME!$G$35:$G$36</c:f>
              <c:numCache>
                <c:formatCode>"$"#,##0_);[Red]\("$"#,##0\)</c:formatCode>
                <c:ptCount val="2"/>
                <c:pt idx="0">
                  <c:v>590.77608257548331</c:v>
                </c:pt>
                <c:pt idx="1">
                  <c:v>676.08379059124923</c:v>
                </c:pt>
              </c:numCache>
            </c:numRef>
          </c:val>
          <c:extLst>
            <c:ext xmlns:c16="http://schemas.microsoft.com/office/drawing/2014/chart" uri="{C3380CC4-5D6E-409C-BE32-E72D297353CC}">
              <c16:uniqueId val="{00000003-A8A6-42CF-92D3-1BAC224FFB12}"/>
            </c:ext>
          </c:extLst>
        </c:ser>
        <c:ser>
          <c:idx val="5"/>
          <c:order val="4"/>
          <c:tx>
            <c:strRef>
              <c:f>CH_CostStack_SME!$I$34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CH_CostStack_SME!$I$35:$I$36</c:f>
              <c:numCache>
                <c:formatCode>"$"#,##0_);[Red]\("$"#,##0\)</c:formatCode>
                <c:ptCount val="2"/>
                <c:pt idx="0">
                  <c:v>344.26486474355988</c:v>
                </c:pt>
                <c:pt idx="1">
                  <c:v>316.04848331394174</c:v>
                </c:pt>
              </c:numCache>
            </c:numRef>
          </c:val>
          <c:extLst>
            <c:ext xmlns:c16="http://schemas.microsoft.com/office/drawing/2014/chart" uri="{C3380CC4-5D6E-409C-BE32-E72D297353CC}">
              <c16:uniqueId val="{00000004-A8A6-42CF-92D3-1BAC224FFB12}"/>
            </c:ext>
          </c:extLst>
        </c:ser>
        <c:ser>
          <c:idx val="6"/>
          <c:order val="5"/>
          <c:tx>
            <c:strRef>
              <c:f>CH_CostStack_SME!$J$34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CH_CostStack_SME!$J$35:$J$36</c:f>
              <c:numCache>
                <c:formatCode>"$"#,##0_);[Red]\("$"#,##0\)</c:formatCode>
                <c:ptCount val="2"/>
                <c:pt idx="0">
                  <c:v>649.1851735164272</c:v>
                </c:pt>
                <c:pt idx="1">
                  <c:v>595.97713996343305</c:v>
                </c:pt>
              </c:numCache>
            </c:numRef>
          </c:val>
          <c:extLst>
            <c:ext xmlns:c16="http://schemas.microsoft.com/office/drawing/2014/chart" uri="{C3380CC4-5D6E-409C-BE32-E72D297353CC}">
              <c16:uniqueId val="{00000005-A8A6-42CF-92D3-1BAC224FFB12}"/>
            </c:ext>
          </c:extLst>
        </c:ser>
        <c:ser>
          <c:idx val="4"/>
          <c:order val="6"/>
          <c:tx>
            <c:strRef>
              <c:f>CH_CostStack_SME!$H$34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8A6-42CF-92D3-1BAC224FFB12}"/>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A6-42CF-92D3-1BAC224FFB1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CH_CostStack_SME!$H$35:$H$36</c:f>
              <c:numCache>
                <c:formatCode>"$"#,##0_);[Red]\("$"#,##0\)</c:formatCode>
                <c:ptCount val="2"/>
                <c:pt idx="0">
                  <c:v>46.223038179639317</c:v>
                </c:pt>
                <c:pt idx="1">
                  <c:v>35.398620301314772</c:v>
                </c:pt>
              </c:numCache>
            </c:numRef>
          </c:val>
          <c:extLst>
            <c:ext xmlns:c16="http://schemas.microsoft.com/office/drawing/2014/chart" uri="{C3380CC4-5D6E-409C-BE32-E72D297353CC}">
              <c16:uniqueId val="{00000008-A8A6-42CF-92D3-1BAC224FFB12}"/>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CH_CostStack_SME!$K$35:$K$36</c:f>
              <c:numCache>
                <c:formatCode>"$"#,##0_);[Red]\("$"#,##0\)</c:formatCode>
                <c:ptCount val="2"/>
                <c:pt idx="0">
                  <c:v>7113</c:v>
                </c:pt>
                <c:pt idx="1">
                  <c:v>6569.2</c:v>
                </c:pt>
              </c:numCache>
            </c:numRef>
          </c:val>
          <c:smooth val="0"/>
          <c:extLst>
            <c:ext xmlns:c16="http://schemas.microsoft.com/office/drawing/2014/chart" uri="{C3380CC4-5D6E-409C-BE32-E72D297353CC}">
              <c16:uniqueId val="{00000009-A8A6-42CF-92D3-1BAC224FFB12}"/>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2311325067606E-2"/>
          <c:y val="3.2194571795381696E-2"/>
          <c:w val="0.75992958908925912"/>
          <c:h val="0.89384366803590409"/>
        </c:manualLayout>
      </c:layout>
      <c:barChart>
        <c:barDir val="col"/>
        <c:grouping val="stacked"/>
        <c:varyColors val="0"/>
        <c:ser>
          <c:idx val="0"/>
          <c:order val="0"/>
          <c:tx>
            <c:strRef>
              <c:f>'CH_CostStack_SME 10k'!$D$34</c:f>
              <c:strCache>
                <c:ptCount val="1"/>
                <c:pt idx="0">
                  <c:v>Wholesale</c:v>
                </c:pt>
              </c:strCache>
            </c:strRef>
          </c:tx>
          <c:spPr>
            <a:solidFill>
              <a:srgbClr val="23619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'CH_CostStack_SME 10k'!$C$35:$C$36</c:f>
              <c:strCache>
                <c:ptCount val="2"/>
                <c:pt idx="0">
                  <c:v>VDO 2023-24 - Final</c:v>
                </c:pt>
                <c:pt idx="1">
                  <c:v>VDO 2024-25 - Final</c:v>
                </c:pt>
              </c:strCache>
            </c:strRef>
          </c:cat>
          <c:val>
            <c:numRef>
              <c:f>'CH_CostStack_SME 10k'!$D$35:$D$36</c:f>
              <c:numCache>
                <c:formatCode>"$"#,##0_);[Red]\("$"#,##0\)</c:formatCode>
                <c:ptCount val="2"/>
                <c:pt idx="0">
                  <c:v>1357.5515346254031</c:v>
                </c:pt>
                <c:pt idx="1">
                  <c:v>987.26311957835003</c:v>
                </c:pt>
              </c:numCache>
            </c:numRef>
          </c:val>
          <c:extLst>
            <c:ext xmlns:c16="http://schemas.microsoft.com/office/drawing/2014/chart" uri="{C3380CC4-5D6E-409C-BE32-E72D297353CC}">
              <c16:uniqueId val="{00000000-F812-409C-9C15-1B9668AA4B91}"/>
            </c:ext>
          </c:extLst>
        </c:ser>
        <c:ser>
          <c:idx val="1"/>
          <c:order val="1"/>
          <c:tx>
            <c:strRef>
              <c:f>'CH_CostStack_SME 10k'!$E$34</c:f>
              <c:strCache>
                <c:ptCount val="1"/>
                <c:pt idx="0">
                  <c:v>Network</c:v>
                </c:pt>
              </c:strCache>
            </c:strRef>
          </c:tx>
          <c:spPr>
            <a:solidFill>
              <a:srgbClr val="236192">
                <a:alpha val="50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10k'!$E$35:$E$36</c:f>
              <c:numCache>
                <c:formatCode>"$"#,##0_);[Red]\("$"#,##0\)</c:formatCode>
                <c:ptCount val="2"/>
                <c:pt idx="0">
                  <c:v>1395.1974513925231</c:v>
                </c:pt>
                <c:pt idx="1">
                  <c:v>1503.689551045914</c:v>
                </c:pt>
              </c:numCache>
            </c:numRef>
          </c:val>
          <c:extLst>
            <c:ext xmlns:c16="http://schemas.microsoft.com/office/drawing/2014/chart" uri="{C3380CC4-5D6E-409C-BE32-E72D297353CC}">
              <c16:uniqueId val="{00000001-F812-409C-9C15-1B9668AA4B91}"/>
            </c:ext>
          </c:extLst>
        </c:ser>
        <c:ser>
          <c:idx val="2"/>
          <c:order val="2"/>
          <c:tx>
            <c:strRef>
              <c:f>'CH_CostStack_SME 10k'!$F$34</c:f>
              <c:strCache>
                <c:ptCount val="1"/>
                <c:pt idx="0">
                  <c:v>Retail</c:v>
                </c:pt>
              </c:strCache>
            </c:strRef>
          </c:tx>
          <c:spPr>
            <a:solidFill>
              <a:srgbClr val="D5003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10k'!$F$35:$F$36</c:f>
              <c:numCache>
                <c:formatCode>"$"#,##0_);[Red]\("$"#,##0\)</c:formatCode>
                <c:ptCount val="2"/>
                <c:pt idx="0">
                  <c:v>175.92415101117138</c:v>
                </c:pt>
                <c:pt idx="1">
                  <c:v>185.86772433721131</c:v>
                </c:pt>
              </c:numCache>
            </c:numRef>
          </c:val>
          <c:extLst>
            <c:ext xmlns:c16="http://schemas.microsoft.com/office/drawing/2014/chart" uri="{C3380CC4-5D6E-409C-BE32-E72D297353CC}">
              <c16:uniqueId val="{00000002-F812-409C-9C15-1B9668AA4B91}"/>
            </c:ext>
          </c:extLst>
        </c:ser>
        <c:ser>
          <c:idx val="3"/>
          <c:order val="3"/>
          <c:tx>
            <c:strRef>
              <c:f>'CH_CostStack_SME 10k'!$G$34</c:f>
              <c:strCache>
                <c:ptCount val="1"/>
                <c:pt idx="0">
                  <c:v>Environmental</c:v>
                </c:pt>
              </c:strCache>
            </c:strRef>
          </c:tx>
          <c:spPr>
            <a:solidFill>
              <a:srgbClr val="4986A0"/>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10k'!$G$35:$G$36</c:f>
              <c:numCache>
                <c:formatCode>"$"#,##0_);[Red]\("$"#,##0\)</c:formatCode>
                <c:ptCount val="2"/>
                <c:pt idx="0">
                  <c:v>303.86082754516286</c:v>
                </c:pt>
                <c:pt idx="1">
                  <c:v>338.04189529562461</c:v>
                </c:pt>
              </c:numCache>
            </c:numRef>
          </c:val>
          <c:extLst>
            <c:ext xmlns:c16="http://schemas.microsoft.com/office/drawing/2014/chart" uri="{C3380CC4-5D6E-409C-BE32-E72D297353CC}">
              <c16:uniqueId val="{00000003-F812-409C-9C15-1B9668AA4B91}"/>
            </c:ext>
          </c:extLst>
        </c:ser>
        <c:ser>
          <c:idx val="5"/>
          <c:order val="4"/>
          <c:tx>
            <c:strRef>
              <c:f>'CH_CostStack_SME 10k'!$I$34</c:f>
              <c:strCache>
                <c:ptCount val="1"/>
                <c:pt idx="0">
                  <c:v>Retail margin</c:v>
                </c:pt>
              </c:strCache>
            </c:strRef>
          </c:tx>
          <c:spPr>
            <a:solidFill>
              <a:srgbClr val="ED8B00">
                <a:alpha val="74902"/>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10k'!$I$35:$I$36</c:f>
              <c:numCache>
                <c:formatCode>"$"#,##0_);[Red]\("$"#,##0\)</c:formatCode>
                <c:ptCount val="2"/>
                <c:pt idx="0">
                  <c:v>183.40618237296695</c:v>
                </c:pt>
                <c:pt idx="1">
                  <c:v>169.85679296908253</c:v>
                </c:pt>
              </c:numCache>
            </c:numRef>
          </c:val>
          <c:extLst>
            <c:ext xmlns:c16="http://schemas.microsoft.com/office/drawing/2014/chart" uri="{C3380CC4-5D6E-409C-BE32-E72D297353CC}">
              <c16:uniqueId val="{00000004-F812-409C-9C15-1B9668AA4B91}"/>
            </c:ext>
          </c:extLst>
        </c:ser>
        <c:ser>
          <c:idx val="6"/>
          <c:order val="5"/>
          <c:tx>
            <c:strRef>
              <c:f>'CH_CostStack_SME 10k'!$J$34</c:f>
              <c:strCache>
                <c:ptCount val="1"/>
                <c:pt idx="0">
                  <c:v>GST</c:v>
                </c:pt>
              </c:strCache>
            </c:strRef>
          </c:tx>
          <c:spPr>
            <a:solidFill>
              <a:srgbClr val="7F7F7F">
                <a:alpha val="25000"/>
              </a:srgb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10k'!$J$35:$J$36</c:f>
              <c:numCache>
                <c:formatCode>"$"#,##0_);[Red]\("$"#,##0\)</c:formatCode>
                <c:ptCount val="2"/>
                <c:pt idx="0">
                  <c:v>345.8516581890234</c:v>
                </c:pt>
                <c:pt idx="1">
                  <c:v>320.30138102741273</c:v>
                </c:pt>
              </c:numCache>
            </c:numRef>
          </c:val>
          <c:extLst>
            <c:ext xmlns:c16="http://schemas.microsoft.com/office/drawing/2014/chart" uri="{C3380CC4-5D6E-409C-BE32-E72D297353CC}">
              <c16:uniqueId val="{00000005-F812-409C-9C15-1B9668AA4B91}"/>
            </c:ext>
          </c:extLst>
        </c:ser>
        <c:ser>
          <c:idx val="4"/>
          <c:order val="6"/>
          <c:tx>
            <c:strRef>
              <c:f>'CH_CostStack_SME 10k'!$H$34</c:f>
              <c:strCache>
                <c:ptCount val="1"/>
                <c:pt idx="0">
                  <c:v>Other</c:v>
                </c:pt>
              </c:strCache>
            </c:strRef>
          </c:tx>
          <c:spPr>
            <a:solidFill>
              <a:srgbClr val="7F7F7F"/>
            </a:solidFill>
            <a:ln>
              <a:solidFill>
                <a:schemeClr val="bg1"/>
              </a:solidFill>
            </a:ln>
            <a:effectLst/>
          </c:spPr>
          <c:invertIfNegative val="0"/>
          <c:dLbls>
            <c:dLbl>
              <c:idx val="0"/>
              <c:layout>
                <c:manualLayout>
                  <c:x val="0.1130236777960833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812-409C-9C15-1B9668AA4B91}"/>
                </c:ext>
              </c:extLst>
            </c:dLbl>
            <c:dLbl>
              <c:idx val="1"/>
              <c:layout>
                <c:manualLayout>
                  <c:x val="0.12231329514918614"/>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12-409C-9C15-1B9668AA4B91}"/>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10k'!$H$35:$H$36</c:f>
              <c:numCache>
                <c:formatCode>"$"#,##0_);[Red]\("$"#,##0\)</c:formatCode>
                <c:ptCount val="2"/>
                <c:pt idx="0">
                  <c:v>28.443481536271662</c:v>
                </c:pt>
                <c:pt idx="1">
                  <c:v>24.737607390560775</c:v>
                </c:pt>
              </c:numCache>
            </c:numRef>
          </c:val>
          <c:extLst>
            <c:ext xmlns:c16="http://schemas.microsoft.com/office/drawing/2014/chart" uri="{C3380CC4-5D6E-409C-BE32-E72D297353CC}">
              <c16:uniqueId val="{00000008-F812-409C-9C15-1B9668AA4B91}"/>
            </c:ext>
          </c:extLst>
        </c:ser>
        <c:dLbls>
          <c:showLegendKey val="0"/>
          <c:showVal val="0"/>
          <c:showCatName val="0"/>
          <c:showSerName val="0"/>
          <c:showPercent val="0"/>
          <c:showBubbleSize val="0"/>
        </c:dLbls>
        <c:gapWidth val="150"/>
        <c:overlap val="100"/>
        <c:axId val="492956920"/>
        <c:axId val="492948064"/>
      </c:barChart>
      <c:lineChart>
        <c:grouping val="standard"/>
        <c:varyColors val="0"/>
        <c:ser>
          <c:idx val="7"/>
          <c:order val="7"/>
          <c:tx>
            <c:strRef>
              <c:f>'CH_CostStack_SME 10k'!$K$34</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23619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'CH_CostStack_SME 10k'!$K$35:$K$36</c:f>
              <c:numCache>
                <c:formatCode>"$"#,##0_);[Red]\("$"#,##0\)</c:formatCode>
                <c:ptCount val="2"/>
                <c:pt idx="0">
                  <c:v>3791</c:v>
                </c:pt>
                <c:pt idx="1">
                  <c:v>3530.2</c:v>
                </c:pt>
              </c:numCache>
            </c:numRef>
          </c:val>
          <c:smooth val="0"/>
          <c:extLst>
            <c:ext xmlns:c16="http://schemas.microsoft.com/office/drawing/2014/chart" uri="{C3380CC4-5D6E-409C-BE32-E72D297353CC}">
              <c16:uniqueId val="{00000009-F812-409C-9C15-1B9668AA4B91}"/>
            </c:ext>
          </c:extLst>
        </c:ser>
        <c:dLbls>
          <c:showLegendKey val="0"/>
          <c:showVal val="0"/>
          <c:showCatName val="0"/>
          <c:showSerName val="0"/>
          <c:showPercent val="0"/>
          <c:showBubbleSize val="0"/>
        </c:dLbls>
        <c:marker val="1"/>
        <c:smooth val="0"/>
        <c:axId val="492956920"/>
        <c:axId val="492948064"/>
      </c:lineChart>
      <c:catAx>
        <c:axId val="492956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48064"/>
        <c:crosses val="autoZero"/>
        <c:auto val="1"/>
        <c:lblAlgn val="ctr"/>
        <c:lblOffset val="100"/>
        <c:noMultiLvlLbl val="0"/>
      </c:catAx>
      <c:valAx>
        <c:axId val="49294806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2956920"/>
        <c:crosses val="autoZero"/>
        <c:crossBetween val="between"/>
      </c:valAx>
      <c:spPr>
        <a:noFill/>
        <a:ln>
          <a:noFill/>
        </a:ln>
        <a:effectLst/>
      </c:spPr>
    </c:plotArea>
    <c:legend>
      <c:legendPos val="r"/>
      <c:legendEntry>
        <c:idx val="7"/>
        <c:delete val="1"/>
      </c:legendEntry>
      <c:layout>
        <c:manualLayout>
          <c:xMode val="edge"/>
          <c:yMode val="edge"/>
          <c:x val="0.83165616322223412"/>
          <c:y val="0.16844628586674726"/>
          <c:w val="0.1528611411892612"/>
          <c:h val="0.753796058128144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SS%20-%20VDO%202023-24%20-%20VDO%20calculation%20model%20-%20V1.0.XLSX" TargetMode="Externa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5543550</xdr:colOff>
      <xdr:row>2</xdr:row>
      <xdr:rowOff>0</xdr:rowOff>
    </xdr:from>
    <xdr:to>
      <xdr:col>12</xdr:col>
      <xdr:colOff>232210</xdr:colOff>
      <xdr:row>21</xdr:row>
      <xdr:rowOff>70579</xdr:rowOff>
    </xdr:to>
    <xdr:pic>
      <xdr:nvPicPr>
        <xdr:cNvPr id="10" name="Picture 9">
          <a:extLst>
            <a:ext uri="{FF2B5EF4-FFF2-40B4-BE49-F238E27FC236}">
              <a16:creationId xmlns:a16="http://schemas.microsoft.com/office/drawing/2014/main" id="{2E5EA21F-069E-15CE-8E6F-D5A5A920DBDE}"/>
            </a:ext>
          </a:extLst>
        </xdr:cNvPr>
        <xdr:cNvPicPr>
          <a:picLocks noChangeAspect="1"/>
        </xdr:cNvPicPr>
      </xdr:nvPicPr>
      <xdr:blipFill>
        <a:blip xmlns:r="http://schemas.openxmlformats.org/officeDocument/2006/relationships" r:embed="rId1"/>
        <a:stretch>
          <a:fillRect/>
        </a:stretch>
      </xdr:blipFill>
      <xdr:spPr>
        <a:xfrm>
          <a:off x="6153150" y="381000"/>
          <a:ext cx="6480610" cy="54807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56028</xdr:colOff>
      <xdr:row>96</xdr:row>
      <xdr:rowOff>199214</xdr:rowOff>
    </xdr:from>
    <xdr:to>
      <xdr:col>9</xdr:col>
      <xdr:colOff>750792</xdr:colOff>
      <xdr:row>103</xdr:row>
      <xdr:rowOff>97045</xdr:rowOff>
    </xdr:to>
    <xdr:sp macro="" textlink="">
      <xdr:nvSpPr>
        <xdr:cNvPr id="349" name="Rectangle 348">
          <a:extLst>
            <a:ext uri="{FF2B5EF4-FFF2-40B4-BE49-F238E27FC236}">
              <a16:creationId xmlns:a16="http://schemas.microsoft.com/office/drawing/2014/main" id="{97F6ABEB-DE10-4C5D-8BB6-009E223E8CE6}"/>
            </a:ext>
          </a:extLst>
        </xdr:cNvPr>
        <xdr:cNvSpPr/>
      </xdr:nvSpPr>
      <xdr:spPr>
        <a:xfrm>
          <a:off x="9300881" y="19753479"/>
          <a:ext cx="5838264"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variable charge ($/year)</a:t>
          </a:r>
        </a:p>
      </xdr:txBody>
    </xdr:sp>
    <xdr:clientData/>
  </xdr:twoCellAnchor>
  <xdr:twoCellAnchor>
    <xdr:from>
      <xdr:col>2</xdr:col>
      <xdr:colOff>2364524</xdr:colOff>
      <xdr:row>96</xdr:row>
      <xdr:rowOff>199214</xdr:rowOff>
    </xdr:from>
    <xdr:to>
      <xdr:col>5</xdr:col>
      <xdr:colOff>1299882</xdr:colOff>
      <xdr:row>103</xdr:row>
      <xdr:rowOff>97045</xdr:rowOff>
    </xdr:to>
    <xdr:sp macro="" textlink="">
      <xdr:nvSpPr>
        <xdr:cNvPr id="363" name="Rectangle 362">
          <a:extLst>
            <a:ext uri="{FF2B5EF4-FFF2-40B4-BE49-F238E27FC236}">
              <a16:creationId xmlns:a16="http://schemas.microsoft.com/office/drawing/2014/main" id="{85F62CFE-F7A7-4C40-B18A-3BC3CE0156B7}"/>
            </a:ext>
          </a:extLst>
        </xdr:cNvPr>
        <xdr:cNvSpPr/>
      </xdr:nvSpPr>
      <xdr:spPr>
        <a:xfrm>
          <a:off x="3081700" y="19753479"/>
          <a:ext cx="5748535" cy="1242537"/>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AU" sz="900" b="1">
              <a:solidFill>
                <a:schemeClr val="bg1"/>
              </a:solidFill>
              <a:latin typeface="+mj-lt"/>
              <a:ea typeface="+mn-ea"/>
              <a:cs typeface="Arial" panose="020B0604020202020204" pitchFamily="34" charset="0"/>
            </a:rPr>
            <a:t>Total supply charge ($/year)</a:t>
          </a:r>
        </a:p>
      </xdr:txBody>
    </xdr:sp>
    <xdr:clientData/>
  </xdr:twoCellAnchor>
  <xdr:twoCellAnchor>
    <xdr:from>
      <xdr:col>2</xdr:col>
      <xdr:colOff>2454171</xdr:colOff>
      <xdr:row>98</xdr:row>
      <xdr:rowOff>44823</xdr:rowOff>
    </xdr:from>
    <xdr:to>
      <xdr:col>4</xdr:col>
      <xdr:colOff>907676</xdr:colOff>
      <xdr:row>103</xdr:row>
      <xdr:rowOff>39133</xdr:rowOff>
    </xdr:to>
    <xdr:sp macro="" textlink="">
      <xdr:nvSpPr>
        <xdr:cNvPr id="375" name="TextBox 374">
          <a:extLst>
            <a:ext uri="{FF2B5EF4-FFF2-40B4-BE49-F238E27FC236}">
              <a16:creationId xmlns:a16="http://schemas.microsoft.com/office/drawing/2014/main" id="{710E2D9B-331D-43EB-A449-8186F13AF7E5}"/>
            </a:ext>
          </a:extLst>
        </xdr:cNvPr>
        <xdr:cNvSpPr txBox="1"/>
      </xdr:nvSpPr>
      <xdr:spPr>
        <a:xfrm>
          <a:off x="3171347"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supply charge</a:t>
          </a:r>
          <a:r>
            <a:rPr lang="en-AU" sz="900" b="1" baseline="0">
              <a:solidFill>
                <a:schemeClr val="bg1"/>
              </a:solidFill>
              <a:latin typeface="+mj-lt"/>
              <a:ea typeface="+mn-ea"/>
              <a:cs typeface="Arial" panose="020B0604020202020204" pitchFamily="34" charset="0"/>
            </a:rPr>
            <a:t> ($/day)</a:t>
          </a:r>
          <a:endParaRPr lang="en-AU" sz="900" b="1">
            <a:solidFill>
              <a:schemeClr val="bg1"/>
            </a:solidFill>
            <a:latin typeface="+mj-lt"/>
            <a:ea typeface="+mn-ea"/>
            <a:cs typeface="Arial" panose="020B0604020202020204" pitchFamily="34" charset="0"/>
          </a:endParaRPr>
        </a:p>
      </xdr:txBody>
    </xdr:sp>
    <xdr:clientData/>
  </xdr:twoCellAnchor>
  <xdr:twoCellAnchor>
    <xdr:from>
      <xdr:col>6</xdr:col>
      <xdr:colOff>257816</xdr:colOff>
      <xdr:row>98</xdr:row>
      <xdr:rowOff>44823</xdr:rowOff>
    </xdr:from>
    <xdr:to>
      <xdr:col>8</xdr:col>
      <xdr:colOff>380998</xdr:colOff>
      <xdr:row>103</xdr:row>
      <xdr:rowOff>39133</xdr:rowOff>
    </xdr:to>
    <xdr:sp macro="" textlink="">
      <xdr:nvSpPr>
        <xdr:cNvPr id="376" name="TextBox 375">
          <a:extLst>
            <a:ext uri="{FF2B5EF4-FFF2-40B4-BE49-F238E27FC236}">
              <a16:creationId xmlns:a16="http://schemas.microsoft.com/office/drawing/2014/main" id="{1E00ABB1-8718-431E-BCA5-766806932C88}"/>
            </a:ext>
          </a:extLst>
        </xdr:cNvPr>
        <xdr:cNvSpPr txBox="1"/>
      </xdr:nvSpPr>
      <xdr:spPr>
        <a:xfrm>
          <a:off x="9502669" y="19991294"/>
          <a:ext cx="3552182"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Total variable charge</a:t>
          </a:r>
          <a:r>
            <a:rPr lang="en-AU" sz="900" b="1" baseline="0">
              <a:solidFill>
                <a:schemeClr val="bg1"/>
              </a:solidFill>
              <a:latin typeface="+mj-lt"/>
              <a:ea typeface="+mn-ea"/>
              <a:cs typeface="Arial" panose="020B0604020202020204" pitchFamily="34" charset="0"/>
            </a:rPr>
            <a:t> ($/kWh)</a:t>
          </a: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2285999</xdr:colOff>
      <xdr:row>69</xdr:row>
      <xdr:rowOff>33619</xdr:rowOff>
    </xdr:from>
    <xdr:to>
      <xdr:col>6</xdr:col>
      <xdr:colOff>1109381</xdr:colOff>
      <xdr:row>75</xdr:row>
      <xdr:rowOff>141875</xdr:rowOff>
    </xdr:to>
    <xdr:sp macro="" textlink="">
      <xdr:nvSpPr>
        <xdr:cNvPr id="332" name="Rectangle 331">
          <a:extLst>
            <a:ext uri="{FF2B5EF4-FFF2-40B4-BE49-F238E27FC236}">
              <a16:creationId xmlns:a16="http://schemas.microsoft.com/office/drawing/2014/main" id="{7EB77414-9042-4301-AB4B-5A3F5FAC0DD3}"/>
            </a:ext>
          </a:extLst>
        </xdr:cNvPr>
        <xdr:cNvSpPr/>
      </xdr:nvSpPr>
      <xdr:spPr>
        <a:xfrm>
          <a:off x="3003175" y="15374472"/>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2</xdr:col>
      <xdr:colOff>2285999</xdr:colOff>
      <xdr:row>61</xdr:row>
      <xdr:rowOff>112060</xdr:rowOff>
    </xdr:from>
    <xdr:to>
      <xdr:col>6</xdr:col>
      <xdr:colOff>1109381</xdr:colOff>
      <xdr:row>68</xdr:row>
      <xdr:rowOff>29816</xdr:rowOff>
    </xdr:to>
    <xdr:sp macro="" textlink="">
      <xdr:nvSpPr>
        <xdr:cNvPr id="169" name="Rectangle 168">
          <a:extLst>
            <a:ext uri="{FF2B5EF4-FFF2-40B4-BE49-F238E27FC236}">
              <a16:creationId xmlns:a16="http://schemas.microsoft.com/office/drawing/2014/main" id="{CB1CF9E0-22EA-49D0-81E6-2C7DB131568F}"/>
            </a:ext>
          </a:extLst>
        </xdr:cNvPr>
        <xdr:cNvSpPr/>
      </xdr:nvSpPr>
      <xdr:spPr>
        <a:xfrm>
          <a:off x="3003175" y="13928913"/>
          <a:ext cx="7351059" cy="1251256"/>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True up cost ($)</a:t>
          </a:r>
        </a:p>
      </xdr:txBody>
    </xdr:sp>
    <xdr:clientData/>
  </xdr:twoCellAnchor>
  <xdr:twoCellAnchor>
    <xdr:from>
      <xdr:col>4</xdr:col>
      <xdr:colOff>1187823</xdr:colOff>
      <xdr:row>62</xdr:row>
      <xdr:rowOff>156883</xdr:rowOff>
    </xdr:from>
    <xdr:to>
      <xdr:col>6</xdr:col>
      <xdr:colOff>1008531</xdr:colOff>
      <xdr:row>67</xdr:row>
      <xdr:rowOff>151193</xdr:rowOff>
    </xdr:to>
    <xdr:sp macro="" textlink="">
      <xdr:nvSpPr>
        <xdr:cNvPr id="208" name="TextBox 207">
          <a:extLst>
            <a:ext uri="{FF2B5EF4-FFF2-40B4-BE49-F238E27FC236}">
              <a16:creationId xmlns:a16="http://schemas.microsoft.com/office/drawing/2014/main" id="{75F0AED9-8428-4605-AE6C-D7D8FB204127}"/>
            </a:ext>
          </a:extLst>
        </xdr:cNvPr>
        <xdr:cNvSpPr txBox="1"/>
      </xdr:nvSpPr>
      <xdr:spPr>
        <a:xfrm>
          <a:off x="7003676"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62</xdr:row>
      <xdr:rowOff>156883</xdr:rowOff>
    </xdr:from>
    <xdr:to>
      <xdr:col>4</xdr:col>
      <xdr:colOff>593913</xdr:colOff>
      <xdr:row>67</xdr:row>
      <xdr:rowOff>151193</xdr:rowOff>
    </xdr:to>
    <xdr:sp macro="" textlink="">
      <xdr:nvSpPr>
        <xdr:cNvPr id="207" name="TextBox 206">
          <a:extLst>
            <a:ext uri="{FF2B5EF4-FFF2-40B4-BE49-F238E27FC236}">
              <a16:creationId xmlns:a16="http://schemas.microsoft.com/office/drawing/2014/main" id="{5A8A21A0-0E9C-477D-8B74-6D2FD6992904}"/>
            </a:ext>
          </a:extLst>
        </xdr:cNvPr>
        <xdr:cNvSpPr txBox="1"/>
      </xdr:nvSpPr>
      <xdr:spPr>
        <a:xfrm>
          <a:off x="3160058" y="14164236"/>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0</xdr:colOff>
      <xdr:row>6</xdr:row>
      <xdr:rowOff>33617</xdr:rowOff>
    </xdr:from>
    <xdr:to>
      <xdr:col>11</xdr:col>
      <xdr:colOff>224119</xdr:colOff>
      <xdr:row>37</xdr:row>
      <xdr:rowOff>87555</xdr:rowOff>
    </xdr:to>
    <xdr:grpSp>
      <xdr:nvGrpSpPr>
        <xdr:cNvPr id="4" name="Group 81">
          <a:extLst>
            <a:ext uri="{FF2B5EF4-FFF2-40B4-BE49-F238E27FC236}">
              <a16:creationId xmlns:a16="http://schemas.microsoft.com/office/drawing/2014/main" id="{C08E5B7E-DC0F-4F75-B4B0-FD590CE11652}"/>
            </a:ext>
          </a:extLst>
        </xdr:cNvPr>
        <xdr:cNvGrpSpPr/>
      </xdr:nvGrpSpPr>
      <xdr:grpSpPr>
        <a:xfrm>
          <a:off x="704850" y="1824317"/>
          <a:ext cx="17235769" cy="5959438"/>
          <a:chOff x="339382" y="1661536"/>
          <a:chExt cx="16392169" cy="5700442"/>
        </a:xfrm>
      </xdr:grpSpPr>
      <xdr:grpSp>
        <xdr:nvGrpSpPr>
          <xdr:cNvPr id="5" name="Group 84">
            <a:extLst>
              <a:ext uri="{FF2B5EF4-FFF2-40B4-BE49-F238E27FC236}">
                <a16:creationId xmlns:a16="http://schemas.microsoft.com/office/drawing/2014/main" id="{8AF0CD35-A132-4A35-8F9B-3D37599298C1}"/>
              </a:ext>
            </a:extLst>
          </xdr:cNvPr>
          <xdr:cNvGrpSpPr/>
        </xdr:nvGrpSpPr>
        <xdr:grpSpPr>
          <a:xfrm>
            <a:off x="339382" y="1661536"/>
            <a:ext cx="16392169" cy="5700442"/>
            <a:chOff x="345578" y="1729787"/>
            <a:chExt cx="16862527" cy="5969865"/>
          </a:xfrm>
        </xdr:grpSpPr>
        <xdr:grpSp>
          <xdr:nvGrpSpPr>
            <xdr:cNvPr id="6" name="Group 91">
              <a:extLst>
                <a:ext uri="{FF2B5EF4-FFF2-40B4-BE49-F238E27FC236}">
                  <a16:creationId xmlns:a16="http://schemas.microsoft.com/office/drawing/2014/main" id="{3D1368CB-0402-4FA7-B709-597E9F14F105}"/>
                </a:ext>
              </a:extLst>
            </xdr:cNvPr>
            <xdr:cNvGrpSpPr/>
          </xdr:nvGrpSpPr>
          <xdr:grpSpPr>
            <a:xfrm>
              <a:off x="345578" y="1729787"/>
              <a:ext cx="16862527" cy="5969865"/>
              <a:chOff x="345578" y="1729787"/>
              <a:chExt cx="16862527" cy="5969865"/>
            </a:xfrm>
          </xdr:grpSpPr>
          <xdr:grpSp>
            <xdr:nvGrpSpPr>
              <xdr:cNvPr id="7" name="Group 96">
                <a:extLst>
                  <a:ext uri="{FF2B5EF4-FFF2-40B4-BE49-F238E27FC236}">
                    <a16:creationId xmlns:a16="http://schemas.microsoft.com/office/drawing/2014/main" id="{2491A49E-37BF-47DA-B693-F8F90F09517C}"/>
                  </a:ext>
                </a:extLst>
              </xdr:cNvPr>
              <xdr:cNvGrpSpPr/>
            </xdr:nvGrpSpPr>
            <xdr:grpSpPr>
              <a:xfrm>
                <a:off x="345578" y="1729787"/>
                <a:ext cx="16862527" cy="5969865"/>
                <a:chOff x="223114" y="120064"/>
                <a:chExt cx="16862527" cy="5969865"/>
              </a:xfrm>
            </xdr:grpSpPr>
            <xdr:grpSp>
              <xdr:nvGrpSpPr>
                <xdr:cNvPr id="8" name="Group 98">
                  <a:extLst>
                    <a:ext uri="{FF2B5EF4-FFF2-40B4-BE49-F238E27FC236}">
                      <a16:creationId xmlns:a16="http://schemas.microsoft.com/office/drawing/2014/main" id="{E4486211-B52A-4939-9298-3B35D8598533}"/>
                    </a:ext>
                  </a:extLst>
                </xdr:cNvPr>
                <xdr:cNvGrpSpPr/>
              </xdr:nvGrpSpPr>
              <xdr:grpSpPr>
                <a:xfrm>
                  <a:off x="223114" y="120064"/>
                  <a:ext cx="16862527" cy="5969865"/>
                  <a:chOff x="223114" y="120064"/>
                  <a:chExt cx="16862527" cy="5969865"/>
                </a:xfrm>
              </xdr:grpSpPr>
              <xdr:sp macro="" textlink="">
                <xdr:nvSpPr>
                  <xdr:cNvPr id="9" name="Rounded Rectangle 107">
                    <a:extLst>
                      <a:ext uri="{FF2B5EF4-FFF2-40B4-BE49-F238E27FC236}">
                        <a16:creationId xmlns:a16="http://schemas.microsoft.com/office/drawing/2014/main" id="{DADF9959-75C2-43D7-A708-0BE63BF6FC99}"/>
                      </a:ext>
                    </a:extLst>
                  </xdr:cNvPr>
                  <xdr:cNvSpPr/>
                </xdr:nvSpPr>
                <xdr:spPr>
                  <a:xfrm>
                    <a:off x="244929" y="120064"/>
                    <a:ext cx="5633357"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AND ASSUMPTIONS</a:t>
                    </a:r>
                  </a:p>
                </xdr:txBody>
              </xdr:sp>
              <xdr:sp macro="" textlink="">
                <xdr:nvSpPr>
                  <xdr:cNvPr id="12" name="Rectangle 103">
                    <a:extLst>
                      <a:ext uri="{FF2B5EF4-FFF2-40B4-BE49-F238E27FC236}">
                        <a16:creationId xmlns:a16="http://schemas.microsoft.com/office/drawing/2014/main" id="{AE00A211-4C7E-4289-8584-64FAED672848}"/>
                      </a:ext>
                    </a:extLst>
                  </xdr:cNvPr>
                  <xdr:cNvSpPr/>
                </xdr:nvSpPr>
                <xdr:spPr>
                  <a:xfrm>
                    <a:off x="3116035" y="1510393"/>
                    <a:ext cx="2449286" cy="1347108"/>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3" name="Rectangle 104">
                    <a:extLst>
                      <a:ext uri="{FF2B5EF4-FFF2-40B4-BE49-F238E27FC236}">
                        <a16:creationId xmlns:a16="http://schemas.microsoft.com/office/drawing/2014/main" id="{AFBCC46F-893C-41B5-B7B7-BA7A50C32AC6}"/>
                      </a:ext>
                    </a:extLst>
                  </xdr:cNvPr>
                  <xdr:cNvSpPr/>
                </xdr:nvSpPr>
                <xdr:spPr>
                  <a:xfrm>
                    <a:off x="590549" y="1047750"/>
                    <a:ext cx="2525487" cy="2544536"/>
                  </a:xfrm>
                  <a:prstGeom prst="rect">
                    <a:avLst/>
                  </a:prstGeom>
                  <a:noFill/>
                  <a:ln w="1270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14" name="Rectangle 105">
                    <a:extLst>
                      <a:ext uri="{FF2B5EF4-FFF2-40B4-BE49-F238E27FC236}">
                        <a16:creationId xmlns:a16="http://schemas.microsoft.com/office/drawing/2014/main" id="{4AF6E949-F4A1-4D82-A73B-82939FDE70F5}"/>
                      </a:ext>
                    </a:extLst>
                  </xdr:cNvPr>
                  <xdr:cNvSpPr/>
                </xdr:nvSpPr>
                <xdr:spPr>
                  <a:xfrm>
                    <a:off x="651780" y="3891643"/>
                    <a:ext cx="2277178" cy="598714"/>
                  </a:xfrm>
                  <a:prstGeom prst="rect">
                    <a:avLst/>
                  </a:prstGeom>
                  <a:noFill/>
                  <a:ln w="12700" cap="flat" cmpd="sng" algn="ctr">
                    <a:no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1" name="Rounded Rectangle 125">
                    <a:extLst>
                      <a:ext uri="{FF2B5EF4-FFF2-40B4-BE49-F238E27FC236}">
                        <a16:creationId xmlns:a16="http://schemas.microsoft.com/office/drawing/2014/main" id="{E5DCA80B-5419-4531-AC40-993F502EBEB4}"/>
                      </a:ext>
                    </a:extLst>
                  </xdr:cNvPr>
                  <xdr:cNvSpPr/>
                </xdr:nvSpPr>
                <xdr:spPr>
                  <a:xfrm>
                    <a:off x="223114" y="5261338"/>
                    <a:ext cx="5633357" cy="828591"/>
                  </a:xfrm>
                  <a:prstGeom prst="roundRect">
                    <a:avLst>
                      <a:gd name="adj" fmla="val 0"/>
                    </a:avLst>
                  </a:prstGeom>
                  <a:solidFill>
                    <a:sysClr val="window" lastClr="FFFFFF"/>
                  </a:solidFill>
                  <a:ln w="12700" cap="flat" cmpd="sng" algn="ctr">
                    <a:solidFill>
                      <a:srgbClr val="FFFFFF">
                        <a:lumMod val="50000"/>
                      </a:srgbClr>
                    </a:solidFill>
                    <a:prstDash val="solid"/>
                    <a:miter lim="800000"/>
                  </a:ln>
                  <a:effectLst/>
                </xdr:spPr>
                <xdr:txBody>
                  <a:bodyPr vertOverflow="clip" horzOverflow="clip" lIns="91440" tIns="45720" rIns="91440" bIns="9144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LEGEND</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xdr:txBody>
              </xdr:sp>
              <xdr:sp macro="" textlink="">
                <xdr:nvSpPr>
                  <xdr:cNvPr id="22" name="TextBox 113">
                    <a:extLst>
                      <a:ext uri="{FF2B5EF4-FFF2-40B4-BE49-F238E27FC236}">
                        <a16:creationId xmlns:a16="http://schemas.microsoft.com/office/drawing/2014/main" id="{C2B0E760-40AE-4038-82A9-5B2FC815A494}"/>
                      </a:ext>
                    </a:extLst>
                  </xdr:cNvPr>
                  <xdr:cNvSpPr txBox="1"/>
                </xdr:nvSpPr>
                <xdr:spPr>
                  <a:xfrm>
                    <a:off x="418918" y="5571521"/>
                    <a:ext cx="847894" cy="400170"/>
                  </a:xfrm>
                  <a:prstGeom prst="rect">
                    <a:avLst/>
                  </a:prstGeom>
                  <a:solidFill>
                    <a:srgbClr val="AFCDDB"/>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xdr:txBody>
              </xdr:sp>
              <xdr:sp macro="" textlink="">
                <xdr:nvSpPr>
                  <xdr:cNvPr id="23" name="TextBox 114">
                    <a:extLst>
                      <a:ext uri="{FF2B5EF4-FFF2-40B4-BE49-F238E27FC236}">
                        <a16:creationId xmlns:a16="http://schemas.microsoft.com/office/drawing/2014/main" id="{C8DC98E2-389F-4F67-A2EA-731D8C7B5B98}"/>
                      </a:ext>
                    </a:extLst>
                  </xdr:cNvPr>
                  <xdr:cNvSpPr txBox="1"/>
                </xdr:nvSpPr>
                <xdr:spPr>
                  <a:xfrm>
                    <a:off x="1313215" y="5571421"/>
                    <a:ext cx="950702" cy="397488"/>
                  </a:xfrm>
                  <a:prstGeom prst="rect">
                    <a:avLst/>
                  </a:prstGeom>
                  <a:solidFill>
                    <a:srgbClr val="236192"/>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a:t>
                    </a:r>
                  </a:p>
                </xdr:txBody>
              </xdr:sp>
              <xdr:sp macro="" textlink="">
                <xdr:nvSpPr>
                  <xdr:cNvPr id="24" name="TextBox 115">
                    <a:extLst>
                      <a:ext uri="{FF2B5EF4-FFF2-40B4-BE49-F238E27FC236}">
                        <a16:creationId xmlns:a16="http://schemas.microsoft.com/office/drawing/2014/main" id="{AC75EF32-8050-4AFA-A187-C3E360F83608}"/>
                      </a:ext>
                    </a:extLst>
                  </xdr:cNvPr>
                  <xdr:cNvSpPr txBox="1"/>
                </xdr:nvSpPr>
                <xdr:spPr>
                  <a:xfrm>
                    <a:off x="2399605" y="5574915"/>
                    <a:ext cx="926649" cy="39399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a:t>
                    </a:r>
                  </a:p>
                </xdr:txBody>
              </xdr:sp>
              <xdr:sp macro="" textlink="">
                <xdr:nvSpPr>
                  <xdr:cNvPr id="25" name="TextBox 116">
                    <a:extLst>
                      <a:ext uri="{FF2B5EF4-FFF2-40B4-BE49-F238E27FC236}">
                        <a16:creationId xmlns:a16="http://schemas.microsoft.com/office/drawing/2014/main" id="{FA5AF2AB-2A17-4986-BF57-633C26797917}"/>
                      </a:ext>
                    </a:extLst>
                  </xdr:cNvPr>
                  <xdr:cNvSpPr txBox="1"/>
                </xdr:nvSpPr>
                <xdr:spPr>
                  <a:xfrm>
                    <a:off x="3458366" y="5595367"/>
                    <a:ext cx="1097961" cy="390644"/>
                  </a:xfrm>
                  <a:prstGeom prst="rect">
                    <a:avLst/>
                  </a:prstGeom>
                  <a:solidFill>
                    <a:srgbClr val="FFFFFF">
                      <a:lumMod val="65000"/>
                    </a:srgbClr>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Supporting Worksheets</a:t>
                    </a:r>
                  </a:p>
                </xdr:txBody>
              </xdr:sp>
              <xdr:cxnSp macro="">
                <xdr:nvCxnSpPr>
                  <xdr:cNvPr id="27" name="Straight Arrow Connector 118">
                    <a:extLst>
                      <a:ext uri="{FF2B5EF4-FFF2-40B4-BE49-F238E27FC236}">
                        <a16:creationId xmlns:a16="http://schemas.microsoft.com/office/drawing/2014/main" id="{C63F4C4F-0735-424C-9263-9D8B29BDEFC7}"/>
                      </a:ext>
                    </a:extLst>
                  </xdr:cNvPr>
                  <xdr:cNvCxnSpPr/>
                </xdr:nvCxnSpPr>
                <xdr:spPr>
                  <a:xfrm>
                    <a:off x="5918651"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1" name="Rounded Rectangle 107">
                    <a:extLst>
                      <a:ext uri="{FF2B5EF4-FFF2-40B4-BE49-F238E27FC236}">
                        <a16:creationId xmlns:a16="http://schemas.microsoft.com/office/drawing/2014/main" id="{846C031D-00FA-4959-A53F-DB4BD099FD24}"/>
                      </a:ext>
                    </a:extLst>
                  </xdr:cNvPr>
                  <xdr:cNvSpPr/>
                </xdr:nvSpPr>
                <xdr:spPr>
                  <a:xfrm>
                    <a:off x="6407497"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CALCULATIONS</a:t>
                    </a:r>
                  </a:p>
                </xdr:txBody>
              </xdr:sp>
              <xdr:sp macro="" textlink="">
                <xdr:nvSpPr>
                  <xdr:cNvPr id="152" name="Rounded Rectangle 108">
                    <a:extLst>
                      <a:ext uri="{FF2B5EF4-FFF2-40B4-BE49-F238E27FC236}">
                        <a16:creationId xmlns:a16="http://schemas.microsoft.com/office/drawing/2014/main" id="{241445F8-BD72-4057-B75D-5B56129BEF62}"/>
                      </a:ext>
                    </a:extLst>
                  </xdr:cNvPr>
                  <xdr:cNvSpPr/>
                </xdr:nvSpPr>
                <xdr:spPr>
                  <a:xfrm>
                    <a:off x="6505194" y="378250"/>
                    <a:ext cx="4849090" cy="4613318"/>
                  </a:xfrm>
                  <a:prstGeom prst="roundRect">
                    <a:avLst>
                      <a:gd name="adj" fmla="val 0"/>
                    </a:avLst>
                  </a:prstGeom>
                  <a:solidFill>
                    <a:srgbClr val="236192"/>
                  </a:solidFill>
                  <a:ln w="9525" cmpd="sng">
                    <a:solidFill>
                      <a:sysClr val="windowText" lastClr="000000"/>
                    </a:solid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Calc_Rates / Calc_TU_values / Calc_TU_rates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Calculations will take reference to inputs in the period selected by user.</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Fixed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Variable tariff,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Annual bill,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cxnSp macro="">
                <xdr:nvCxnSpPr>
                  <xdr:cNvPr id="154" name="Straight Arrow Connector 118">
                    <a:extLst>
                      <a:ext uri="{FF2B5EF4-FFF2-40B4-BE49-F238E27FC236}">
                        <a16:creationId xmlns:a16="http://schemas.microsoft.com/office/drawing/2014/main" id="{2FDDB231-B6AE-4520-AB54-9A5525CF8CBE}"/>
                      </a:ext>
                    </a:extLst>
                  </xdr:cNvPr>
                  <xdr:cNvCxnSpPr/>
                </xdr:nvCxnSpPr>
                <xdr:spPr>
                  <a:xfrm>
                    <a:off x="11557672" y="2571752"/>
                    <a:ext cx="412494" cy="6694"/>
                  </a:xfrm>
                  <a:prstGeom prst="straightConnector1">
                    <a:avLst/>
                  </a:prstGeom>
                  <a:noFill/>
                  <a:ln w="12700" cap="flat" cmpd="sng" algn="ctr">
                    <a:solidFill>
                      <a:sysClr val="windowText" lastClr="000000"/>
                    </a:solidFill>
                    <a:prstDash val="solid"/>
                    <a:miter lim="800000"/>
                    <a:tailEnd type="triangle"/>
                  </a:ln>
                  <a:effectLst/>
                </xdr:spPr>
              </xdr:cxnSp>
              <xdr:sp macro="" textlink="">
                <xdr:nvSpPr>
                  <xdr:cNvPr id="155" name="Rounded Rectangle 107">
                    <a:extLst>
                      <a:ext uri="{FF2B5EF4-FFF2-40B4-BE49-F238E27FC236}">
                        <a16:creationId xmlns:a16="http://schemas.microsoft.com/office/drawing/2014/main" id="{20D04CF7-24A3-4B6F-9567-FFB5672C2DEC}"/>
                      </a:ext>
                    </a:extLst>
                  </xdr:cNvPr>
                  <xdr:cNvSpPr/>
                </xdr:nvSpPr>
                <xdr:spPr>
                  <a:xfrm>
                    <a:off x="12035609" y="120064"/>
                    <a:ext cx="5050032" cy="4871502"/>
                  </a:xfrm>
                  <a:prstGeom prst="roundRect">
                    <a:avLst>
                      <a:gd name="adj" fmla="val 0"/>
                    </a:avLst>
                  </a:prstGeom>
                  <a:solidFill>
                    <a:srgbClr val="FFFFFF">
                      <a:lumMod val="95000"/>
                      <a:alpha val="50000"/>
                    </a:srgbClr>
                  </a:solidFill>
                  <a:ln w="12700" cap="flat" cmpd="sng" algn="ctr">
                    <a:solidFill>
                      <a:srgbClr val="FFFFFF">
                        <a:lumMod val="50000"/>
                      </a:srgbClr>
                    </a:solidFill>
                    <a:prstDash val="solid"/>
                    <a:miter lim="800000"/>
                  </a:ln>
                  <a:effectLst/>
                </xdr:spPr>
                <xdr:txBody>
                  <a:bodyPr vertOverflow="clip" horzOverflow="clip"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OUTPUTS</a:t>
                    </a:r>
                  </a:p>
                </xdr:txBody>
              </xdr:sp>
              <xdr:sp macro="" textlink="">
                <xdr:nvSpPr>
                  <xdr:cNvPr id="156" name="TextBox 106">
                    <a:extLst>
                      <a:ext uri="{FF2B5EF4-FFF2-40B4-BE49-F238E27FC236}">
                        <a16:creationId xmlns:a16="http://schemas.microsoft.com/office/drawing/2014/main" id="{A3F43476-6D7F-4C70-A226-F8F69B191EBD}"/>
                      </a:ext>
                    </a:extLst>
                  </xdr:cNvPr>
                  <xdr:cNvSpPr txBox="1"/>
                </xdr:nvSpPr>
                <xdr:spPr>
                  <a:xfrm>
                    <a:off x="12177403" y="423152"/>
                    <a:ext cx="4788260" cy="4568415"/>
                  </a:xfrm>
                  <a:prstGeom prst="rect">
                    <a:avLst/>
                  </a:prstGeom>
                  <a:solidFill>
                    <a:srgbClr val="CE0058"/>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OP_Rates / OP_CMAB</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Final calculations are extracted and organised, ready for publishing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 Display the respective rates and bills for all electricity providers, for residential and small business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Outputs include: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Tariff Rates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rPr>
                      <a:t>VDO estimated annual bills</a:t>
                    </a:r>
                  </a:p>
                </xdr:txBody>
              </xdr:sp>
            </xdr:grpSp>
            <xdr:sp macro="" textlink="">
              <xdr:nvSpPr>
                <xdr:cNvPr id="28" name="TextBox 99">
                  <a:extLst>
                    <a:ext uri="{FF2B5EF4-FFF2-40B4-BE49-F238E27FC236}">
                      <a16:creationId xmlns:a16="http://schemas.microsoft.com/office/drawing/2014/main" id="{CF8FF41C-98FE-41DE-891B-6357D463A07C}"/>
                    </a:ext>
                  </a:extLst>
                </xdr:cNvPr>
                <xdr:cNvSpPr txBox="1"/>
              </xdr:nvSpPr>
              <xdr:spPr>
                <a:xfrm>
                  <a:off x="326572" y="4475553"/>
                  <a:ext cx="5483677" cy="42620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rPr>
                    <a:t>CPI 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Quarterly CPI indices and associated VDO regulatory periods</a:t>
                  </a:r>
                </a:p>
              </xdr:txBody>
            </xdr:sp>
          </xdr:grpSp>
          <xdr:sp macro="" textlink="">
            <xdr:nvSpPr>
              <xdr:cNvPr id="29" name="TextBox 97">
                <a:extLst>
                  <a:ext uri="{FF2B5EF4-FFF2-40B4-BE49-F238E27FC236}">
                    <a16:creationId xmlns:a16="http://schemas.microsoft.com/office/drawing/2014/main" id="{8A1CF666-196D-44F6-8951-34EED3C68478}"/>
                  </a:ext>
                </a:extLst>
              </xdr:cNvPr>
              <xdr:cNvSpPr txBox="1"/>
            </xdr:nvSpPr>
            <xdr:spPr>
              <a:xfrm>
                <a:off x="455081" y="1999200"/>
                <a:ext cx="5459342" cy="3412549"/>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Values to be inputted every new period, over time creating a time series of historical and current inputs.</a:t>
                </a:r>
              </a:p>
            </xdr:txBody>
          </xdr:sp>
          <xdr:sp macro="" textlink="">
            <xdr:nvSpPr>
              <xdr:cNvPr id="30" name="TextBox 123">
                <a:extLst>
                  <a:ext uri="{FF2B5EF4-FFF2-40B4-BE49-F238E27FC236}">
                    <a16:creationId xmlns:a16="http://schemas.microsoft.com/office/drawing/2014/main" id="{7420815E-0F85-4C85-BA61-C5A58F1EB871}"/>
                  </a:ext>
                </a:extLst>
              </xdr:cNvPr>
              <xdr:cNvSpPr txBox="1"/>
            </xdr:nvSpPr>
            <xdr:spPr>
              <a:xfrm>
                <a:off x="444174" y="5501552"/>
                <a:ext cx="5459342" cy="493921"/>
              </a:xfrm>
              <a:prstGeom prst="rect">
                <a:avLst/>
              </a:prstGeom>
              <a:solidFill>
                <a:srgbClr val="AFCDDB"/>
              </a:solidFill>
              <a:ln w="9525" cmpd="sng">
                <a:solidFill>
                  <a:srgbClr val="FFFFFF">
                    <a:shade val="50000"/>
                  </a:srgbClr>
                </a:solid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General Assumptions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Inputs that remain constant across the time periods</a:t>
                </a:r>
              </a:p>
            </xdr:txBody>
          </xdr:sp>
        </xdr:grpSp>
        <xdr:sp macro="" textlink="">
          <xdr:nvSpPr>
            <xdr:cNvPr id="31" name="TextBox 92">
              <a:extLst>
                <a:ext uri="{FF2B5EF4-FFF2-40B4-BE49-F238E27FC236}">
                  <a16:creationId xmlns:a16="http://schemas.microsoft.com/office/drawing/2014/main" id="{1014C094-2F54-4172-B57E-4790967D5EF2}"/>
                </a:ext>
              </a:extLst>
            </xdr:cNvPr>
            <xdr:cNvSpPr txBox="1"/>
          </xdr:nvSpPr>
          <xdr:spPr>
            <a:xfrm>
              <a:off x="584453" y="2706405"/>
              <a:ext cx="2590744" cy="2555915"/>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Variable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price,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Wholesale volatility,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price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Environmental programs liability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usage charge, small business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Controlled load charges, residential</a:t>
              </a:r>
            </a:p>
          </xdr:txBody>
        </xdr:sp>
        <xdr:sp macro="" textlink="">
          <xdr:nvSpPr>
            <xdr:cNvPr id="32" name="TextBox 93">
              <a:extLst>
                <a:ext uri="{FF2B5EF4-FFF2-40B4-BE49-F238E27FC236}">
                  <a16:creationId xmlns:a16="http://schemas.microsoft.com/office/drawing/2014/main" id="{E739218C-B44E-4F91-B57D-9D84EC27B03A}"/>
                </a:ext>
              </a:extLst>
            </xdr:cNvPr>
            <xdr:cNvSpPr txBox="1"/>
          </xdr:nvSpPr>
          <xdr:spPr>
            <a:xfrm>
              <a:off x="3276395" y="2706406"/>
              <a:ext cx="2536779" cy="1406262"/>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Fixed 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Solar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Ancillary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Metering</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residential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Network supply charge, small business</a:t>
              </a:r>
            </a:p>
          </xdr:txBody>
        </xdr:sp>
        <xdr:sp macro="" textlink="">
          <xdr:nvSpPr>
            <xdr:cNvPr id="33" name="TextBox 94">
              <a:extLst>
                <a:ext uri="{FF2B5EF4-FFF2-40B4-BE49-F238E27FC236}">
                  <a16:creationId xmlns:a16="http://schemas.microsoft.com/office/drawing/2014/main" id="{661FD5E0-9EEE-4B46-9684-7CFAD3BD60AE}"/>
                </a:ext>
              </a:extLst>
            </xdr:cNvPr>
            <xdr:cNvSpPr txBox="1"/>
          </xdr:nvSpPr>
          <xdr:spPr>
            <a:xfrm>
              <a:off x="3280469" y="4195697"/>
              <a:ext cx="2529781" cy="1069678"/>
            </a:xfrm>
            <a:prstGeom prst="rect">
              <a:avLst/>
            </a:prstGeom>
            <a:solidFill>
              <a:srgbClr val="FFFFFF"/>
            </a:solidFill>
            <a:ln w="9525" cmpd="sng">
              <a:solidFill>
                <a:srgbClr val="FFFFFF">
                  <a:shade val="50000"/>
                </a:srgbClr>
              </a:solidFill>
            </a:ln>
            <a:effectLst/>
          </xdr:spPr>
          <xdr:txBody>
            <a:bodyPr vertOverflow="clip" horz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Non-Cost Input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Distribution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Marginal network loss factors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Retail margin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0" i="0" u="none" strike="noStrike" kern="0" cap="none" spc="0" normalizeH="0" baseline="0" noProof="0">
                  <a:ln>
                    <a:noFill/>
                  </a:ln>
                  <a:solidFill>
                    <a:sysClr val="windowText" lastClr="000000"/>
                  </a:solidFill>
                  <a:effectLst/>
                  <a:uLnTx/>
                  <a:uFillTx/>
                  <a:latin typeface="Arial" panose="020B0604020202020204"/>
                  <a:ea typeface="+mn-ea"/>
                  <a:cs typeface="+mn-cs"/>
                </a:rPr>
                <a:t>- Electricity consumption</a:t>
              </a:r>
            </a:p>
          </xdr:txBody>
        </xdr:sp>
        <xdr:sp macro="" textlink="">
          <xdr:nvSpPr>
            <xdr:cNvPr id="34" name="TextBox 95">
              <a:extLst>
                <a:ext uri="{FF2B5EF4-FFF2-40B4-BE49-F238E27FC236}">
                  <a16:creationId xmlns:a16="http://schemas.microsoft.com/office/drawing/2014/main" id="{E1E9623C-D5D8-4BB4-8CA5-24BD19492BC2}"/>
                </a:ext>
              </a:extLst>
            </xdr:cNvPr>
            <xdr:cNvSpPr txBox="1"/>
          </xdr:nvSpPr>
          <xdr:spPr>
            <a:xfrm>
              <a:off x="6715124" y="4793986"/>
              <a:ext cx="3946071" cy="1644571"/>
            </a:xfrm>
            <a:prstGeom prst="rect">
              <a:avLst/>
            </a:prstGeom>
            <a:noFill/>
            <a:ln w="9525" cmpd="sng">
              <a:noFill/>
            </a:ln>
            <a:effectLst/>
          </xdr:spPr>
          <xdr:txBody>
            <a:bodyPr vertOverflow="clip" horzOverflow="clip" wrap="square"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050" b="0" i="0" u="none" strike="noStrike" kern="0" cap="none" spc="0" normalizeH="0" baseline="0" noProof="0">
                <a:ln>
                  <a:noFill/>
                </a:ln>
                <a:solidFill>
                  <a:srgbClr val="FFFFFF"/>
                </a:solidFill>
                <a:effectLst/>
                <a:uLnTx/>
                <a:uFillTx/>
                <a:latin typeface="Arial" panose="020B0604020202020204"/>
                <a:ea typeface="+mn-ea"/>
                <a:cs typeface="Arial" panose="020B0604020202020204" pitchFamily="34" charset="0"/>
              </a:endParaRPr>
            </a:p>
          </xdr:txBody>
        </xdr:sp>
      </xdr:grpSp>
      <xdr:sp macro="" textlink="">
        <xdr:nvSpPr>
          <xdr:cNvPr id="35" name="TextBox 85">
            <a:extLst>
              <a:ext uri="{FF2B5EF4-FFF2-40B4-BE49-F238E27FC236}">
                <a16:creationId xmlns:a16="http://schemas.microsoft.com/office/drawing/2014/main" id="{D6FCE240-7C14-42C4-950E-108A20ECC6FF}"/>
              </a:ext>
            </a:extLst>
          </xdr:cNvPr>
          <xdr:cNvSpPr txBox="1"/>
        </xdr:nvSpPr>
        <xdr:spPr>
          <a:xfrm>
            <a:off x="6969713" y="4798063"/>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AusNet</a:t>
            </a:r>
          </a:p>
        </xdr:txBody>
      </xdr:sp>
      <xdr:sp macro="" textlink="">
        <xdr:nvSpPr>
          <xdr:cNvPr id="36" name="TextBox 86">
            <a:extLst>
              <a:ext uri="{FF2B5EF4-FFF2-40B4-BE49-F238E27FC236}">
                <a16:creationId xmlns:a16="http://schemas.microsoft.com/office/drawing/2014/main" id="{6C6F8D72-B31D-49E4-A863-5AD31A6EF591}"/>
              </a:ext>
            </a:extLst>
          </xdr:cNvPr>
          <xdr:cNvSpPr txBox="1"/>
        </xdr:nvSpPr>
        <xdr:spPr>
          <a:xfrm>
            <a:off x="8212506" y="4798064"/>
            <a:ext cx="1101873" cy="62236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CitiPower</a:t>
            </a:r>
          </a:p>
        </xdr:txBody>
      </xdr:sp>
      <xdr:sp macro="" textlink="">
        <xdr:nvSpPr>
          <xdr:cNvPr id="37" name="TextBox 87">
            <a:extLst>
              <a:ext uri="{FF2B5EF4-FFF2-40B4-BE49-F238E27FC236}">
                <a16:creationId xmlns:a16="http://schemas.microsoft.com/office/drawing/2014/main" id="{40939CEF-2A9E-4B02-8904-35FC1B76B88A}"/>
              </a:ext>
            </a:extLst>
          </xdr:cNvPr>
          <xdr:cNvSpPr txBox="1"/>
        </xdr:nvSpPr>
        <xdr:spPr>
          <a:xfrm>
            <a:off x="9466168" y="4803925"/>
            <a:ext cx="1100985" cy="608199"/>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Jemena</a:t>
            </a:r>
          </a:p>
        </xdr:txBody>
      </xdr:sp>
      <xdr:sp macro="" textlink="">
        <xdr:nvSpPr>
          <xdr:cNvPr id="38" name="TextBox 88">
            <a:extLst>
              <a:ext uri="{FF2B5EF4-FFF2-40B4-BE49-F238E27FC236}">
                <a16:creationId xmlns:a16="http://schemas.microsoft.com/office/drawing/2014/main" id="{15BB24D6-E6C2-4591-8373-937E75ECD2D2}"/>
              </a:ext>
            </a:extLst>
          </xdr:cNvPr>
          <xdr:cNvSpPr txBox="1"/>
        </xdr:nvSpPr>
        <xdr:spPr>
          <a:xfrm>
            <a:off x="7606970" y="5488923"/>
            <a:ext cx="1100985" cy="619335"/>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Powercor</a:t>
            </a:r>
          </a:p>
        </xdr:txBody>
      </xdr:sp>
      <xdr:sp macro="" textlink="">
        <xdr:nvSpPr>
          <xdr:cNvPr id="39" name="TextBox 89">
            <a:extLst>
              <a:ext uri="{FF2B5EF4-FFF2-40B4-BE49-F238E27FC236}">
                <a16:creationId xmlns:a16="http://schemas.microsoft.com/office/drawing/2014/main" id="{12391A71-E691-402F-9D47-53D2C2E7EA81}"/>
              </a:ext>
            </a:extLst>
          </xdr:cNvPr>
          <xdr:cNvSpPr txBox="1"/>
        </xdr:nvSpPr>
        <xdr:spPr>
          <a:xfrm>
            <a:off x="8841144" y="5475229"/>
            <a:ext cx="1100985" cy="631026"/>
          </a:xfrm>
          <a:prstGeom prst="rect">
            <a:avLst/>
          </a:prstGeom>
          <a:solidFill>
            <a:srgbClr val="FFFFFF"/>
          </a:solidFill>
          <a:ln w="9525" cmpd="sng">
            <a:solidFill>
              <a:srgbClr val="FFFFFF">
                <a:shade val="50000"/>
              </a:srgbClr>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United Energy</a:t>
            </a:r>
          </a:p>
        </xdr:txBody>
      </xdr:sp>
    </xdr:grpSp>
    <xdr:clientData/>
  </xdr:twoCellAnchor>
  <xdr:twoCellAnchor>
    <xdr:from>
      <xdr:col>2</xdr:col>
      <xdr:colOff>2286001</xdr:colOff>
      <xdr:row>44</xdr:row>
      <xdr:rowOff>76726</xdr:rowOff>
    </xdr:from>
    <xdr:to>
      <xdr:col>6</xdr:col>
      <xdr:colOff>866776</xdr:colOff>
      <xdr:row>50</xdr:row>
      <xdr:rowOff>161925</xdr:rowOff>
    </xdr:to>
    <xdr:sp macro="" textlink="">
      <xdr:nvSpPr>
        <xdr:cNvPr id="47" name="Rectangle 46">
          <a:extLst>
            <a:ext uri="{FF2B5EF4-FFF2-40B4-BE49-F238E27FC236}">
              <a16:creationId xmlns:a16="http://schemas.microsoft.com/office/drawing/2014/main" id="{B8F92B5F-585B-437F-B6E7-120814771D5A}"/>
            </a:ext>
          </a:extLst>
        </xdr:cNvPr>
        <xdr:cNvSpPr/>
      </xdr:nvSpPr>
      <xdr:spPr>
        <a:xfrm>
          <a:off x="2990851" y="9135001"/>
          <a:ext cx="7067550" cy="122819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2496111</xdr:colOff>
      <xdr:row>45</xdr:row>
      <xdr:rowOff>173825</xdr:rowOff>
    </xdr:from>
    <xdr:to>
      <xdr:col>3</xdr:col>
      <xdr:colOff>507150</xdr:colOff>
      <xdr:row>49</xdr:row>
      <xdr:rowOff>130824</xdr:rowOff>
    </xdr:to>
    <xdr:sp macro="" textlink="">
      <xdr:nvSpPr>
        <xdr:cNvPr id="48" name="Rectangle 47">
          <a:extLst>
            <a:ext uri="{FF2B5EF4-FFF2-40B4-BE49-F238E27FC236}">
              <a16:creationId xmlns:a16="http://schemas.microsoft.com/office/drawing/2014/main" id="{C4A16E1A-B0AA-4DD8-8E3F-0E84D23F7AB1}"/>
            </a:ext>
          </a:extLst>
        </xdr:cNvPr>
        <xdr:cNvSpPr/>
      </xdr:nvSpPr>
      <xdr:spPr>
        <a:xfrm>
          <a:off x="3213287" y="999017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Retail operating cost ($)</a:t>
          </a:r>
        </a:p>
      </xdr:txBody>
    </xdr:sp>
    <xdr:clientData/>
  </xdr:twoCellAnchor>
  <xdr:twoCellAnchor>
    <xdr:from>
      <xdr:col>3</xdr:col>
      <xdr:colOff>819876</xdr:colOff>
      <xdr:row>45</xdr:row>
      <xdr:rowOff>173825</xdr:rowOff>
    </xdr:from>
    <xdr:to>
      <xdr:col>4</xdr:col>
      <xdr:colOff>500592</xdr:colOff>
      <xdr:row>49</xdr:row>
      <xdr:rowOff>130824</xdr:rowOff>
    </xdr:to>
    <xdr:sp macro="" textlink="">
      <xdr:nvSpPr>
        <xdr:cNvPr id="49" name="Rectangle 48">
          <a:extLst>
            <a:ext uri="{FF2B5EF4-FFF2-40B4-BE49-F238E27FC236}">
              <a16:creationId xmlns:a16="http://schemas.microsoft.com/office/drawing/2014/main" id="{D640DC63-9569-4F5C-B62C-88CC3B2A1C01}"/>
            </a:ext>
          </a:extLst>
        </xdr:cNvPr>
        <xdr:cNvSpPr/>
      </xdr:nvSpPr>
      <xdr:spPr>
        <a:xfrm>
          <a:off x="4896576" y="9422600"/>
          <a:ext cx="1385691"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charges ($)</a:t>
          </a:r>
        </a:p>
      </xdr:txBody>
    </xdr:sp>
    <xdr:clientData/>
  </xdr:twoCellAnchor>
  <xdr:twoCellAnchor>
    <xdr:from>
      <xdr:col>4</xdr:col>
      <xdr:colOff>796866</xdr:colOff>
      <xdr:row>45</xdr:row>
      <xdr:rowOff>173825</xdr:rowOff>
    </xdr:from>
    <xdr:to>
      <xdr:col>5</xdr:col>
      <xdr:colOff>470291</xdr:colOff>
      <xdr:row>49</xdr:row>
      <xdr:rowOff>130824</xdr:rowOff>
    </xdr:to>
    <xdr:sp macro="" textlink="">
      <xdr:nvSpPr>
        <xdr:cNvPr id="51" name="Rectangle 50">
          <a:extLst>
            <a:ext uri="{FF2B5EF4-FFF2-40B4-BE49-F238E27FC236}">
              <a16:creationId xmlns:a16="http://schemas.microsoft.com/office/drawing/2014/main" id="{57129EC0-1579-4619-B1E8-8F5C891ABD6B}"/>
            </a:ext>
          </a:extLst>
        </xdr:cNvPr>
        <xdr:cNvSpPr/>
      </xdr:nvSpPr>
      <xdr:spPr>
        <a:xfrm>
          <a:off x="6612719" y="9990178"/>
          <a:ext cx="1387925"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r>
            <a:rPr lang="en-AU" sz="900" b="1" baseline="0">
              <a:solidFill>
                <a:schemeClr val="tx1"/>
              </a:solidFill>
              <a:latin typeface="+mj-lt"/>
              <a:ea typeface="+mn-ea"/>
              <a:cs typeface="Arial" panose="020B0604020202020204" pitchFamily="34" charset="0"/>
            </a:rPr>
            <a:t> </a:t>
          </a:r>
          <a:r>
            <a:rPr lang="en-AU" sz="900" b="1">
              <a:solidFill>
                <a:schemeClr val="tx1"/>
              </a:solidFill>
              <a:latin typeface="+mj-lt"/>
              <a:ea typeface="+mn-ea"/>
              <a:cs typeface="Arial" panose="020B0604020202020204" pitchFamily="34" charset="0"/>
            </a:rPr>
            <a:t>($)</a:t>
          </a:r>
        </a:p>
      </xdr:txBody>
    </xdr:sp>
    <xdr:clientData/>
  </xdr:twoCellAnchor>
  <xdr:twoCellAnchor>
    <xdr:from>
      <xdr:col>5</xdr:col>
      <xdr:colOff>850787</xdr:colOff>
      <xdr:row>45</xdr:row>
      <xdr:rowOff>164300</xdr:rowOff>
    </xdr:from>
    <xdr:to>
      <xdr:col>6</xdr:col>
      <xdr:colOff>531504</xdr:colOff>
      <xdr:row>49</xdr:row>
      <xdr:rowOff>121299</xdr:rowOff>
    </xdr:to>
    <xdr:sp macro="" textlink="">
      <xdr:nvSpPr>
        <xdr:cNvPr id="55" name="Rectangle 54">
          <a:extLst>
            <a:ext uri="{FF2B5EF4-FFF2-40B4-BE49-F238E27FC236}">
              <a16:creationId xmlns:a16="http://schemas.microsoft.com/office/drawing/2014/main" id="{BE5A7782-3F56-48F4-91F7-ADA4041E7ADE}"/>
            </a:ext>
          </a:extLst>
        </xdr:cNvPr>
        <xdr:cNvSpPr/>
      </xdr:nvSpPr>
      <xdr:spPr>
        <a:xfrm>
          <a:off x="8337437" y="9413075"/>
          <a:ext cx="1385692"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CARC</a:t>
          </a:r>
          <a:r>
            <a:rPr lang="en-AU" sz="900" b="1" baseline="0">
              <a:solidFill>
                <a:schemeClr val="tx1"/>
              </a:solidFill>
              <a:latin typeface="+mj-lt"/>
              <a:ea typeface="+mn-ea"/>
              <a:cs typeface="Arial" panose="020B0604020202020204" pitchFamily="34" charset="0"/>
            </a:rPr>
            <a:t> </a:t>
          </a:r>
          <a:r>
            <a:rPr lang="en-AU" sz="900" b="1">
              <a:solidFill>
                <a:schemeClr val="tx1"/>
              </a:solidFill>
              <a:latin typeface="+mj-lt"/>
              <a:ea typeface="+mn-ea"/>
              <a:cs typeface="Arial" panose="020B0604020202020204" pitchFamily="34" charset="0"/>
            </a:rPr>
            <a:t>($)</a:t>
          </a:r>
        </a:p>
      </xdr:txBody>
    </xdr:sp>
    <xdr:clientData/>
  </xdr:twoCellAnchor>
  <xdr:twoCellAnchor>
    <xdr:from>
      <xdr:col>6</xdr:col>
      <xdr:colOff>1211327</xdr:colOff>
      <xdr:row>44</xdr:row>
      <xdr:rowOff>67201</xdr:rowOff>
    </xdr:from>
    <xdr:to>
      <xdr:col>7</xdr:col>
      <xdr:colOff>1027917</xdr:colOff>
      <xdr:row>50</xdr:row>
      <xdr:rowOff>142875</xdr:rowOff>
    </xdr:to>
    <xdr:sp macro="" textlink="">
      <xdr:nvSpPr>
        <xdr:cNvPr id="58" name="Rectangle 57">
          <a:extLst>
            <a:ext uri="{FF2B5EF4-FFF2-40B4-BE49-F238E27FC236}">
              <a16:creationId xmlns:a16="http://schemas.microsoft.com/office/drawing/2014/main" id="{3EE40249-264E-4B69-94D6-D70B2D457E50}"/>
            </a:ext>
          </a:extLst>
        </xdr:cNvPr>
        <xdr:cNvSpPr/>
      </xdr:nvSpPr>
      <xdr:spPr>
        <a:xfrm>
          <a:off x="10402952" y="9125476"/>
          <a:ext cx="1521565" cy="121867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7</xdr:col>
      <xdr:colOff>1380824</xdr:colOff>
      <xdr:row>44</xdr:row>
      <xdr:rowOff>76726</xdr:rowOff>
    </xdr:from>
    <xdr:to>
      <xdr:col>8</xdr:col>
      <xdr:colOff>1187208</xdr:colOff>
      <xdr:row>50</xdr:row>
      <xdr:rowOff>142875</xdr:rowOff>
    </xdr:to>
    <xdr:sp macro="" textlink="">
      <xdr:nvSpPr>
        <xdr:cNvPr id="59" name="Rectangle 58">
          <a:extLst>
            <a:ext uri="{FF2B5EF4-FFF2-40B4-BE49-F238E27FC236}">
              <a16:creationId xmlns:a16="http://schemas.microsoft.com/office/drawing/2014/main" id="{024C6063-DDEF-47D7-9310-7238581E51D1}"/>
            </a:ext>
          </a:extLst>
        </xdr:cNvPr>
        <xdr:cNvSpPr/>
      </xdr:nvSpPr>
      <xdr:spPr>
        <a:xfrm>
          <a:off x="12277424" y="9135001"/>
          <a:ext cx="1511359" cy="120914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1882784</xdr:colOff>
      <xdr:row>47</xdr:row>
      <xdr:rowOff>121511</xdr:rowOff>
    </xdr:from>
    <xdr:to>
      <xdr:col>2</xdr:col>
      <xdr:colOff>2142340</xdr:colOff>
      <xdr:row>47</xdr:row>
      <xdr:rowOff>121511</xdr:rowOff>
    </xdr:to>
    <xdr:cxnSp macro="">
      <xdr:nvCxnSpPr>
        <xdr:cNvPr id="61" name="Straight Arrow Connector 60">
          <a:extLst>
            <a:ext uri="{FF2B5EF4-FFF2-40B4-BE49-F238E27FC236}">
              <a16:creationId xmlns:a16="http://schemas.microsoft.com/office/drawing/2014/main" id="{502AFFC0-C715-48D6-8339-E7746624C3BE}"/>
            </a:ext>
          </a:extLst>
        </xdr:cNvPr>
        <xdr:cNvCxnSpPr/>
      </xdr:nvCxnSpPr>
      <xdr:spPr>
        <a:xfrm>
          <a:off x="2599960" y="10318864"/>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42157</xdr:colOff>
      <xdr:row>42</xdr:row>
      <xdr:rowOff>186565</xdr:rowOff>
    </xdr:from>
    <xdr:to>
      <xdr:col>2</xdr:col>
      <xdr:colOff>1739460</xdr:colOff>
      <xdr:row>58</xdr:row>
      <xdr:rowOff>84402</xdr:rowOff>
    </xdr:to>
    <xdr:grpSp>
      <xdr:nvGrpSpPr>
        <xdr:cNvPr id="86" name="Group 85">
          <a:extLst>
            <a:ext uri="{FF2B5EF4-FFF2-40B4-BE49-F238E27FC236}">
              <a16:creationId xmlns:a16="http://schemas.microsoft.com/office/drawing/2014/main" id="{240DFC70-0083-48CF-A91E-F37FC970CF5A}"/>
            </a:ext>
          </a:extLst>
        </xdr:cNvPr>
        <xdr:cNvGrpSpPr/>
      </xdr:nvGrpSpPr>
      <xdr:grpSpPr>
        <a:xfrm>
          <a:off x="747007" y="8863840"/>
          <a:ext cx="1697303" cy="2945837"/>
          <a:chOff x="13982274" y="9016796"/>
          <a:chExt cx="1697303" cy="2945837"/>
        </a:xfrm>
      </xdr:grpSpPr>
      <xdr:sp macro="" textlink="">
        <xdr:nvSpPr>
          <xdr:cNvPr id="45" name="Rectangle 44">
            <a:extLst>
              <a:ext uri="{FF2B5EF4-FFF2-40B4-BE49-F238E27FC236}">
                <a16:creationId xmlns:a16="http://schemas.microsoft.com/office/drawing/2014/main" id="{744A0365-E213-49D5-B239-43037B7A516A}"/>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Tariffs</a:t>
            </a:r>
            <a:endParaRPr lang="en-AU" sz="1050" b="0">
              <a:solidFill>
                <a:sysClr val="windowText" lastClr="000000"/>
              </a:solidFill>
              <a:latin typeface="+mj-lt"/>
            </a:endParaRPr>
          </a:p>
        </xdr:txBody>
      </xdr:sp>
      <xdr:sp macro="" textlink="">
        <xdr:nvSpPr>
          <xdr:cNvPr id="62" name="Rectangle 61">
            <a:extLst>
              <a:ext uri="{FF2B5EF4-FFF2-40B4-BE49-F238E27FC236}">
                <a16:creationId xmlns:a16="http://schemas.microsoft.com/office/drawing/2014/main" id="{34156727-E535-422B-BCAB-DEADED5EAE66}"/>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sp macro="" textlink="">
        <xdr:nvSpPr>
          <xdr:cNvPr id="67" name="Rectangle 66">
            <a:extLst>
              <a:ext uri="{FF2B5EF4-FFF2-40B4-BE49-F238E27FC236}">
                <a16:creationId xmlns:a16="http://schemas.microsoft.com/office/drawing/2014/main" id="{0A8D12B2-1227-4702-9394-634DFDAEE286}"/>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grpSp>
    <xdr:clientData/>
  </xdr:twoCellAnchor>
  <xdr:twoCellAnchor>
    <xdr:from>
      <xdr:col>2</xdr:col>
      <xdr:colOff>1879703</xdr:colOff>
      <xdr:row>55</xdr:row>
      <xdr:rowOff>35510</xdr:rowOff>
    </xdr:from>
    <xdr:to>
      <xdr:col>2</xdr:col>
      <xdr:colOff>2149467</xdr:colOff>
      <xdr:row>55</xdr:row>
      <xdr:rowOff>35510</xdr:rowOff>
    </xdr:to>
    <xdr:cxnSp macro="">
      <xdr:nvCxnSpPr>
        <xdr:cNvPr id="66" name="Straight Arrow Connector 65">
          <a:extLst>
            <a:ext uri="{FF2B5EF4-FFF2-40B4-BE49-F238E27FC236}">
              <a16:creationId xmlns:a16="http://schemas.microsoft.com/office/drawing/2014/main" id="{AAF23852-BB2B-464B-BD21-C14D75F66A7F}"/>
            </a:ext>
          </a:extLst>
        </xdr:cNvPr>
        <xdr:cNvCxnSpPr/>
      </xdr:nvCxnSpPr>
      <xdr:spPr>
        <a:xfrm>
          <a:off x="2596879" y="11756863"/>
          <a:ext cx="269764"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1390650</xdr:colOff>
      <xdr:row>52</xdr:row>
      <xdr:rowOff>38350</xdr:rowOff>
    </xdr:from>
    <xdr:to>
      <xdr:col>8</xdr:col>
      <xdr:colOff>1177683</xdr:colOff>
      <xdr:row>58</xdr:row>
      <xdr:rowOff>45748</xdr:rowOff>
    </xdr:to>
    <xdr:sp macro="" textlink="">
      <xdr:nvSpPr>
        <xdr:cNvPr id="63" name="Rectangle 62">
          <a:extLst>
            <a:ext uri="{FF2B5EF4-FFF2-40B4-BE49-F238E27FC236}">
              <a16:creationId xmlns:a16="http://schemas.microsoft.com/office/drawing/2014/main" id="{0A837E26-BE0D-4BFD-AAD0-0DD7D9A4B95F}"/>
            </a:ext>
          </a:extLst>
        </xdr:cNvPr>
        <xdr:cNvSpPr/>
      </xdr:nvSpPr>
      <xdr:spPr>
        <a:xfrm>
          <a:off x="12287250" y="10620625"/>
          <a:ext cx="1492008"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a:t>
          </a:r>
        </a:p>
      </xdr:txBody>
    </xdr:sp>
    <xdr:clientData/>
  </xdr:twoCellAnchor>
  <xdr:twoCellAnchor>
    <xdr:from>
      <xdr:col>8</xdr:col>
      <xdr:colOff>1523361</xdr:colOff>
      <xdr:row>52</xdr:row>
      <xdr:rowOff>28825</xdr:rowOff>
    </xdr:from>
    <xdr:to>
      <xdr:col>9</xdr:col>
      <xdr:colOff>1339951</xdr:colOff>
      <xdr:row>58</xdr:row>
      <xdr:rowOff>36223</xdr:rowOff>
    </xdr:to>
    <xdr:sp macro="" textlink="">
      <xdr:nvSpPr>
        <xdr:cNvPr id="64" name="Rectangle 63">
          <a:extLst>
            <a:ext uri="{FF2B5EF4-FFF2-40B4-BE49-F238E27FC236}">
              <a16:creationId xmlns:a16="http://schemas.microsoft.com/office/drawing/2014/main" id="{DC0CA793-CBE6-41EF-8E38-2CE1FCD090EA}"/>
            </a:ext>
          </a:extLst>
        </xdr:cNvPr>
        <xdr:cNvSpPr/>
      </xdr:nvSpPr>
      <xdr:spPr>
        <a:xfrm>
          <a:off x="14124936" y="10611100"/>
          <a:ext cx="1521565"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2</xdr:col>
      <xdr:colOff>2276476</xdr:colOff>
      <xdr:row>52</xdr:row>
      <xdr:rowOff>28825</xdr:rowOff>
    </xdr:from>
    <xdr:to>
      <xdr:col>7</xdr:col>
      <xdr:colOff>1028700</xdr:colOff>
      <xdr:row>58</xdr:row>
      <xdr:rowOff>36223</xdr:rowOff>
    </xdr:to>
    <xdr:sp macro="" textlink="">
      <xdr:nvSpPr>
        <xdr:cNvPr id="44" name="Rectangle 43">
          <a:extLst>
            <a:ext uri="{FF2B5EF4-FFF2-40B4-BE49-F238E27FC236}">
              <a16:creationId xmlns:a16="http://schemas.microsoft.com/office/drawing/2014/main" id="{8ED4813D-5AD1-4425-AB07-F425155D0634}"/>
            </a:ext>
          </a:extLst>
        </xdr:cNvPr>
        <xdr:cNvSpPr/>
      </xdr:nvSpPr>
      <xdr:spPr>
        <a:xfrm>
          <a:off x="2981326" y="10611100"/>
          <a:ext cx="8943974"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bg1"/>
            </a:solidFill>
            <a:latin typeface="+mj-lt"/>
            <a:ea typeface="+mn-ea"/>
            <a:cs typeface="Arial" panose="020B0604020202020204" pitchFamily="34" charset="0"/>
          </a:endParaRPr>
        </a:p>
      </xdr:txBody>
    </xdr:sp>
    <xdr:clientData/>
  </xdr:twoCellAnchor>
  <xdr:twoCellAnchor>
    <xdr:from>
      <xdr:col>2</xdr:col>
      <xdr:colOff>2409574</xdr:colOff>
      <xdr:row>53</xdr:row>
      <xdr:rowOff>115221</xdr:rowOff>
    </xdr:from>
    <xdr:to>
      <xdr:col>3</xdr:col>
      <xdr:colOff>142876</xdr:colOff>
      <xdr:row>57</xdr:row>
      <xdr:rowOff>72221</xdr:rowOff>
    </xdr:to>
    <xdr:sp macro="" textlink="">
      <xdr:nvSpPr>
        <xdr:cNvPr id="68" name="Rectangle 67">
          <a:extLst>
            <a:ext uri="{FF2B5EF4-FFF2-40B4-BE49-F238E27FC236}">
              <a16:creationId xmlns:a16="http://schemas.microsoft.com/office/drawing/2014/main" id="{5EE9393B-E0C5-4BF4-A5EE-14EE9BBB7569}"/>
            </a:ext>
          </a:extLst>
        </xdr:cNvPr>
        <xdr:cNvSpPr/>
      </xdr:nvSpPr>
      <xdr:spPr>
        <a:xfrm>
          <a:off x="3114424" y="10887996"/>
          <a:ext cx="1105152"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usage charge ($/kWh)</a:t>
          </a:r>
        </a:p>
      </xdr:txBody>
    </xdr:sp>
    <xdr:clientData/>
  </xdr:twoCellAnchor>
  <xdr:twoCellAnchor>
    <xdr:from>
      <xdr:col>6</xdr:col>
      <xdr:colOff>1298001</xdr:colOff>
      <xdr:row>53</xdr:row>
      <xdr:rowOff>53154</xdr:rowOff>
    </xdr:from>
    <xdr:to>
      <xdr:col>7</xdr:col>
      <xdr:colOff>981634</xdr:colOff>
      <xdr:row>57</xdr:row>
      <xdr:rowOff>565</xdr:rowOff>
    </xdr:to>
    <xdr:sp macro="" textlink="">
      <xdr:nvSpPr>
        <xdr:cNvPr id="126" name="Rectangle 125">
          <a:extLst>
            <a:ext uri="{FF2B5EF4-FFF2-40B4-BE49-F238E27FC236}">
              <a16:creationId xmlns:a16="http://schemas.microsoft.com/office/drawing/2014/main" id="{DEE7485D-98FD-4A33-A500-ACB93DDF8F30}"/>
            </a:ext>
          </a:extLst>
        </xdr:cNvPr>
        <xdr:cNvSpPr/>
      </xdr:nvSpPr>
      <xdr:spPr>
        <a:xfrm>
          <a:off x="10489626" y="10825929"/>
          <a:ext cx="1388608" cy="709411"/>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Network Loss Factor</a:t>
          </a:r>
        </a:p>
      </xdr:txBody>
    </xdr:sp>
    <xdr:clientData/>
  </xdr:twoCellAnchor>
  <xdr:twoCellAnchor>
    <xdr:from>
      <xdr:col>3</xdr:col>
      <xdr:colOff>485775</xdr:colOff>
      <xdr:row>53</xdr:row>
      <xdr:rowOff>58660</xdr:rowOff>
    </xdr:from>
    <xdr:to>
      <xdr:col>6</xdr:col>
      <xdr:colOff>1009649</xdr:colOff>
      <xdr:row>57</xdr:row>
      <xdr:rowOff>142613</xdr:rowOff>
    </xdr:to>
    <xdr:sp macro="" textlink="">
      <xdr:nvSpPr>
        <xdr:cNvPr id="121" name="TextBox 120">
          <a:extLst>
            <a:ext uri="{FF2B5EF4-FFF2-40B4-BE49-F238E27FC236}">
              <a16:creationId xmlns:a16="http://schemas.microsoft.com/office/drawing/2014/main" id="{B1028FD0-65F0-42E7-9921-FFF259D744A0}"/>
            </a:ext>
          </a:extLst>
        </xdr:cNvPr>
        <xdr:cNvSpPr txBox="1"/>
      </xdr:nvSpPr>
      <xdr:spPr>
        <a:xfrm>
          <a:off x="4562475" y="10831435"/>
          <a:ext cx="5638799" cy="845953"/>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endParaRPr lang="en-AU" sz="900" b="1">
            <a:solidFill>
              <a:schemeClr val="tx1"/>
            </a:solidFill>
            <a:latin typeface="+mj-lt"/>
            <a:ea typeface="+mn-ea"/>
            <a:cs typeface="Arial" panose="020B0604020202020204" pitchFamily="34" charset="0"/>
          </a:endParaRPr>
        </a:p>
      </xdr:txBody>
    </xdr:sp>
    <xdr:clientData/>
  </xdr:twoCellAnchor>
  <xdr:twoCellAnchor>
    <xdr:from>
      <xdr:col>3</xdr:col>
      <xdr:colOff>561974</xdr:colOff>
      <xdr:row>53</xdr:row>
      <xdr:rowOff>120638</xdr:rowOff>
    </xdr:from>
    <xdr:to>
      <xdr:col>3</xdr:col>
      <xdr:colOff>1580373</xdr:colOff>
      <xdr:row>57</xdr:row>
      <xdr:rowOff>77638</xdr:rowOff>
    </xdr:to>
    <xdr:sp macro="" textlink="">
      <xdr:nvSpPr>
        <xdr:cNvPr id="122" name="Rectangle 121">
          <a:extLst>
            <a:ext uri="{FF2B5EF4-FFF2-40B4-BE49-F238E27FC236}">
              <a16:creationId xmlns:a16="http://schemas.microsoft.com/office/drawing/2014/main" id="{7E0C1AFE-72A4-4346-A6A6-02ABB8B703BB}"/>
            </a:ext>
          </a:extLst>
        </xdr:cNvPr>
        <xdr:cNvSpPr/>
      </xdr:nvSpPr>
      <xdr:spPr>
        <a:xfrm>
          <a:off x="4638674" y="10893413"/>
          <a:ext cx="1018399"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Wholesale electricity ($/kWh)</a:t>
          </a:r>
        </a:p>
      </xdr:txBody>
    </xdr:sp>
    <xdr:clientData/>
  </xdr:twoCellAnchor>
  <xdr:twoCellAnchor>
    <xdr:from>
      <xdr:col>4</xdr:col>
      <xdr:colOff>171450</xdr:colOff>
      <xdr:row>53</xdr:row>
      <xdr:rowOff>120638</xdr:rowOff>
    </xdr:from>
    <xdr:to>
      <xdr:col>4</xdr:col>
      <xdr:colOff>1200150</xdr:colOff>
      <xdr:row>57</xdr:row>
      <xdr:rowOff>77638</xdr:rowOff>
    </xdr:to>
    <xdr:sp macro="" textlink="">
      <xdr:nvSpPr>
        <xdr:cNvPr id="123" name="Rectangle 122">
          <a:extLst>
            <a:ext uri="{FF2B5EF4-FFF2-40B4-BE49-F238E27FC236}">
              <a16:creationId xmlns:a16="http://schemas.microsoft.com/office/drawing/2014/main" id="{39191141-DB64-4417-BA07-FB6DB5492625}"/>
            </a:ext>
          </a:extLst>
        </xdr:cNvPr>
        <xdr:cNvSpPr/>
      </xdr:nvSpPr>
      <xdr:spPr>
        <a:xfrm>
          <a:off x="5953125" y="10893413"/>
          <a:ext cx="1028700"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Environmental cost</a:t>
          </a:r>
          <a:r>
            <a:rPr lang="en-AU" sz="900" b="1" baseline="0">
              <a:solidFill>
                <a:schemeClr val="tx1"/>
              </a:solidFill>
              <a:latin typeface="+mj-lt"/>
              <a:ea typeface="+mn-ea"/>
              <a:cs typeface="Arial" panose="020B0604020202020204" pitchFamily="34" charset="0"/>
            </a:rPr>
            <a:t> </a:t>
          </a:r>
          <a:r>
            <a:rPr lang="en-AU" sz="900" b="1">
              <a:solidFill>
                <a:schemeClr val="tx1"/>
              </a:solidFill>
              <a:latin typeface="+mj-lt"/>
              <a:ea typeface="+mn-ea"/>
              <a:cs typeface="Arial" panose="020B0604020202020204" pitchFamily="34" charset="0"/>
            </a:rPr>
            <a:t>($/kWh)</a:t>
          </a:r>
        </a:p>
      </xdr:txBody>
    </xdr:sp>
    <xdr:clientData/>
  </xdr:twoCellAnchor>
  <xdr:twoCellAnchor>
    <xdr:from>
      <xdr:col>5</xdr:col>
      <xdr:colOff>1628775</xdr:colOff>
      <xdr:row>53</xdr:row>
      <xdr:rowOff>139688</xdr:rowOff>
    </xdr:from>
    <xdr:to>
      <xdr:col>6</xdr:col>
      <xdr:colOff>929814</xdr:colOff>
      <xdr:row>57</xdr:row>
      <xdr:rowOff>96688</xdr:rowOff>
    </xdr:to>
    <xdr:sp macro="" textlink="">
      <xdr:nvSpPr>
        <xdr:cNvPr id="125" name="Rectangle 124">
          <a:extLst>
            <a:ext uri="{FF2B5EF4-FFF2-40B4-BE49-F238E27FC236}">
              <a16:creationId xmlns:a16="http://schemas.microsoft.com/office/drawing/2014/main" id="{9EA64B14-EBE3-4427-8DC9-6A44536BE635}"/>
            </a:ext>
          </a:extLst>
        </xdr:cNvPr>
        <xdr:cNvSpPr/>
      </xdr:nvSpPr>
      <xdr:spPr>
        <a:xfrm>
          <a:off x="9115425" y="10912463"/>
          <a:ext cx="1006014"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Other</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2</xdr:col>
      <xdr:colOff>2496111</xdr:colOff>
      <xdr:row>63</xdr:row>
      <xdr:rowOff>119515</xdr:rowOff>
    </xdr:from>
    <xdr:to>
      <xdr:col>3</xdr:col>
      <xdr:colOff>507150</xdr:colOff>
      <xdr:row>67</xdr:row>
      <xdr:rowOff>76514</xdr:rowOff>
    </xdr:to>
    <xdr:sp macro="" textlink="">
      <xdr:nvSpPr>
        <xdr:cNvPr id="170" name="Rectangle 169">
          <a:extLst>
            <a:ext uri="{FF2B5EF4-FFF2-40B4-BE49-F238E27FC236}">
              <a16:creationId xmlns:a16="http://schemas.microsoft.com/office/drawing/2014/main" id="{73020FE8-6D46-427D-AD5C-413B154F7461}"/>
            </a:ext>
          </a:extLst>
        </xdr:cNvPr>
        <xdr:cNvSpPr/>
      </xdr:nvSpPr>
      <xdr:spPr>
        <a:xfrm>
          <a:off x="3213287"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63</xdr:row>
      <xdr:rowOff>119515</xdr:rowOff>
    </xdr:from>
    <xdr:to>
      <xdr:col>4</xdr:col>
      <xdr:colOff>500592</xdr:colOff>
      <xdr:row>67</xdr:row>
      <xdr:rowOff>76514</xdr:rowOff>
    </xdr:to>
    <xdr:sp macro="" textlink="">
      <xdr:nvSpPr>
        <xdr:cNvPr id="171" name="Rectangle 170">
          <a:extLst>
            <a:ext uri="{FF2B5EF4-FFF2-40B4-BE49-F238E27FC236}">
              <a16:creationId xmlns:a16="http://schemas.microsoft.com/office/drawing/2014/main" id="{03F884A1-F438-4436-B98F-7FA2422AC375}"/>
            </a:ext>
          </a:extLst>
        </xdr:cNvPr>
        <xdr:cNvSpPr/>
      </xdr:nvSpPr>
      <xdr:spPr>
        <a:xfrm>
          <a:off x="4921229"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6</xdr:col>
      <xdr:colOff>1488113</xdr:colOff>
      <xdr:row>61</xdr:row>
      <xdr:rowOff>100854</xdr:rowOff>
    </xdr:from>
    <xdr:to>
      <xdr:col>7</xdr:col>
      <xdr:colOff>1304703</xdr:colOff>
      <xdr:row>68</xdr:row>
      <xdr:rowOff>29816</xdr:rowOff>
    </xdr:to>
    <xdr:sp macro="" textlink="">
      <xdr:nvSpPr>
        <xdr:cNvPr id="161" name="Rectangle 160">
          <a:extLst>
            <a:ext uri="{FF2B5EF4-FFF2-40B4-BE49-F238E27FC236}">
              <a16:creationId xmlns:a16="http://schemas.microsoft.com/office/drawing/2014/main" id="{C4CAC0B5-E078-4F24-AC13-09A87A8B9525}"/>
            </a:ext>
          </a:extLst>
        </xdr:cNvPr>
        <xdr:cNvSpPr/>
      </xdr:nvSpPr>
      <xdr:spPr>
        <a:xfrm>
          <a:off x="10732966" y="13917707"/>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8</xdr:col>
      <xdr:colOff>85985</xdr:colOff>
      <xdr:row>61</xdr:row>
      <xdr:rowOff>100854</xdr:rowOff>
    </xdr:from>
    <xdr:to>
      <xdr:col>8</xdr:col>
      <xdr:colOff>1606869</xdr:colOff>
      <xdr:row>68</xdr:row>
      <xdr:rowOff>29816</xdr:rowOff>
    </xdr:to>
    <xdr:sp macro="" textlink="">
      <xdr:nvSpPr>
        <xdr:cNvPr id="162" name="Rectangle 161">
          <a:extLst>
            <a:ext uri="{FF2B5EF4-FFF2-40B4-BE49-F238E27FC236}">
              <a16:creationId xmlns:a16="http://schemas.microsoft.com/office/drawing/2014/main" id="{21A4DC95-7096-4AD2-9AA7-F00D940C64D4}"/>
            </a:ext>
          </a:extLst>
        </xdr:cNvPr>
        <xdr:cNvSpPr/>
      </xdr:nvSpPr>
      <xdr:spPr>
        <a:xfrm>
          <a:off x="12759838" y="13917707"/>
          <a:ext cx="1520884"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63</xdr:row>
      <xdr:rowOff>119515</xdr:rowOff>
    </xdr:from>
    <xdr:to>
      <xdr:col>5</xdr:col>
      <xdr:colOff>944179</xdr:colOff>
      <xdr:row>67</xdr:row>
      <xdr:rowOff>76514</xdr:rowOff>
    </xdr:to>
    <xdr:sp macro="" textlink="">
      <xdr:nvSpPr>
        <xdr:cNvPr id="192" name="Rectangle 191">
          <a:extLst>
            <a:ext uri="{FF2B5EF4-FFF2-40B4-BE49-F238E27FC236}">
              <a16:creationId xmlns:a16="http://schemas.microsoft.com/office/drawing/2014/main" id="{2B4DDC14-61DC-49A5-9A2D-4FC457FA5832}"/>
            </a:ext>
          </a:extLst>
        </xdr:cNvPr>
        <xdr:cNvSpPr/>
      </xdr:nvSpPr>
      <xdr:spPr>
        <a:xfrm>
          <a:off x="7079316"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63</xdr:row>
      <xdr:rowOff>119515</xdr:rowOff>
    </xdr:from>
    <xdr:to>
      <xdr:col>6</xdr:col>
      <xdr:colOff>937621</xdr:colOff>
      <xdr:row>67</xdr:row>
      <xdr:rowOff>76514</xdr:rowOff>
    </xdr:to>
    <xdr:sp macro="" textlink="">
      <xdr:nvSpPr>
        <xdr:cNvPr id="193" name="Rectangle 192">
          <a:extLst>
            <a:ext uri="{FF2B5EF4-FFF2-40B4-BE49-F238E27FC236}">
              <a16:creationId xmlns:a16="http://schemas.microsoft.com/office/drawing/2014/main" id="{DCEB23C5-93EA-4DFC-A6C3-0549A63615D7}"/>
            </a:ext>
          </a:extLst>
        </xdr:cNvPr>
        <xdr:cNvSpPr/>
      </xdr:nvSpPr>
      <xdr:spPr>
        <a:xfrm>
          <a:off x="8787258" y="14317368"/>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64</xdr:row>
      <xdr:rowOff>156847</xdr:rowOff>
    </xdr:from>
    <xdr:to>
      <xdr:col>2</xdr:col>
      <xdr:colOff>2063899</xdr:colOff>
      <xdr:row>64</xdr:row>
      <xdr:rowOff>156847</xdr:rowOff>
    </xdr:to>
    <xdr:cxnSp macro="">
      <xdr:nvCxnSpPr>
        <xdr:cNvPr id="202" name="Straight Arrow Connector 201">
          <a:extLst>
            <a:ext uri="{FF2B5EF4-FFF2-40B4-BE49-F238E27FC236}">
              <a16:creationId xmlns:a16="http://schemas.microsoft.com/office/drawing/2014/main" id="{7D858B78-A01C-476D-8C85-171CD011917C}"/>
            </a:ext>
          </a:extLst>
        </xdr:cNvPr>
        <xdr:cNvCxnSpPr/>
      </xdr:nvCxnSpPr>
      <xdr:spPr>
        <a:xfrm>
          <a:off x="2521519" y="14545200"/>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61</xdr:row>
      <xdr:rowOff>123265</xdr:rowOff>
    </xdr:from>
    <xdr:to>
      <xdr:col>2</xdr:col>
      <xdr:colOff>1650110</xdr:colOff>
      <xdr:row>68</xdr:row>
      <xdr:rowOff>26418</xdr:rowOff>
    </xdr:to>
    <xdr:sp macro="" textlink="">
      <xdr:nvSpPr>
        <xdr:cNvPr id="203" name="Rectangle 202">
          <a:extLst>
            <a:ext uri="{FF2B5EF4-FFF2-40B4-BE49-F238E27FC236}">
              <a16:creationId xmlns:a16="http://schemas.microsoft.com/office/drawing/2014/main" id="{1678BC32-2903-477E-B2A2-F772F04A3279}"/>
            </a:ext>
          </a:extLst>
        </xdr:cNvPr>
        <xdr:cNvSpPr/>
      </xdr:nvSpPr>
      <xdr:spPr>
        <a:xfrm>
          <a:off x="846402" y="13940118"/>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2</xdr:col>
      <xdr:colOff>33617</xdr:colOff>
      <xdr:row>77</xdr:row>
      <xdr:rowOff>89647</xdr:rowOff>
    </xdr:from>
    <xdr:to>
      <xdr:col>2</xdr:col>
      <xdr:colOff>1730920</xdr:colOff>
      <xdr:row>92</xdr:row>
      <xdr:rowOff>177984</xdr:rowOff>
    </xdr:to>
    <xdr:grpSp>
      <xdr:nvGrpSpPr>
        <xdr:cNvPr id="209" name="Group 208">
          <a:extLst>
            <a:ext uri="{FF2B5EF4-FFF2-40B4-BE49-F238E27FC236}">
              <a16:creationId xmlns:a16="http://schemas.microsoft.com/office/drawing/2014/main" id="{80413A40-E748-4AE1-AC91-84D10A232C57}"/>
            </a:ext>
          </a:extLst>
        </xdr:cNvPr>
        <xdr:cNvGrpSpPr/>
      </xdr:nvGrpSpPr>
      <xdr:grpSpPr>
        <a:xfrm>
          <a:off x="738467" y="15354300"/>
          <a:ext cx="1697303" cy="0"/>
          <a:chOff x="13982274" y="9016796"/>
          <a:chExt cx="1697303" cy="2945837"/>
        </a:xfrm>
      </xdr:grpSpPr>
      <xdr:sp macro="" textlink="">
        <xdr:nvSpPr>
          <xdr:cNvPr id="210" name="Rectangle 209">
            <a:extLst>
              <a:ext uri="{FF2B5EF4-FFF2-40B4-BE49-F238E27FC236}">
                <a16:creationId xmlns:a16="http://schemas.microsoft.com/office/drawing/2014/main" id="{3D4785E9-97CD-4DA7-87B1-8A52D8EB7B66}"/>
              </a:ext>
            </a:extLst>
          </xdr:cNvPr>
          <xdr:cNvSpPr/>
        </xdr:nvSpPr>
        <xdr:spPr>
          <a:xfrm>
            <a:off x="13982274" y="9016796"/>
            <a:ext cx="1697303" cy="2945837"/>
          </a:xfrm>
          <a:prstGeom prst="rect">
            <a:avLst/>
          </a:prstGeom>
          <a:noFill/>
          <a:ln w="254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50" b="1">
                <a:solidFill>
                  <a:sysClr val="windowText" lastClr="000000"/>
                </a:solidFill>
                <a:latin typeface="+mj-lt"/>
              </a:rPr>
              <a:t>True up tariffs</a:t>
            </a:r>
            <a:endParaRPr lang="en-AU" sz="1050" b="0">
              <a:solidFill>
                <a:sysClr val="windowText" lastClr="000000"/>
              </a:solidFill>
              <a:latin typeface="+mj-lt"/>
            </a:endParaRPr>
          </a:p>
        </xdr:txBody>
      </xdr:sp>
      <xdr:sp macro="" textlink="">
        <xdr:nvSpPr>
          <xdr:cNvPr id="211" name="Rectangle 210">
            <a:extLst>
              <a:ext uri="{FF2B5EF4-FFF2-40B4-BE49-F238E27FC236}">
                <a16:creationId xmlns:a16="http://schemas.microsoft.com/office/drawing/2014/main" id="{E9B499BA-FCCE-4A15-9D41-73E32C0464AE}"/>
              </a:ext>
            </a:extLst>
          </xdr:cNvPr>
          <xdr:cNvSpPr/>
        </xdr:nvSpPr>
        <xdr:spPr>
          <a:xfrm>
            <a:off x="14057156" y="9288748"/>
            <a:ext cx="1554829" cy="1150399"/>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sp macro="" textlink="">
        <xdr:nvSpPr>
          <xdr:cNvPr id="212" name="Rectangle 211">
            <a:extLst>
              <a:ext uri="{FF2B5EF4-FFF2-40B4-BE49-F238E27FC236}">
                <a16:creationId xmlns:a16="http://schemas.microsoft.com/office/drawing/2014/main" id="{9F19BB92-99BC-4072-84C0-645CAB64F228}"/>
              </a:ext>
            </a:extLst>
          </xdr:cNvPr>
          <xdr:cNvSpPr/>
        </xdr:nvSpPr>
        <xdr:spPr>
          <a:xfrm>
            <a:off x="14054075" y="10726748"/>
            <a:ext cx="1554829" cy="115039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Variable Charge ($/kWh)</a:t>
            </a:r>
          </a:p>
        </xdr:txBody>
      </xdr:sp>
    </xdr:grpSp>
    <xdr:clientData/>
  </xdr:twoCellAnchor>
  <xdr:twoCellAnchor>
    <xdr:from>
      <xdr:col>2</xdr:col>
      <xdr:colOff>1804343</xdr:colOff>
      <xdr:row>81</xdr:row>
      <xdr:rowOff>179259</xdr:rowOff>
    </xdr:from>
    <xdr:to>
      <xdr:col>2</xdr:col>
      <xdr:colOff>2063899</xdr:colOff>
      <xdr:row>81</xdr:row>
      <xdr:rowOff>179259</xdr:rowOff>
    </xdr:to>
    <xdr:cxnSp macro="">
      <xdr:nvCxnSpPr>
        <xdr:cNvPr id="213" name="Straight Arrow Connector 212">
          <a:extLst>
            <a:ext uri="{FF2B5EF4-FFF2-40B4-BE49-F238E27FC236}">
              <a16:creationId xmlns:a16="http://schemas.microsoft.com/office/drawing/2014/main" id="{48C79257-BB51-4949-A2EF-350E6CFFE9D3}"/>
            </a:ext>
          </a:extLst>
        </xdr:cNvPr>
        <xdr:cNvCxnSpPr/>
      </xdr:nvCxnSpPr>
      <xdr:spPr>
        <a:xfrm>
          <a:off x="2521519" y="16282112"/>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1804343</xdr:colOff>
      <xdr:row>89</xdr:row>
      <xdr:rowOff>78406</xdr:rowOff>
    </xdr:from>
    <xdr:to>
      <xdr:col>2</xdr:col>
      <xdr:colOff>2063899</xdr:colOff>
      <xdr:row>89</xdr:row>
      <xdr:rowOff>78406</xdr:rowOff>
    </xdr:to>
    <xdr:cxnSp macro="">
      <xdr:nvCxnSpPr>
        <xdr:cNvPr id="214" name="Straight Arrow Connector 213">
          <a:extLst>
            <a:ext uri="{FF2B5EF4-FFF2-40B4-BE49-F238E27FC236}">
              <a16:creationId xmlns:a16="http://schemas.microsoft.com/office/drawing/2014/main" id="{F9E0149B-DBCC-4118-ABED-1F56402FE422}"/>
            </a:ext>
          </a:extLst>
        </xdr:cNvPr>
        <xdr:cNvCxnSpPr/>
      </xdr:nvCxnSpPr>
      <xdr:spPr>
        <a:xfrm>
          <a:off x="2521519" y="17705259"/>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2386853</xdr:colOff>
      <xdr:row>80</xdr:row>
      <xdr:rowOff>44824</xdr:rowOff>
    </xdr:from>
    <xdr:to>
      <xdr:col>3</xdr:col>
      <xdr:colOff>356188</xdr:colOff>
      <xdr:row>83</xdr:row>
      <xdr:rowOff>127272</xdr:rowOff>
    </xdr:to>
    <xdr:sp macro="" textlink="">
      <xdr:nvSpPr>
        <xdr:cNvPr id="274" name="Rectangle 273">
          <a:extLst>
            <a:ext uri="{FF2B5EF4-FFF2-40B4-BE49-F238E27FC236}">
              <a16:creationId xmlns:a16="http://schemas.microsoft.com/office/drawing/2014/main" id="{D1CEA11A-E9E9-42B8-BA42-83FF4CA5B5EF}"/>
            </a:ext>
          </a:extLst>
        </xdr:cNvPr>
        <xdr:cNvSpPr/>
      </xdr:nvSpPr>
      <xdr:spPr>
        <a:xfrm>
          <a:off x="3104029" y="15957177"/>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Fixed true up  cost ($)</a:t>
          </a:r>
        </a:p>
      </xdr:txBody>
    </xdr:sp>
    <xdr:clientData/>
  </xdr:twoCellAnchor>
  <xdr:twoCellAnchor>
    <xdr:from>
      <xdr:col>3</xdr:col>
      <xdr:colOff>470647</xdr:colOff>
      <xdr:row>80</xdr:row>
      <xdr:rowOff>112060</xdr:rowOff>
    </xdr:from>
    <xdr:to>
      <xdr:col>3</xdr:col>
      <xdr:colOff>784412</xdr:colOff>
      <xdr:row>83</xdr:row>
      <xdr:rowOff>100853</xdr:rowOff>
    </xdr:to>
    <xdr:sp macro="" textlink="">
      <xdr:nvSpPr>
        <xdr:cNvPr id="100" name="Division Sign 99">
          <a:extLst>
            <a:ext uri="{FF2B5EF4-FFF2-40B4-BE49-F238E27FC236}">
              <a16:creationId xmlns:a16="http://schemas.microsoft.com/office/drawing/2014/main" id="{2E2343FF-69EA-44B0-9917-B5450728EAA1}"/>
            </a:ext>
          </a:extLst>
        </xdr:cNvPr>
        <xdr:cNvSpPr/>
      </xdr:nvSpPr>
      <xdr:spPr>
        <a:xfrm>
          <a:off x="4572000" y="16024413"/>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493059</xdr:colOff>
      <xdr:row>64</xdr:row>
      <xdr:rowOff>112057</xdr:rowOff>
    </xdr:from>
    <xdr:to>
      <xdr:col>3</xdr:col>
      <xdr:colOff>853059</xdr:colOff>
      <xdr:row>66</xdr:row>
      <xdr:rowOff>91057</xdr:rowOff>
    </xdr:to>
    <xdr:sp macro="" textlink="">
      <xdr:nvSpPr>
        <xdr:cNvPr id="104" name="Multiplication Sign 103">
          <a:extLst>
            <a:ext uri="{FF2B5EF4-FFF2-40B4-BE49-F238E27FC236}">
              <a16:creationId xmlns:a16="http://schemas.microsoft.com/office/drawing/2014/main" id="{397DAF89-FB2F-43C5-B383-FDA5BAA75243}"/>
            </a:ext>
          </a:extLst>
        </xdr:cNvPr>
        <xdr:cNvSpPr/>
      </xdr:nvSpPr>
      <xdr:spPr>
        <a:xfrm>
          <a:off x="4594412"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64</xdr:row>
      <xdr:rowOff>112057</xdr:rowOff>
    </xdr:from>
    <xdr:to>
      <xdr:col>5</xdr:col>
      <xdr:colOff>1290088</xdr:colOff>
      <xdr:row>66</xdr:row>
      <xdr:rowOff>91057</xdr:rowOff>
    </xdr:to>
    <xdr:sp macro="" textlink="">
      <xdr:nvSpPr>
        <xdr:cNvPr id="275" name="Multiplication Sign 274">
          <a:extLst>
            <a:ext uri="{FF2B5EF4-FFF2-40B4-BE49-F238E27FC236}">
              <a16:creationId xmlns:a16="http://schemas.microsoft.com/office/drawing/2014/main" id="{1DE5BEB6-DF5B-42DA-8606-ACBF9B3DD9D5}"/>
            </a:ext>
          </a:extLst>
        </xdr:cNvPr>
        <xdr:cNvSpPr/>
      </xdr:nvSpPr>
      <xdr:spPr>
        <a:xfrm>
          <a:off x="8460441" y="1450041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65</xdr:row>
      <xdr:rowOff>22412</xdr:rowOff>
    </xdr:from>
    <xdr:to>
      <xdr:col>4</xdr:col>
      <xdr:colOff>1088382</xdr:colOff>
      <xdr:row>65</xdr:row>
      <xdr:rowOff>166412</xdr:rowOff>
    </xdr:to>
    <xdr:sp macro="" textlink="">
      <xdr:nvSpPr>
        <xdr:cNvPr id="105" name="Minus Sign 104">
          <a:extLst>
            <a:ext uri="{FF2B5EF4-FFF2-40B4-BE49-F238E27FC236}">
              <a16:creationId xmlns:a16="http://schemas.microsoft.com/office/drawing/2014/main" id="{67074131-39EA-43DE-89A7-7D89D3B412FD}"/>
            </a:ext>
          </a:extLst>
        </xdr:cNvPr>
        <xdr:cNvSpPr/>
      </xdr:nvSpPr>
      <xdr:spPr>
        <a:xfrm>
          <a:off x="6544235" y="14601265"/>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145115</xdr:colOff>
      <xdr:row>54</xdr:row>
      <xdr:rowOff>83485</xdr:rowOff>
    </xdr:from>
    <xdr:to>
      <xdr:col>3</xdr:col>
      <xdr:colOff>505115</xdr:colOff>
      <xdr:row>56</xdr:row>
      <xdr:rowOff>61073</xdr:rowOff>
    </xdr:to>
    <xdr:sp macro="" textlink="">
      <xdr:nvSpPr>
        <xdr:cNvPr id="106" name="Plus Sign 105">
          <a:extLst>
            <a:ext uri="{FF2B5EF4-FFF2-40B4-BE49-F238E27FC236}">
              <a16:creationId xmlns:a16="http://schemas.microsoft.com/office/drawing/2014/main" id="{D43FC991-9A44-43DE-A68F-E527684CF17A}"/>
            </a:ext>
          </a:extLst>
        </xdr:cNvPr>
        <xdr:cNvSpPr/>
      </xdr:nvSpPr>
      <xdr:spPr>
        <a:xfrm>
          <a:off x="4221815" y="11046760"/>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1400735</xdr:colOff>
      <xdr:row>64</xdr:row>
      <xdr:rowOff>22409</xdr:rowOff>
    </xdr:from>
    <xdr:to>
      <xdr:col>8</xdr:col>
      <xdr:colOff>10235</xdr:colOff>
      <xdr:row>66</xdr:row>
      <xdr:rowOff>1409</xdr:rowOff>
    </xdr:to>
    <xdr:sp macro="" textlink="">
      <xdr:nvSpPr>
        <xdr:cNvPr id="277" name="Multiplication Sign 276">
          <a:extLst>
            <a:ext uri="{FF2B5EF4-FFF2-40B4-BE49-F238E27FC236}">
              <a16:creationId xmlns:a16="http://schemas.microsoft.com/office/drawing/2014/main" id="{6C0A3F39-7700-4670-954C-977E7A41874E}"/>
            </a:ext>
          </a:extLst>
        </xdr:cNvPr>
        <xdr:cNvSpPr/>
      </xdr:nvSpPr>
      <xdr:spPr>
        <a:xfrm>
          <a:off x="12360088"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1582830</xdr:colOff>
      <xdr:row>54</xdr:row>
      <xdr:rowOff>102535</xdr:rowOff>
    </xdr:from>
    <xdr:to>
      <xdr:col>4</xdr:col>
      <xdr:colOff>165855</xdr:colOff>
      <xdr:row>56</xdr:row>
      <xdr:rowOff>9535</xdr:rowOff>
    </xdr:to>
    <xdr:sp macro="" textlink="">
      <xdr:nvSpPr>
        <xdr:cNvPr id="280" name="Plus Sign 279">
          <a:extLst>
            <a:ext uri="{FF2B5EF4-FFF2-40B4-BE49-F238E27FC236}">
              <a16:creationId xmlns:a16="http://schemas.microsoft.com/office/drawing/2014/main" id="{D5DE4DFF-5F9E-46BF-97E3-D71C66505D71}"/>
            </a:ext>
          </a:extLst>
        </xdr:cNvPr>
        <xdr:cNvSpPr/>
      </xdr:nvSpPr>
      <xdr:spPr>
        <a:xfrm>
          <a:off x="5659530" y="11065810"/>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1352549</xdr:colOff>
      <xdr:row>54</xdr:row>
      <xdr:rowOff>140635</xdr:rowOff>
    </xdr:from>
    <xdr:to>
      <xdr:col>5</xdr:col>
      <xdr:colOff>1640549</xdr:colOff>
      <xdr:row>56</xdr:row>
      <xdr:rowOff>47635</xdr:rowOff>
    </xdr:to>
    <xdr:sp macro="" textlink="">
      <xdr:nvSpPr>
        <xdr:cNvPr id="281" name="Plus Sign 280">
          <a:extLst>
            <a:ext uri="{FF2B5EF4-FFF2-40B4-BE49-F238E27FC236}">
              <a16:creationId xmlns:a16="http://schemas.microsoft.com/office/drawing/2014/main" id="{2E256C17-3C2B-4992-9D76-F26FDD355EDD}"/>
            </a:ext>
          </a:extLst>
        </xdr:cNvPr>
        <xdr:cNvSpPr/>
      </xdr:nvSpPr>
      <xdr:spPr>
        <a:xfrm>
          <a:off x="8839199" y="11103910"/>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1207994</xdr:colOff>
      <xdr:row>54</xdr:row>
      <xdr:rowOff>22409</xdr:rowOff>
    </xdr:from>
    <xdr:to>
      <xdr:col>8</xdr:col>
      <xdr:colOff>1531994</xdr:colOff>
      <xdr:row>56</xdr:row>
      <xdr:rowOff>1409</xdr:rowOff>
    </xdr:to>
    <xdr:sp macro="" textlink="">
      <xdr:nvSpPr>
        <xdr:cNvPr id="282" name="Multiplication Sign 281">
          <a:extLst>
            <a:ext uri="{FF2B5EF4-FFF2-40B4-BE49-F238E27FC236}">
              <a16:creationId xmlns:a16="http://schemas.microsoft.com/office/drawing/2014/main" id="{05287BFC-CCA1-4DEA-B930-083F7ED76691}"/>
            </a:ext>
          </a:extLst>
        </xdr:cNvPr>
        <xdr:cNvSpPr/>
      </xdr:nvSpPr>
      <xdr:spPr>
        <a:xfrm>
          <a:off x="13809569" y="10985684"/>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1081368</xdr:colOff>
      <xdr:row>54</xdr:row>
      <xdr:rowOff>12884</xdr:rowOff>
    </xdr:from>
    <xdr:to>
      <xdr:col>7</xdr:col>
      <xdr:colOff>1405368</xdr:colOff>
      <xdr:row>55</xdr:row>
      <xdr:rowOff>182384</xdr:rowOff>
    </xdr:to>
    <xdr:sp macro="" textlink="">
      <xdr:nvSpPr>
        <xdr:cNvPr id="283" name="Multiplication Sign 282">
          <a:extLst>
            <a:ext uri="{FF2B5EF4-FFF2-40B4-BE49-F238E27FC236}">
              <a16:creationId xmlns:a16="http://schemas.microsoft.com/office/drawing/2014/main" id="{75AE752A-C358-46E8-B414-C76805CBBE3F}"/>
            </a:ext>
          </a:extLst>
        </xdr:cNvPr>
        <xdr:cNvSpPr/>
      </xdr:nvSpPr>
      <xdr:spPr>
        <a:xfrm>
          <a:off x="11977968" y="10976159"/>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970430</xdr:colOff>
      <xdr:row>54</xdr:row>
      <xdr:rowOff>53226</xdr:rowOff>
    </xdr:from>
    <xdr:to>
      <xdr:col>6</xdr:col>
      <xdr:colOff>1330430</xdr:colOff>
      <xdr:row>56</xdr:row>
      <xdr:rowOff>32226</xdr:rowOff>
    </xdr:to>
    <xdr:sp macro="" textlink="">
      <xdr:nvSpPr>
        <xdr:cNvPr id="285" name="Multiplication Sign 284">
          <a:extLst>
            <a:ext uri="{FF2B5EF4-FFF2-40B4-BE49-F238E27FC236}">
              <a16:creationId xmlns:a16="http://schemas.microsoft.com/office/drawing/2014/main" id="{8A71F486-3ED0-43AE-AC30-14D6E309853B}"/>
            </a:ext>
          </a:extLst>
        </xdr:cNvPr>
        <xdr:cNvSpPr/>
      </xdr:nvSpPr>
      <xdr:spPr>
        <a:xfrm>
          <a:off x="10162055" y="11016501"/>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526676</xdr:colOff>
      <xdr:row>47</xdr:row>
      <xdr:rowOff>33619</xdr:rowOff>
    </xdr:from>
    <xdr:to>
      <xdr:col>3</xdr:col>
      <xdr:colOff>814676</xdr:colOff>
      <xdr:row>48</xdr:row>
      <xdr:rowOff>131119</xdr:rowOff>
    </xdr:to>
    <xdr:sp macro="" textlink="">
      <xdr:nvSpPr>
        <xdr:cNvPr id="286" name="Plus Sign 285">
          <a:extLst>
            <a:ext uri="{FF2B5EF4-FFF2-40B4-BE49-F238E27FC236}">
              <a16:creationId xmlns:a16="http://schemas.microsoft.com/office/drawing/2014/main" id="{E706994B-F91B-4C43-887D-C0E19947D45D}"/>
            </a:ext>
          </a:extLst>
        </xdr:cNvPr>
        <xdr:cNvSpPr/>
      </xdr:nvSpPr>
      <xdr:spPr>
        <a:xfrm>
          <a:off x="4628029"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515470</xdr:colOff>
      <xdr:row>47</xdr:row>
      <xdr:rowOff>43144</xdr:rowOff>
    </xdr:from>
    <xdr:to>
      <xdr:col>4</xdr:col>
      <xdr:colOff>803470</xdr:colOff>
      <xdr:row>48</xdr:row>
      <xdr:rowOff>140644</xdr:rowOff>
    </xdr:to>
    <xdr:sp macro="" textlink="">
      <xdr:nvSpPr>
        <xdr:cNvPr id="287" name="Plus Sign 286">
          <a:extLst>
            <a:ext uri="{FF2B5EF4-FFF2-40B4-BE49-F238E27FC236}">
              <a16:creationId xmlns:a16="http://schemas.microsoft.com/office/drawing/2014/main" id="{5C1D854E-3BC8-4465-B239-5012951F781E}"/>
            </a:ext>
          </a:extLst>
        </xdr:cNvPr>
        <xdr:cNvSpPr/>
      </xdr:nvSpPr>
      <xdr:spPr>
        <a:xfrm>
          <a:off x="6297145" y="9672919"/>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481852</xdr:colOff>
      <xdr:row>47</xdr:row>
      <xdr:rowOff>33619</xdr:rowOff>
    </xdr:from>
    <xdr:to>
      <xdr:col>5</xdr:col>
      <xdr:colOff>769852</xdr:colOff>
      <xdr:row>48</xdr:row>
      <xdr:rowOff>131119</xdr:rowOff>
    </xdr:to>
    <xdr:sp macro="" textlink="">
      <xdr:nvSpPr>
        <xdr:cNvPr id="288" name="Plus Sign 287">
          <a:extLst>
            <a:ext uri="{FF2B5EF4-FFF2-40B4-BE49-F238E27FC236}">
              <a16:creationId xmlns:a16="http://schemas.microsoft.com/office/drawing/2014/main" id="{EE6A69B9-818D-4685-BFE9-7D7591E545AF}"/>
            </a:ext>
          </a:extLst>
        </xdr:cNvPr>
        <xdr:cNvSpPr/>
      </xdr:nvSpPr>
      <xdr:spPr>
        <a:xfrm>
          <a:off x="8012205" y="10230972"/>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1046069</xdr:colOff>
      <xdr:row>46</xdr:row>
      <xdr:rowOff>138950</xdr:rowOff>
    </xdr:from>
    <xdr:to>
      <xdr:col>7</xdr:col>
      <xdr:colOff>1370069</xdr:colOff>
      <xdr:row>48</xdr:row>
      <xdr:rowOff>117950</xdr:rowOff>
    </xdr:to>
    <xdr:sp macro="" textlink="">
      <xdr:nvSpPr>
        <xdr:cNvPr id="291" name="Multiplication Sign 290">
          <a:extLst>
            <a:ext uri="{FF2B5EF4-FFF2-40B4-BE49-F238E27FC236}">
              <a16:creationId xmlns:a16="http://schemas.microsoft.com/office/drawing/2014/main" id="{C35CE687-770D-4340-BD05-D4C2E0CE745A}"/>
            </a:ext>
          </a:extLst>
        </xdr:cNvPr>
        <xdr:cNvSpPr/>
      </xdr:nvSpPr>
      <xdr:spPr>
        <a:xfrm>
          <a:off x="11942669" y="957822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890868</xdr:colOff>
      <xdr:row>46</xdr:row>
      <xdr:rowOff>138950</xdr:rowOff>
    </xdr:from>
    <xdr:to>
      <xdr:col>6</xdr:col>
      <xdr:colOff>1214868</xdr:colOff>
      <xdr:row>48</xdr:row>
      <xdr:rowOff>117950</xdr:rowOff>
    </xdr:to>
    <xdr:sp macro="" textlink="">
      <xdr:nvSpPr>
        <xdr:cNvPr id="292" name="Multiplication Sign 291">
          <a:extLst>
            <a:ext uri="{FF2B5EF4-FFF2-40B4-BE49-F238E27FC236}">
              <a16:creationId xmlns:a16="http://schemas.microsoft.com/office/drawing/2014/main" id="{2B138E9A-EE55-4976-BC53-5A68B25A837C}"/>
            </a:ext>
          </a:extLst>
        </xdr:cNvPr>
        <xdr:cNvSpPr/>
      </xdr:nvSpPr>
      <xdr:spPr>
        <a:xfrm>
          <a:off x="10082493" y="957822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819876</xdr:colOff>
      <xdr:row>80</xdr:row>
      <xdr:rowOff>18662</xdr:rowOff>
    </xdr:from>
    <xdr:to>
      <xdr:col>4</xdr:col>
      <xdr:colOff>500592</xdr:colOff>
      <xdr:row>83</xdr:row>
      <xdr:rowOff>166161</xdr:rowOff>
    </xdr:to>
    <xdr:sp macro="" textlink="">
      <xdr:nvSpPr>
        <xdr:cNvPr id="300" name="Rectangle 299">
          <a:extLst>
            <a:ext uri="{FF2B5EF4-FFF2-40B4-BE49-F238E27FC236}">
              <a16:creationId xmlns:a16="http://schemas.microsoft.com/office/drawing/2014/main" id="{BB4CA80F-C795-4111-AA71-2615B422CC16}"/>
            </a:ext>
          </a:extLst>
        </xdr:cNvPr>
        <xdr:cNvSpPr/>
      </xdr:nvSpPr>
      <xdr:spPr>
        <a:xfrm>
          <a:off x="4921229" y="15931015"/>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2</xdr:col>
      <xdr:colOff>2386853</xdr:colOff>
      <xdr:row>87</xdr:row>
      <xdr:rowOff>145677</xdr:rowOff>
    </xdr:from>
    <xdr:to>
      <xdr:col>3</xdr:col>
      <xdr:colOff>356188</xdr:colOff>
      <xdr:row>91</xdr:row>
      <xdr:rowOff>37625</xdr:rowOff>
    </xdr:to>
    <xdr:sp macro="" textlink="">
      <xdr:nvSpPr>
        <xdr:cNvPr id="302" name="Rectangle 301">
          <a:extLst>
            <a:ext uri="{FF2B5EF4-FFF2-40B4-BE49-F238E27FC236}">
              <a16:creationId xmlns:a16="http://schemas.microsoft.com/office/drawing/2014/main" id="{5F2D075C-ADFB-467A-8064-7F8B578C4606}"/>
            </a:ext>
          </a:extLst>
        </xdr:cNvPr>
        <xdr:cNvSpPr/>
      </xdr:nvSpPr>
      <xdr:spPr>
        <a:xfrm>
          <a:off x="3104029" y="17391530"/>
          <a:ext cx="1353512" cy="653948"/>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470647</xdr:colOff>
      <xdr:row>88</xdr:row>
      <xdr:rowOff>22413</xdr:rowOff>
    </xdr:from>
    <xdr:to>
      <xdr:col>3</xdr:col>
      <xdr:colOff>784412</xdr:colOff>
      <xdr:row>91</xdr:row>
      <xdr:rowOff>11206</xdr:rowOff>
    </xdr:to>
    <xdr:sp macro="" textlink="">
      <xdr:nvSpPr>
        <xdr:cNvPr id="303" name="Division Sign 302">
          <a:extLst>
            <a:ext uri="{FF2B5EF4-FFF2-40B4-BE49-F238E27FC236}">
              <a16:creationId xmlns:a16="http://schemas.microsoft.com/office/drawing/2014/main" id="{4648D8B4-ED86-4C71-831B-394B783852C2}"/>
            </a:ext>
          </a:extLst>
        </xdr:cNvPr>
        <xdr:cNvSpPr/>
      </xdr:nvSpPr>
      <xdr:spPr>
        <a:xfrm>
          <a:off x="4572000" y="17458766"/>
          <a:ext cx="313765"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874059</xdr:colOff>
      <xdr:row>86</xdr:row>
      <xdr:rowOff>91578</xdr:rowOff>
    </xdr:from>
    <xdr:to>
      <xdr:col>6</xdr:col>
      <xdr:colOff>1064558</xdr:colOff>
      <xdr:row>92</xdr:row>
      <xdr:rowOff>98976</xdr:rowOff>
    </xdr:to>
    <xdr:sp macro="" textlink="">
      <xdr:nvSpPr>
        <xdr:cNvPr id="305" name="Rectangle 304">
          <a:extLst>
            <a:ext uri="{FF2B5EF4-FFF2-40B4-BE49-F238E27FC236}">
              <a16:creationId xmlns:a16="http://schemas.microsoft.com/office/drawing/2014/main" id="{5739D8DD-16EC-463A-BF8E-4084B893CB86}"/>
            </a:ext>
          </a:extLst>
        </xdr:cNvPr>
        <xdr:cNvSpPr/>
      </xdr:nvSpPr>
      <xdr:spPr>
        <a:xfrm>
          <a:off x="4975412" y="17146931"/>
          <a:ext cx="5333999" cy="1150398"/>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Electricity consumption in the decision period</a:t>
          </a:r>
        </a:p>
      </xdr:txBody>
    </xdr:sp>
    <xdr:clientData/>
  </xdr:twoCellAnchor>
  <xdr:twoCellAnchor>
    <xdr:from>
      <xdr:col>5</xdr:col>
      <xdr:colOff>1252261</xdr:colOff>
      <xdr:row>87</xdr:row>
      <xdr:rowOff>175544</xdr:rowOff>
    </xdr:from>
    <xdr:to>
      <xdr:col>6</xdr:col>
      <xdr:colOff>932977</xdr:colOff>
      <xdr:row>91</xdr:row>
      <xdr:rowOff>132543</xdr:rowOff>
    </xdr:to>
    <xdr:sp macro="" textlink="">
      <xdr:nvSpPr>
        <xdr:cNvPr id="306" name="Rectangle 305">
          <a:extLst>
            <a:ext uri="{FF2B5EF4-FFF2-40B4-BE49-F238E27FC236}">
              <a16:creationId xmlns:a16="http://schemas.microsoft.com/office/drawing/2014/main" id="{6146A29A-734B-4F50-BC17-C28F8AC84447}"/>
            </a:ext>
          </a:extLst>
        </xdr:cNvPr>
        <xdr:cNvSpPr/>
      </xdr:nvSpPr>
      <xdr:spPr>
        <a:xfrm>
          <a:off x="8782614"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Days in year</a:t>
          </a:r>
        </a:p>
      </xdr:txBody>
    </xdr:sp>
    <xdr:clientData/>
  </xdr:twoCellAnchor>
  <xdr:twoCellAnchor>
    <xdr:from>
      <xdr:col>4</xdr:col>
      <xdr:colOff>1156056</xdr:colOff>
      <xdr:row>87</xdr:row>
      <xdr:rowOff>175544</xdr:rowOff>
    </xdr:from>
    <xdr:to>
      <xdr:col>5</xdr:col>
      <xdr:colOff>836772</xdr:colOff>
      <xdr:row>91</xdr:row>
      <xdr:rowOff>132543</xdr:rowOff>
    </xdr:to>
    <xdr:sp macro="" textlink="">
      <xdr:nvSpPr>
        <xdr:cNvPr id="307" name="Rectangle 306">
          <a:extLst>
            <a:ext uri="{FF2B5EF4-FFF2-40B4-BE49-F238E27FC236}">
              <a16:creationId xmlns:a16="http://schemas.microsoft.com/office/drawing/2014/main" id="{A7BD6ACE-A101-4C27-8769-F08FCFEB08E4}"/>
            </a:ext>
          </a:extLst>
        </xdr:cNvPr>
        <xdr:cNvSpPr/>
      </xdr:nvSpPr>
      <xdr:spPr>
        <a:xfrm>
          <a:off x="6971909" y="17421397"/>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5</xdr:col>
      <xdr:colOff>896476</xdr:colOff>
      <xdr:row>88</xdr:row>
      <xdr:rowOff>100854</xdr:rowOff>
    </xdr:from>
    <xdr:to>
      <xdr:col>5</xdr:col>
      <xdr:colOff>1210241</xdr:colOff>
      <xdr:row>91</xdr:row>
      <xdr:rowOff>89647</xdr:rowOff>
    </xdr:to>
    <xdr:sp macro="" textlink="">
      <xdr:nvSpPr>
        <xdr:cNvPr id="308" name="Division Sign 307">
          <a:extLst>
            <a:ext uri="{FF2B5EF4-FFF2-40B4-BE49-F238E27FC236}">
              <a16:creationId xmlns:a16="http://schemas.microsoft.com/office/drawing/2014/main" id="{F1FD4628-552A-4D2A-81EF-137B9B835502}"/>
            </a:ext>
          </a:extLst>
        </xdr:cNvPr>
        <xdr:cNvSpPr/>
      </xdr:nvSpPr>
      <xdr:spPr>
        <a:xfrm>
          <a:off x="8426829" y="17537207"/>
          <a:ext cx="313765" cy="560293"/>
        </a:xfrm>
        <a:prstGeom prst="mathDivide">
          <a:avLst>
            <a:gd name="adj1" fmla="val 5502"/>
            <a:gd name="adj2" fmla="val 7682"/>
            <a:gd name="adj3" fmla="val 582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1088818</xdr:colOff>
      <xdr:row>87</xdr:row>
      <xdr:rowOff>164339</xdr:rowOff>
    </xdr:from>
    <xdr:to>
      <xdr:col>4</xdr:col>
      <xdr:colOff>769534</xdr:colOff>
      <xdr:row>91</xdr:row>
      <xdr:rowOff>121338</xdr:rowOff>
    </xdr:to>
    <xdr:sp macro="" textlink="">
      <xdr:nvSpPr>
        <xdr:cNvPr id="309" name="Rectangle 308">
          <a:extLst>
            <a:ext uri="{FF2B5EF4-FFF2-40B4-BE49-F238E27FC236}">
              <a16:creationId xmlns:a16="http://schemas.microsoft.com/office/drawing/2014/main" id="{705EBDF4-0060-441D-9397-CBE79E9CBF9F}"/>
            </a:ext>
          </a:extLst>
        </xdr:cNvPr>
        <xdr:cNvSpPr/>
      </xdr:nvSpPr>
      <xdr:spPr>
        <a:xfrm>
          <a:off x="5190171" y="17410192"/>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4</xdr:col>
      <xdr:colOff>795618</xdr:colOff>
      <xdr:row>88</xdr:row>
      <xdr:rowOff>190497</xdr:rowOff>
    </xdr:from>
    <xdr:to>
      <xdr:col>4</xdr:col>
      <xdr:colOff>1155618</xdr:colOff>
      <xdr:row>90</xdr:row>
      <xdr:rowOff>169497</xdr:rowOff>
    </xdr:to>
    <xdr:sp macro="" textlink="">
      <xdr:nvSpPr>
        <xdr:cNvPr id="315" name="Multiplication Sign 314">
          <a:extLst>
            <a:ext uri="{FF2B5EF4-FFF2-40B4-BE49-F238E27FC236}">
              <a16:creationId xmlns:a16="http://schemas.microsoft.com/office/drawing/2014/main" id="{BF25BBD1-7480-4007-A6C1-15063B30BB84}"/>
            </a:ext>
          </a:extLst>
        </xdr:cNvPr>
        <xdr:cNvSpPr/>
      </xdr:nvSpPr>
      <xdr:spPr>
        <a:xfrm>
          <a:off x="6611471" y="17626850"/>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1131794</xdr:colOff>
      <xdr:row>64</xdr:row>
      <xdr:rowOff>22409</xdr:rowOff>
    </xdr:from>
    <xdr:to>
      <xdr:col>6</xdr:col>
      <xdr:colOff>1455794</xdr:colOff>
      <xdr:row>66</xdr:row>
      <xdr:rowOff>1409</xdr:rowOff>
    </xdr:to>
    <xdr:sp macro="" textlink="">
      <xdr:nvSpPr>
        <xdr:cNvPr id="316" name="Multiplication Sign 315">
          <a:extLst>
            <a:ext uri="{FF2B5EF4-FFF2-40B4-BE49-F238E27FC236}">
              <a16:creationId xmlns:a16="http://schemas.microsoft.com/office/drawing/2014/main" id="{EFE8E95F-CB71-4152-8093-E492D58B34F6}"/>
            </a:ext>
          </a:extLst>
        </xdr:cNvPr>
        <xdr:cNvSpPr/>
      </xdr:nvSpPr>
      <xdr:spPr>
        <a:xfrm>
          <a:off x="10376647" y="14410762"/>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1187823</xdr:colOff>
      <xdr:row>70</xdr:row>
      <xdr:rowOff>67236</xdr:rowOff>
    </xdr:from>
    <xdr:to>
      <xdr:col>6</xdr:col>
      <xdr:colOff>1008531</xdr:colOff>
      <xdr:row>75</xdr:row>
      <xdr:rowOff>61546</xdr:rowOff>
    </xdr:to>
    <xdr:sp macro="" textlink="">
      <xdr:nvSpPr>
        <xdr:cNvPr id="317" name="TextBox 316">
          <a:extLst>
            <a:ext uri="{FF2B5EF4-FFF2-40B4-BE49-F238E27FC236}">
              <a16:creationId xmlns:a16="http://schemas.microsoft.com/office/drawing/2014/main" id="{F1AF5684-43AE-4D70-9C07-EC17F6AFF7C1}"/>
            </a:ext>
          </a:extLst>
        </xdr:cNvPr>
        <xdr:cNvSpPr txBox="1"/>
      </xdr:nvSpPr>
      <xdr:spPr>
        <a:xfrm>
          <a:off x="7003676"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Cost allowance in previous decision ($)</a:t>
          </a:r>
        </a:p>
      </xdr:txBody>
    </xdr:sp>
    <xdr:clientData/>
  </xdr:twoCellAnchor>
  <xdr:twoCellAnchor>
    <xdr:from>
      <xdr:col>2</xdr:col>
      <xdr:colOff>2442882</xdr:colOff>
      <xdr:row>70</xdr:row>
      <xdr:rowOff>67236</xdr:rowOff>
    </xdr:from>
    <xdr:to>
      <xdr:col>4</xdr:col>
      <xdr:colOff>593913</xdr:colOff>
      <xdr:row>75</xdr:row>
      <xdr:rowOff>61546</xdr:rowOff>
    </xdr:to>
    <xdr:sp macro="" textlink="">
      <xdr:nvSpPr>
        <xdr:cNvPr id="318" name="TextBox 317">
          <a:extLst>
            <a:ext uri="{FF2B5EF4-FFF2-40B4-BE49-F238E27FC236}">
              <a16:creationId xmlns:a16="http://schemas.microsoft.com/office/drawing/2014/main" id="{202740BD-B50D-4A73-8C33-3F9DCE6117D4}"/>
            </a:ext>
          </a:extLst>
        </xdr:cNvPr>
        <xdr:cNvSpPr txBox="1"/>
      </xdr:nvSpPr>
      <xdr:spPr>
        <a:xfrm>
          <a:off x="3160058" y="15598589"/>
          <a:ext cx="3249708" cy="946810"/>
        </a:xfrm>
        <a:prstGeom prst="rect">
          <a:avLst/>
        </a:prstGeom>
        <a:noFill/>
        <a:ln w="28575" cmpd="sng">
          <a:solidFill>
            <a:schemeClr val="bg1"/>
          </a:solidFill>
          <a:prstDash val="sysDash"/>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ctr"/>
          <a:r>
            <a:rPr lang="en-AU" sz="900" b="1">
              <a:solidFill>
                <a:schemeClr val="bg1"/>
              </a:solidFill>
              <a:latin typeface="+mj-lt"/>
              <a:ea typeface="+mn-ea"/>
              <a:cs typeface="Arial" panose="020B0604020202020204" pitchFamily="34" charset="0"/>
            </a:rPr>
            <a:t>Actual cost ($)</a:t>
          </a:r>
        </a:p>
      </xdr:txBody>
    </xdr:sp>
    <xdr:clientData/>
  </xdr:twoCellAnchor>
  <xdr:twoCellAnchor>
    <xdr:from>
      <xdr:col>2</xdr:col>
      <xdr:colOff>2496111</xdr:colOff>
      <xdr:row>71</xdr:row>
      <xdr:rowOff>29868</xdr:rowOff>
    </xdr:from>
    <xdr:to>
      <xdr:col>3</xdr:col>
      <xdr:colOff>507150</xdr:colOff>
      <xdr:row>74</xdr:row>
      <xdr:rowOff>177367</xdr:rowOff>
    </xdr:to>
    <xdr:sp macro="" textlink="">
      <xdr:nvSpPr>
        <xdr:cNvPr id="319" name="Rectangle 318">
          <a:extLst>
            <a:ext uri="{FF2B5EF4-FFF2-40B4-BE49-F238E27FC236}">
              <a16:creationId xmlns:a16="http://schemas.microsoft.com/office/drawing/2014/main" id="{B2EDC7DB-8586-45E6-A9A1-9C24D02EA727}"/>
            </a:ext>
          </a:extLst>
        </xdr:cNvPr>
        <xdr:cNvSpPr/>
      </xdr:nvSpPr>
      <xdr:spPr>
        <a:xfrm>
          <a:off x="3213287"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Actual cost ($)</a:t>
          </a:r>
        </a:p>
      </xdr:txBody>
    </xdr:sp>
    <xdr:clientData/>
  </xdr:twoCellAnchor>
  <xdr:twoCellAnchor>
    <xdr:from>
      <xdr:col>3</xdr:col>
      <xdr:colOff>819876</xdr:colOff>
      <xdr:row>71</xdr:row>
      <xdr:rowOff>29868</xdr:rowOff>
    </xdr:from>
    <xdr:to>
      <xdr:col>4</xdr:col>
      <xdr:colOff>500592</xdr:colOff>
      <xdr:row>74</xdr:row>
      <xdr:rowOff>177367</xdr:rowOff>
    </xdr:to>
    <xdr:sp macro="" textlink="">
      <xdr:nvSpPr>
        <xdr:cNvPr id="320" name="Rectangle 319">
          <a:extLst>
            <a:ext uri="{FF2B5EF4-FFF2-40B4-BE49-F238E27FC236}">
              <a16:creationId xmlns:a16="http://schemas.microsoft.com/office/drawing/2014/main" id="{26546092-F699-4524-9B96-7019E70CF5FE}"/>
            </a:ext>
          </a:extLst>
        </xdr:cNvPr>
        <xdr:cNvSpPr/>
      </xdr:nvSpPr>
      <xdr:spPr>
        <a:xfrm>
          <a:off x="4921229"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a:t>
          </a:r>
          <a:r>
            <a:rPr lang="en-AU" sz="900" b="1" baseline="0">
              <a:solidFill>
                <a:schemeClr val="tx1"/>
              </a:solidFill>
              <a:latin typeface="+mj-lt"/>
              <a:ea typeface="+mn-ea"/>
              <a:cs typeface="Arial" panose="020B0604020202020204" pitchFamily="34" charset="0"/>
            </a:rPr>
            <a:t> period to the decision period</a:t>
          </a:r>
          <a:r>
            <a:rPr lang="en-AU" sz="900" b="1">
              <a:solidFill>
                <a:schemeClr val="tx1"/>
              </a:solidFill>
              <a:latin typeface="+mj-lt"/>
              <a:ea typeface="+mn-ea"/>
              <a:cs typeface="Arial" panose="020B0604020202020204" pitchFamily="34" charset="0"/>
            </a:rPr>
            <a:t> (%)</a:t>
          </a:r>
        </a:p>
      </xdr:txBody>
    </xdr:sp>
    <xdr:clientData/>
  </xdr:twoCellAnchor>
  <xdr:twoCellAnchor>
    <xdr:from>
      <xdr:col>8</xdr:col>
      <xdr:colOff>98584</xdr:colOff>
      <xdr:row>69</xdr:row>
      <xdr:rowOff>11207</xdr:rowOff>
    </xdr:from>
    <xdr:to>
      <xdr:col>8</xdr:col>
      <xdr:colOff>1466850</xdr:colOff>
      <xdr:row>75</xdr:row>
      <xdr:rowOff>130669</xdr:rowOff>
    </xdr:to>
    <xdr:sp macro="" textlink="">
      <xdr:nvSpPr>
        <xdr:cNvPr id="321" name="Rectangle 320">
          <a:extLst>
            <a:ext uri="{FF2B5EF4-FFF2-40B4-BE49-F238E27FC236}">
              <a16:creationId xmlns:a16="http://schemas.microsoft.com/office/drawing/2014/main" id="{607C5251-B08D-44F7-A4C7-70A024AF66EA}"/>
            </a:ext>
          </a:extLst>
        </xdr:cNvPr>
        <xdr:cNvSpPr/>
      </xdr:nvSpPr>
      <xdr:spPr>
        <a:xfrm>
          <a:off x="12700159" y="13841507"/>
          <a:ext cx="1368266"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Retail Margin factor</a:t>
          </a: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Retail Margin (previous decision)</a:t>
          </a:r>
        </a:p>
      </xdr:txBody>
    </xdr:sp>
    <xdr:clientData/>
  </xdr:twoCellAnchor>
  <xdr:twoCellAnchor>
    <xdr:from>
      <xdr:col>9</xdr:col>
      <xdr:colOff>57150</xdr:colOff>
      <xdr:row>69</xdr:row>
      <xdr:rowOff>9524</xdr:rowOff>
    </xdr:from>
    <xdr:to>
      <xdr:col>9</xdr:col>
      <xdr:colOff>1655615</xdr:colOff>
      <xdr:row>75</xdr:row>
      <xdr:rowOff>102093</xdr:rowOff>
    </xdr:to>
    <xdr:sp macro="" textlink="">
      <xdr:nvSpPr>
        <xdr:cNvPr id="322" name="Rectangle 321">
          <a:extLst>
            <a:ext uri="{FF2B5EF4-FFF2-40B4-BE49-F238E27FC236}">
              <a16:creationId xmlns:a16="http://schemas.microsoft.com/office/drawing/2014/main" id="{FFCD3DC8-D4F8-4A59-9C3D-9F849D4ECFCE}"/>
            </a:ext>
          </a:extLst>
        </xdr:cNvPr>
        <xdr:cNvSpPr/>
      </xdr:nvSpPr>
      <xdr:spPr>
        <a:xfrm>
          <a:off x="14363700" y="13839824"/>
          <a:ext cx="1598465" cy="1235569"/>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GST factor</a:t>
          </a:r>
        </a:p>
        <a:p>
          <a:pPr marL="0" indent="0" algn="ctr"/>
          <a:endParaRPr lang="en-AU" sz="900" b="1">
            <a:solidFill>
              <a:schemeClr val="bg1"/>
            </a:solidFill>
            <a:latin typeface="+mj-lt"/>
            <a:ea typeface="+mn-ea"/>
            <a:cs typeface="Arial" panose="020B0604020202020204" pitchFamily="34" charset="0"/>
          </a:endParaRPr>
        </a:p>
        <a:p>
          <a:pPr marL="0" indent="0" algn="ctr"/>
          <a:endParaRPr lang="en-AU" sz="900" b="1">
            <a:solidFill>
              <a:schemeClr val="bg1"/>
            </a:solidFill>
            <a:latin typeface="+mj-lt"/>
            <a:ea typeface="+mn-ea"/>
            <a:cs typeface="Arial" panose="020B0604020202020204" pitchFamily="34" charset="0"/>
          </a:endParaRPr>
        </a:p>
        <a:p>
          <a:pPr marL="0" indent="0" algn="ctr"/>
          <a:r>
            <a:rPr lang="en-AU" sz="900" b="1">
              <a:solidFill>
                <a:schemeClr val="bg1"/>
              </a:solidFill>
              <a:latin typeface="+mj-lt"/>
              <a:ea typeface="+mn-ea"/>
              <a:cs typeface="Arial" panose="020B0604020202020204" pitchFamily="34" charset="0"/>
            </a:rPr>
            <a:t>1 + GST rate</a:t>
          </a:r>
        </a:p>
      </xdr:txBody>
    </xdr:sp>
    <xdr:clientData/>
  </xdr:twoCellAnchor>
  <xdr:twoCellAnchor>
    <xdr:from>
      <xdr:col>4</xdr:col>
      <xdr:colOff>1263463</xdr:colOff>
      <xdr:row>71</xdr:row>
      <xdr:rowOff>29868</xdr:rowOff>
    </xdr:from>
    <xdr:to>
      <xdr:col>5</xdr:col>
      <xdr:colOff>944179</xdr:colOff>
      <xdr:row>74</xdr:row>
      <xdr:rowOff>177367</xdr:rowOff>
    </xdr:to>
    <xdr:sp macro="" textlink="">
      <xdr:nvSpPr>
        <xdr:cNvPr id="323" name="Rectangle 322">
          <a:extLst>
            <a:ext uri="{FF2B5EF4-FFF2-40B4-BE49-F238E27FC236}">
              <a16:creationId xmlns:a16="http://schemas.microsoft.com/office/drawing/2014/main" id="{E03D2B5C-E66C-4C58-A0EF-14FCCB22A3F0}"/>
            </a:ext>
          </a:extLst>
        </xdr:cNvPr>
        <xdr:cNvSpPr/>
      </xdr:nvSpPr>
      <xdr:spPr>
        <a:xfrm>
          <a:off x="7079316"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00" b="1" i="0" u="none" strike="noStrike" kern="0" cap="none" spc="0" normalizeH="0" baseline="0" noProof="0">
              <a:ln>
                <a:noFill/>
              </a:ln>
              <a:solidFill>
                <a:prstClr val="black"/>
              </a:solidFill>
              <a:effectLst/>
              <a:uLnTx/>
              <a:uFillTx/>
              <a:latin typeface="Calibri Light" panose="020F0302020204030204"/>
              <a:ea typeface="+mn-ea"/>
              <a:cs typeface="Arial" panose="020B0604020202020204" pitchFamily="34" charset="0"/>
            </a:rPr>
            <a:t>Cost allowance in previous decision ($)</a:t>
          </a:r>
          <a:r>
            <a:rPr lang="en-AU" sz="900" b="1">
              <a:solidFill>
                <a:schemeClr val="tx1"/>
              </a:solidFill>
              <a:latin typeface="+mj-lt"/>
              <a:ea typeface="+mn-ea"/>
              <a:cs typeface="Arial" panose="020B0604020202020204" pitchFamily="34" charset="0"/>
            </a:rPr>
            <a:t> </a:t>
          </a:r>
        </a:p>
      </xdr:txBody>
    </xdr:sp>
    <xdr:clientData/>
  </xdr:twoCellAnchor>
  <xdr:twoCellAnchor>
    <xdr:from>
      <xdr:col>5</xdr:col>
      <xdr:colOff>1256905</xdr:colOff>
      <xdr:row>71</xdr:row>
      <xdr:rowOff>29868</xdr:rowOff>
    </xdr:from>
    <xdr:to>
      <xdr:col>6</xdr:col>
      <xdr:colOff>937621</xdr:colOff>
      <xdr:row>74</xdr:row>
      <xdr:rowOff>177367</xdr:rowOff>
    </xdr:to>
    <xdr:sp macro="" textlink="">
      <xdr:nvSpPr>
        <xdr:cNvPr id="324" name="Rectangle 323">
          <a:extLst>
            <a:ext uri="{FF2B5EF4-FFF2-40B4-BE49-F238E27FC236}">
              <a16:creationId xmlns:a16="http://schemas.microsoft.com/office/drawing/2014/main" id="{B63587B3-27B9-49E6-A7E0-0169DDBCB3EC}"/>
            </a:ext>
          </a:extLst>
        </xdr:cNvPr>
        <xdr:cNvSpPr/>
      </xdr:nvSpPr>
      <xdr:spPr>
        <a:xfrm>
          <a:off x="8787258" y="15751721"/>
          <a:ext cx="1395216" cy="718999"/>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indent="0" algn="ctr"/>
          <a:r>
            <a:rPr lang="en-AU" sz="900" b="1">
              <a:solidFill>
                <a:schemeClr val="tx1"/>
              </a:solidFill>
              <a:latin typeface="+mj-lt"/>
              <a:ea typeface="+mn-ea"/>
              <a:cs typeface="Arial" panose="020B0604020202020204" pitchFamily="34" charset="0"/>
            </a:rPr>
            <a:t>Proportion of actual cost period to the decision period (%)</a:t>
          </a:r>
        </a:p>
      </xdr:txBody>
    </xdr:sp>
    <xdr:clientData/>
  </xdr:twoCellAnchor>
  <xdr:twoCellAnchor>
    <xdr:from>
      <xdr:col>2</xdr:col>
      <xdr:colOff>1804343</xdr:colOff>
      <xdr:row>72</xdr:row>
      <xdr:rowOff>67200</xdr:rowOff>
    </xdr:from>
    <xdr:to>
      <xdr:col>2</xdr:col>
      <xdr:colOff>2063899</xdr:colOff>
      <xdr:row>72</xdr:row>
      <xdr:rowOff>67200</xdr:rowOff>
    </xdr:to>
    <xdr:cxnSp macro="">
      <xdr:nvCxnSpPr>
        <xdr:cNvPr id="325" name="Straight Arrow Connector 324">
          <a:extLst>
            <a:ext uri="{FF2B5EF4-FFF2-40B4-BE49-F238E27FC236}">
              <a16:creationId xmlns:a16="http://schemas.microsoft.com/office/drawing/2014/main" id="{4BB9DD29-C5EE-42D0-9AA0-0789090C66BE}"/>
            </a:ext>
          </a:extLst>
        </xdr:cNvPr>
        <xdr:cNvCxnSpPr/>
      </xdr:nvCxnSpPr>
      <xdr:spPr>
        <a:xfrm>
          <a:off x="2521519" y="15979553"/>
          <a:ext cx="259556"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129226</xdr:colOff>
      <xdr:row>69</xdr:row>
      <xdr:rowOff>33618</xdr:rowOff>
    </xdr:from>
    <xdr:to>
      <xdr:col>2</xdr:col>
      <xdr:colOff>1650110</xdr:colOff>
      <xdr:row>75</xdr:row>
      <xdr:rowOff>127271</xdr:rowOff>
    </xdr:to>
    <xdr:sp macro="" textlink="">
      <xdr:nvSpPr>
        <xdr:cNvPr id="326" name="Rectangle 325">
          <a:extLst>
            <a:ext uri="{FF2B5EF4-FFF2-40B4-BE49-F238E27FC236}">
              <a16:creationId xmlns:a16="http://schemas.microsoft.com/office/drawing/2014/main" id="{F73402EF-4DFF-46EC-B706-25404FBE1292}"/>
            </a:ext>
          </a:extLst>
        </xdr:cNvPr>
        <xdr:cNvSpPr/>
      </xdr:nvSpPr>
      <xdr:spPr>
        <a:xfrm>
          <a:off x="846402" y="15374471"/>
          <a:ext cx="1520884" cy="123665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true up  cost ($)</a:t>
          </a:r>
        </a:p>
      </xdr:txBody>
    </xdr:sp>
    <xdr:clientData/>
  </xdr:twoCellAnchor>
  <xdr:twoCellAnchor>
    <xdr:from>
      <xdr:col>3</xdr:col>
      <xdr:colOff>493059</xdr:colOff>
      <xdr:row>72</xdr:row>
      <xdr:rowOff>22410</xdr:rowOff>
    </xdr:from>
    <xdr:to>
      <xdr:col>3</xdr:col>
      <xdr:colOff>853059</xdr:colOff>
      <xdr:row>74</xdr:row>
      <xdr:rowOff>1410</xdr:rowOff>
    </xdr:to>
    <xdr:sp macro="" textlink="">
      <xdr:nvSpPr>
        <xdr:cNvPr id="327" name="Multiplication Sign 326">
          <a:extLst>
            <a:ext uri="{FF2B5EF4-FFF2-40B4-BE49-F238E27FC236}">
              <a16:creationId xmlns:a16="http://schemas.microsoft.com/office/drawing/2014/main" id="{890B365D-FA48-487A-84FB-17A726CD3177}"/>
            </a:ext>
          </a:extLst>
        </xdr:cNvPr>
        <xdr:cNvSpPr/>
      </xdr:nvSpPr>
      <xdr:spPr>
        <a:xfrm>
          <a:off x="4594412"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930088</xdr:colOff>
      <xdr:row>72</xdr:row>
      <xdr:rowOff>22410</xdr:rowOff>
    </xdr:from>
    <xdr:to>
      <xdr:col>5</xdr:col>
      <xdr:colOff>1290088</xdr:colOff>
      <xdr:row>74</xdr:row>
      <xdr:rowOff>1410</xdr:rowOff>
    </xdr:to>
    <xdr:sp macro="" textlink="">
      <xdr:nvSpPr>
        <xdr:cNvPr id="328" name="Multiplication Sign 327">
          <a:extLst>
            <a:ext uri="{FF2B5EF4-FFF2-40B4-BE49-F238E27FC236}">
              <a16:creationId xmlns:a16="http://schemas.microsoft.com/office/drawing/2014/main" id="{1EA75FA3-31FC-4620-BD1C-B5A785BFB343}"/>
            </a:ext>
          </a:extLst>
        </xdr:cNvPr>
        <xdr:cNvSpPr/>
      </xdr:nvSpPr>
      <xdr:spPr>
        <a:xfrm>
          <a:off x="8460441" y="15934763"/>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728382</xdr:colOff>
      <xdr:row>72</xdr:row>
      <xdr:rowOff>123265</xdr:rowOff>
    </xdr:from>
    <xdr:to>
      <xdr:col>4</xdr:col>
      <xdr:colOff>1088382</xdr:colOff>
      <xdr:row>73</xdr:row>
      <xdr:rowOff>76765</xdr:rowOff>
    </xdr:to>
    <xdr:sp macro="" textlink="">
      <xdr:nvSpPr>
        <xdr:cNvPr id="329" name="Minus Sign 328">
          <a:extLst>
            <a:ext uri="{FF2B5EF4-FFF2-40B4-BE49-F238E27FC236}">
              <a16:creationId xmlns:a16="http://schemas.microsoft.com/office/drawing/2014/main" id="{27344D81-3B2C-49BD-83E6-73908FD2F21F}"/>
            </a:ext>
          </a:extLst>
        </xdr:cNvPr>
        <xdr:cNvSpPr/>
      </xdr:nvSpPr>
      <xdr:spPr>
        <a:xfrm>
          <a:off x="6544235" y="16035618"/>
          <a:ext cx="360000" cy="144000"/>
        </a:xfrm>
        <a:prstGeom prst="mathMinus">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1468531</xdr:colOff>
      <xdr:row>71</xdr:row>
      <xdr:rowOff>113737</xdr:rowOff>
    </xdr:from>
    <xdr:to>
      <xdr:col>9</xdr:col>
      <xdr:colOff>87556</xdr:colOff>
      <xdr:row>73</xdr:row>
      <xdr:rowOff>92737</xdr:rowOff>
    </xdr:to>
    <xdr:sp macro="" textlink="">
      <xdr:nvSpPr>
        <xdr:cNvPr id="330" name="Multiplication Sign 329">
          <a:extLst>
            <a:ext uri="{FF2B5EF4-FFF2-40B4-BE49-F238E27FC236}">
              <a16:creationId xmlns:a16="http://schemas.microsoft.com/office/drawing/2014/main" id="{778AFF1D-23F7-4ABD-B445-A954DF652578}"/>
            </a:ext>
          </a:extLst>
        </xdr:cNvPr>
        <xdr:cNvSpPr/>
      </xdr:nvSpPr>
      <xdr:spPr>
        <a:xfrm>
          <a:off x="14070106" y="14325037"/>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1456765</xdr:colOff>
      <xdr:row>71</xdr:row>
      <xdr:rowOff>123262</xdr:rowOff>
    </xdr:from>
    <xdr:to>
      <xdr:col>8</xdr:col>
      <xdr:colOff>66265</xdr:colOff>
      <xdr:row>73</xdr:row>
      <xdr:rowOff>102262</xdr:rowOff>
    </xdr:to>
    <xdr:sp macro="" textlink="">
      <xdr:nvSpPr>
        <xdr:cNvPr id="331" name="Multiplication Sign 330">
          <a:extLst>
            <a:ext uri="{FF2B5EF4-FFF2-40B4-BE49-F238E27FC236}">
              <a16:creationId xmlns:a16="http://schemas.microsoft.com/office/drawing/2014/main" id="{D17A4420-0A7F-4015-A5D5-690D5B39D37F}"/>
            </a:ext>
          </a:extLst>
        </xdr:cNvPr>
        <xdr:cNvSpPr/>
      </xdr:nvSpPr>
      <xdr:spPr>
        <a:xfrm>
          <a:off x="12416118" y="15845115"/>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1488113</xdr:colOff>
      <xdr:row>69</xdr:row>
      <xdr:rowOff>33619</xdr:rowOff>
    </xdr:from>
    <xdr:to>
      <xdr:col>7</xdr:col>
      <xdr:colOff>1304703</xdr:colOff>
      <xdr:row>75</xdr:row>
      <xdr:rowOff>153081</xdr:rowOff>
    </xdr:to>
    <xdr:sp macro="" textlink="">
      <xdr:nvSpPr>
        <xdr:cNvPr id="333" name="Rectangle 332">
          <a:extLst>
            <a:ext uri="{FF2B5EF4-FFF2-40B4-BE49-F238E27FC236}">
              <a16:creationId xmlns:a16="http://schemas.microsoft.com/office/drawing/2014/main" id="{15A0D768-84A2-4AB3-84EF-63A7BDF208BD}"/>
            </a:ext>
          </a:extLst>
        </xdr:cNvPr>
        <xdr:cNvSpPr/>
      </xdr:nvSpPr>
      <xdr:spPr>
        <a:xfrm>
          <a:off x="10732966" y="14634884"/>
          <a:ext cx="1531090" cy="1262462"/>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Network loss factor (previous decision) excluding  for network true up costs </a:t>
          </a:r>
        </a:p>
      </xdr:txBody>
    </xdr:sp>
    <xdr:clientData/>
  </xdr:twoCellAnchor>
  <xdr:twoCellAnchor>
    <xdr:from>
      <xdr:col>6</xdr:col>
      <xdr:colOff>1131794</xdr:colOff>
      <xdr:row>71</xdr:row>
      <xdr:rowOff>145674</xdr:rowOff>
    </xdr:from>
    <xdr:to>
      <xdr:col>6</xdr:col>
      <xdr:colOff>1455794</xdr:colOff>
      <xdr:row>73</xdr:row>
      <xdr:rowOff>124674</xdr:rowOff>
    </xdr:to>
    <xdr:sp macro="" textlink="">
      <xdr:nvSpPr>
        <xdr:cNvPr id="334" name="Multiplication Sign 333">
          <a:extLst>
            <a:ext uri="{FF2B5EF4-FFF2-40B4-BE49-F238E27FC236}">
              <a16:creationId xmlns:a16="http://schemas.microsoft.com/office/drawing/2014/main" id="{55E610D7-52AC-415E-A3C2-05225874195B}"/>
            </a:ext>
          </a:extLst>
        </xdr:cNvPr>
        <xdr:cNvSpPr/>
      </xdr:nvSpPr>
      <xdr:spPr>
        <a:xfrm>
          <a:off x="10376647" y="15867527"/>
          <a:ext cx="324000" cy="360000"/>
        </a:xfrm>
        <a:prstGeom prst="mathMultiply">
          <a:avLst>
            <a:gd name="adj1" fmla="val 1209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1796798</xdr:colOff>
      <xdr:row>100</xdr:row>
      <xdr:rowOff>120739</xdr:rowOff>
    </xdr:from>
    <xdr:to>
      <xdr:col>2</xdr:col>
      <xdr:colOff>2069478</xdr:colOff>
      <xdr:row>100</xdr:row>
      <xdr:rowOff>120739</xdr:rowOff>
    </xdr:to>
    <xdr:cxnSp macro="">
      <xdr:nvCxnSpPr>
        <xdr:cNvPr id="339" name="Straight Arrow Connector 338">
          <a:extLst>
            <a:ext uri="{FF2B5EF4-FFF2-40B4-BE49-F238E27FC236}">
              <a16:creationId xmlns:a16="http://schemas.microsoft.com/office/drawing/2014/main" id="{42EBF84B-F7CD-4EAA-8F43-9D669C8130C7}"/>
            </a:ext>
          </a:extLst>
        </xdr:cNvPr>
        <xdr:cNvCxnSpPr/>
      </xdr:nvCxnSpPr>
      <xdr:spPr>
        <a:xfrm>
          <a:off x="2513974" y="22129092"/>
          <a:ext cx="27268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67235</xdr:colOff>
      <xdr:row>97</xdr:row>
      <xdr:rowOff>11205</xdr:rowOff>
    </xdr:from>
    <xdr:to>
      <xdr:col>2</xdr:col>
      <xdr:colOff>1588119</xdr:colOff>
      <xdr:row>103</xdr:row>
      <xdr:rowOff>110742</xdr:rowOff>
    </xdr:to>
    <xdr:sp macro="" textlink="">
      <xdr:nvSpPr>
        <xdr:cNvPr id="340" name="Rectangle 339">
          <a:extLst>
            <a:ext uri="{FF2B5EF4-FFF2-40B4-BE49-F238E27FC236}">
              <a16:creationId xmlns:a16="http://schemas.microsoft.com/office/drawing/2014/main" id="{61C19F47-ABCF-4B81-9BBE-1875EAFDC2FC}"/>
            </a:ext>
          </a:extLst>
        </xdr:cNvPr>
        <xdr:cNvSpPr/>
      </xdr:nvSpPr>
      <xdr:spPr>
        <a:xfrm>
          <a:off x="784411" y="19767176"/>
          <a:ext cx="1520884" cy="1242537"/>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Annual bill ($/year)</a:t>
          </a:r>
        </a:p>
      </xdr:txBody>
    </xdr:sp>
    <xdr:clientData/>
  </xdr:twoCellAnchor>
  <xdr:twoCellAnchor>
    <xdr:from>
      <xdr:col>3</xdr:col>
      <xdr:colOff>666390</xdr:colOff>
      <xdr:row>100</xdr:row>
      <xdr:rowOff>5884</xdr:rowOff>
    </xdr:from>
    <xdr:to>
      <xdr:col>3</xdr:col>
      <xdr:colOff>1026390</xdr:colOff>
      <xdr:row>101</xdr:row>
      <xdr:rowOff>173972</xdr:rowOff>
    </xdr:to>
    <xdr:sp macro="" textlink="">
      <xdr:nvSpPr>
        <xdr:cNvPr id="342" name="Plus Sign 341">
          <a:extLst>
            <a:ext uri="{FF2B5EF4-FFF2-40B4-BE49-F238E27FC236}">
              <a16:creationId xmlns:a16="http://schemas.microsoft.com/office/drawing/2014/main" id="{E8AD6C28-C4D1-4706-A285-5A68CF21D22B}"/>
            </a:ext>
          </a:extLst>
        </xdr:cNvPr>
        <xdr:cNvSpPr/>
      </xdr:nvSpPr>
      <xdr:spPr>
        <a:xfrm>
          <a:off x="4767743"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530629</xdr:colOff>
      <xdr:row>99</xdr:row>
      <xdr:rowOff>5552</xdr:rowOff>
    </xdr:from>
    <xdr:to>
      <xdr:col>8</xdr:col>
      <xdr:colOff>337013</xdr:colOff>
      <xdr:row>102</xdr:row>
      <xdr:rowOff>148135</xdr:rowOff>
    </xdr:to>
    <xdr:sp macro="" textlink="">
      <xdr:nvSpPr>
        <xdr:cNvPr id="350" name="Rectangle 349">
          <a:extLst>
            <a:ext uri="{FF2B5EF4-FFF2-40B4-BE49-F238E27FC236}">
              <a16:creationId xmlns:a16="http://schemas.microsoft.com/office/drawing/2014/main" id="{BA757D6B-BFEF-43A6-B459-38D08FF93059}"/>
            </a:ext>
          </a:extLst>
        </xdr:cNvPr>
        <xdr:cNvSpPr/>
      </xdr:nvSpPr>
      <xdr:spPr>
        <a:xfrm>
          <a:off x="11489982"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TrueUp Variable Charge ($/kWh)</a:t>
          </a:r>
        </a:p>
      </xdr:txBody>
    </xdr:sp>
    <xdr:clientData/>
  </xdr:twoCellAnchor>
  <xdr:twoCellAnchor>
    <xdr:from>
      <xdr:col>8</xdr:col>
      <xdr:colOff>776338</xdr:colOff>
      <xdr:row>99</xdr:row>
      <xdr:rowOff>19244</xdr:rowOff>
    </xdr:from>
    <xdr:to>
      <xdr:col>9</xdr:col>
      <xdr:colOff>582721</xdr:colOff>
      <xdr:row>102</xdr:row>
      <xdr:rowOff>161827</xdr:rowOff>
    </xdr:to>
    <xdr:sp macro="" textlink="">
      <xdr:nvSpPr>
        <xdr:cNvPr id="351" name="Rectangle 350">
          <a:extLst>
            <a:ext uri="{FF2B5EF4-FFF2-40B4-BE49-F238E27FC236}">
              <a16:creationId xmlns:a16="http://schemas.microsoft.com/office/drawing/2014/main" id="{E92FC365-1B30-4065-A80B-9CDF521397BF}"/>
            </a:ext>
          </a:extLst>
        </xdr:cNvPr>
        <xdr:cNvSpPr/>
      </xdr:nvSpPr>
      <xdr:spPr>
        <a:xfrm>
          <a:off x="13450191"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Electricity Consumption (kWh/year)</a:t>
          </a:r>
        </a:p>
      </xdr:txBody>
    </xdr:sp>
    <xdr:clientData/>
  </xdr:twoCellAnchor>
  <xdr:twoCellAnchor>
    <xdr:from>
      <xdr:col>8</xdr:col>
      <xdr:colOff>397448</xdr:colOff>
      <xdr:row>99</xdr:row>
      <xdr:rowOff>162763</xdr:rowOff>
    </xdr:from>
    <xdr:to>
      <xdr:col>8</xdr:col>
      <xdr:colOff>757448</xdr:colOff>
      <xdr:row>101</xdr:row>
      <xdr:rowOff>141763</xdr:rowOff>
    </xdr:to>
    <xdr:sp macro="" textlink="">
      <xdr:nvSpPr>
        <xdr:cNvPr id="352" name="Multiplication Sign 351">
          <a:extLst>
            <a:ext uri="{FF2B5EF4-FFF2-40B4-BE49-F238E27FC236}">
              <a16:creationId xmlns:a16="http://schemas.microsoft.com/office/drawing/2014/main" id="{4472E3C1-46DE-4F68-B86E-F93CEBFD1182}"/>
            </a:ext>
          </a:extLst>
        </xdr:cNvPr>
        <xdr:cNvSpPr/>
      </xdr:nvSpPr>
      <xdr:spPr>
        <a:xfrm>
          <a:off x="13071301"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8</xdr:col>
      <xdr:colOff>1514734</xdr:colOff>
      <xdr:row>44</xdr:row>
      <xdr:rowOff>76726</xdr:rowOff>
    </xdr:from>
    <xdr:to>
      <xdr:col>9</xdr:col>
      <xdr:colOff>1330643</xdr:colOff>
      <xdr:row>50</xdr:row>
      <xdr:rowOff>171450</xdr:rowOff>
    </xdr:to>
    <xdr:sp macro="" textlink="">
      <xdr:nvSpPr>
        <xdr:cNvPr id="354" name="Rectangle 353">
          <a:extLst>
            <a:ext uri="{FF2B5EF4-FFF2-40B4-BE49-F238E27FC236}">
              <a16:creationId xmlns:a16="http://schemas.microsoft.com/office/drawing/2014/main" id="{C416DD5E-C7B5-46FB-8C33-EAD81808BC98}"/>
            </a:ext>
          </a:extLst>
        </xdr:cNvPr>
        <xdr:cNvSpPr/>
      </xdr:nvSpPr>
      <xdr:spPr>
        <a:xfrm>
          <a:off x="14116309" y="9135001"/>
          <a:ext cx="1520884" cy="1237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No of days in</a:t>
          </a:r>
          <a:r>
            <a:rPr lang="en-AU" sz="900" b="1" baseline="0">
              <a:solidFill>
                <a:schemeClr val="bg1"/>
              </a:solidFill>
              <a:latin typeface="+mj-lt"/>
              <a:ea typeface="+mn-ea"/>
              <a:cs typeface="Arial" panose="020B0604020202020204" pitchFamily="34" charset="0"/>
            </a:rPr>
            <a:t> decision period</a:t>
          </a:r>
          <a:endParaRPr lang="en-AU" sz="900" b="1">
            <a:solidFill>
              <a:schemeClr val="bg1"/>
            </a:solidFill>
            <a:latin typeface="+mj-lt"/>
            <a:ea typeface="+mn-ea"/>
            <a:cs typeface="Arial" panose="020B0604020202020204" pitchFamily="34" charset="0"/>
          </a:endParaRPr>
        </a:p>
      </xdr:txBody>
    </xdr:sp>
    <xdr:clientData/>
  </xdr:twoCellAnchor>
  <xdr:twoCellAnchor>
    <xdr:from>
      <xdr:col>8</xdr:col>
      <xdr:colOff>1194546</xdr:colOff>
      <xdr:row>46</xdr:row>
      <xdr:rowOff>17926</xdr:rowOff>
    </xdr:from>
    <xdr:to>
      <xdr:col>8</xdr:col>
      <xdr:colOff>1498786</xdr:colOff>
      <xdr:row>49</xdr:row>
      <xdr:rowOff>6719</xdr:rowOff>
    </xdr:to>
    <xdr:sp macro="" textlink="">
      <xdr:nvSpPr>
        <xdr:cNvPr id="356" name="Division Sign 355">
          <a:extLst>
            <a:ext uri="{FF2B5EF4-FFF2-40B4-BE49-F238E27FC236}">
              <a16:creationId xmlns:a16="http://schemas.microsoft.com/office/drawing/2014/main" id="{77997CB6-18A5-4B2A-B909-150F1D3DCB7F}"/>
            </a:ext>
          </a:extLst>
        </xdr:cNvPr>
        <xdr:cNvSpPr/>
      </xdr:nvSpPr>
      <xdr:spPr>
        <a:xfrm>
          <a:off x="13796121" y="9457201"/>
          <a:ext cx="304240"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2525279</xdr:colOff>
      <xdr:row>99</xdr:row>
      <xdr:rowOff>5552</xdr:rowOff>
    </xdr:from>
    <xdr:to>
      <xdr:col>3</xdr:col>
      <xdr:colOff>661986</xdr:colOff>
      <xdr:row>102</xdr:row>
      <xdr:rowOff>148135</xdr:rowOff>
    </xdr:to>
    <xdr:sp macro="" textlink="">
      <xdr:nvSpPr>
        <xdr:cNvPr id="364" name="Rectangle 363">
          <a:extLst>
            <a:ext uri="{FF2B5EF4-FFF2-40B4-BE49-F238E27FC236}">
              <a16:creationId xmlns:a16="http://schemas.microsoft.com/office/drawing/2014/main" id="{ABAE0765-9D58-4D91-B609-09EC0F85A1F4}"/>
            </a:ext>
          </a:extLst>
        </xdr:cNvPr>
        <xdr:cNvSpPr/>
      </xdr:nvSpPr>
      <xdr:spPr>
        <a:xfrm>
          <a:off x="3242455"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Supply Charge ($/day)</a:t>
          </a:r>
        </a:p>
      </xdr:txBody>
    </xdr:sp>
    <xdr:clientData/>
  </xdr:twoCellAnchor>
  <xdr:twoCellAnchor>
    <xdr:from>
      <xdr:col>6</xdr:col>
      <xdr:colOff>328923</xdr:colOff>
      <xdr:row>99</xdr:row>
      <xdr:rowOff>5552</xdr:rowOff>
    </xdr:from>
    <xdr:to>
      <xdr:col>7</xdr:col>
      <xdr:colOff>135307</xdr:colOff>
      <xdr:row>102</xdr:row>
      <xdr:rowOff>148135</xdr:rowOff>
    </xdr:to>
    <xdr:sp macro="" textlink="">
      <xdr:nvSpPr>
        <xdr:cNvPr id="367" name="Rectangle 366">
          <a:extLst>
            <a:ext uri="{FF2B5EF4-FFF2-40B4-BE49-F238E27FC236}">
              <a16:creationId xmlns:a16="http://schemas.microsoft.com/office/drawing/2014/main" id="{629DA65D-668C-4222-A214-C1E35F7FF5D8}"/>
            </a:ext>
          </a:extLst>
        </xdr:cNvPr>
        <xdr:cNvSpPr/>
      </xdr:nvSpPr>
      <xdr:spPr>
        <a:xfrm>
          <a:off x="9573776"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Variable Charge ($/KWh)</a:t>
          </a:r>
        </a:p>
      </xdr:txBody>
    </xdr:sp>
    <xdr:clientData/>
  </xdr:twoCellAnchor>
  <xdr:twoCellAnchor>
    <xdr:from>
      <xdr:col>3</xdr:col>
      <xdr:colOff>1057308</xdr:colOff>
      <xdr:row>99</xdr:row>
      <xdr:rowOff>5552</xdr:rowOff>
    </xdr:from>
    <xdr:to>
      <xdr:col>4</xdr:col>
      <xdr:colOff>863692</xdr:colOff>
      <xdr:row>102</xdr:row>
      <xdr:rowOff>148135</xdr:rowOff>
    </xdr:to>
    <xdr:sp macro="" textlink="">
      <xdr:nvSpPr>
        <xdr:cNvPr id="370" name="Rectangle 369">
          <a:extLst>
            <a:ext uri="{FF2B5EF4-FFF2-40B4-BE49-F238E27FC236}">
              <a16:creationId xmlns:a16="http://schemas.microsoft.com/office/drawing/2014/main" id="{D66FB4B1-21D5-4228-AD4A-D16B253E9D3F}"/>
            </a:ext>
          </a:extLst>
        </xdr:cNvPr>
        <xdr:cNvSpPr/>
      </xdr:nvSpPr>
      <xdr:spPr>
        <a:xfrm>
          <a:off x="5158661" y="20142523"/>
          <a:ext cx="1520884" cy="714083"/>
        </a:xfrm>
        <a:prstGeom prst="rect">
          <a:avLst/>
        </a:prstGeom>
        <a:solidFill>
          <a:srgbClr val="CE0058"/>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900" b="1" baseline="0">
              <a:solidFill>
                <a:schemeClr val="bg1"/>
              </a:solidFill>
              <a:latin typeface="+mj-lt"/>
              <a:ea typeface="+mn-ea"/>
              <a:cs typeface="Arial" panose="020B0604020202020204" pitchFamily="34" charset="0"/>
            </a:rPr>
            <a:t>True up Supply Charge ($/day)</a:t>
          </a:r>
        </a:p>
      </xdr:txBody>
    </xdr:sp>
    <xdr:clientData/>
  </xdr:twoCellAnchor>
  <xdr:twoCellAnchor>
    <xdr:from>
      <xdr:col>4</xdr:col>
      <xdr:colOff>1325429</xdr:colOff>
      <xdr:row>99</xdr:row>
      <xdr:rowOff>19244</xdr:rowOff>
    </xdr:from>
    <xdr:to>
      <xdr:col>5</xdr:col>
      <xdr:colOff>1131812</xdr:colOff>
      <xdr:row>102</xdr:row>
      <xdr:rowOff>161827</xdr:rowOff>
    </xdr:to>
    <xdr:sp macro="" textlink="">
      <xdr:nvSpPr>
        <xdr:cNvPr id="371" name="Rectangle 370">
          <a:extLst>
            <a:ext uri="{FF2B5EF4-FFF2-40B4-BE49-F238E27FC236}">
              <a16:creationId xmlns:a16="http://schemas.microsoft.com/office/drawing/2014/main" id="{760A07A7-CBB2-4C1D-9A7D-2CCA155F9119}"/>
            </a:ext>
          </a:extLst>
        </xdr:cNvPr>
        <xdr:cNvSpPr/>
      </xdr:nvSpPr>
      <xdr:spPr>
        <a:xfrm>
          <a:off x="7141282" y="20156215"/>
          <a:ext cx="1520883" cy="714083"/>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No. of days in decision period</a:t>
          </a:r>
        </a:p>
      </xdr:txBody>
    </xdr:sp>
    <xdr:clientData/>
  </xdr:twoCellAnchor>
  <xdr:twoCellAnchor>
    <xdr:from>
      <xdr:col>4</xdr:col>
      <xdr:colOff>946540</xdr:colOff>
      <xdr:row>99</xdr:row>
      <xdr:rowOff>162763</xdr:rowOff>
    </xdr:from>
    <xdr:to>
      <xdr:col>4</xdr:col>
      <xdr:colOff>1306540</xdr:colOff>
      <xdr:row>101</xdr:row>
      <xdr:rowOff>141763</xdr:rowOff>
    </xdr:to>
    <xdr:sp macro="" textlink="">
      <xdr:nvSpPr>
        <xdr:cNvPr id="372" name="Multiplication Sign 371">
          <a:extLst>
            <a:ext uri="{FF2B5EF4-FFF2-40B4-BE49-F238E27FC236}">
              <a16:creationId xmlns:a16="http://schemas.microsoft.com/office/drawing/2014/main" id="{81691C69-885B-4970-81E0-D1A92355878E}"/>
            </a:ext>
          </a:extLst>
        </xdr:cNvPr>
        <xdr:cNvSpPr/>
      </xdr:nvSpPr>
      <xdr:spPr>
        <a:xfrm>
          <a:off x="6762393" y="20299734"/>
          <a:ext cx="360000" cy="360000"/>
        </a:xfrm>
        <a:prstGeom prst="mathMultiply">
          <a:avLst>
            <a:gd name="adj1" fmla="val 12092"/>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1338743</xdr:colOff>
      <xdr:row>99</xdr:row>
      <xdr:rowOff>162767</xdr:rowOff>
    </xdr:from>
    <xdr:to>
      <xdr:col>5</xdr:col>
      <xdr:colOff>1698743</xdr:colOff>
      <xdr:row>101</xdr:row>
      <xdr:rowOff>140355</xdr:rowOff>
    </xdr:to>
    <xdr:sp macro="" textlink="">
      <xdr:nvSpPr>
        <xdr:cNvPr id="373" name="Plus Sign 372">
          <a:extLst>
            <a:ext uri="{FF2B5EF4-FFF2-40B4-BE49-F238E27FC236}">
              <a16:creationId xmlns:a16="http://schemas.microsoft.com/office/drawing/2014/main" id="{FB16B03C-08EC-47A8-B710-6BA0DB9795FC}"/>
            </a:ext>
          </a:extLst>
        </xdr:cNvPr>
        <xdr:cNvSpPr/>
      </xdr:nvSpPr>
      <xdr:spPr>
        <a:xfrm>
          <a:off x="8869096" y="20299738"/>
          <a:ext cx="360000" cy="358588"/>
        </a:xfrm>
        <a:prstGeom prst="mathPlus">
          <a:avLst>
            <a:gd name="adj1" fmla="val 1399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139712</xdr:colOff>
      <xdr:row>100</xdr:row>
      <xdr:rowOff>5884</xdr:rowOff>
    </xdr:from>
    <xdr:to>
      <xdr:col>7</xdr:col>
      <xdr:colOff>499712</xdr:colOff>
      <xdr:row>101</xdr:row>
      <xdr:rowOff>173972</xdr:rowOff>
    </xdr:to>
    <xdr:sp macro="" textlink="">
      <xdr:nvSpPr>
        <xdr:cNvPr id="374" name="Plus Sign 373">
          <a:extLst>
            <a:ext uri="{FF2B5EF4-FFF2-40B4-BE49-F238E27FC236}">
              <a16:creationId xmlns:a16="http://schemas.microsoft.com/office/drawing/2014/main" id="{C84484D9-A829-4589-8B06-7978E8EC4943}"/>
            </a:ext>
          </a:extLst>
        </xdr:cNvPr>
        <xdr:cNvSpPr/>
      </xdr:nvSpPr>
      <xdr:spPr>
        <a:xfrm>
          <a:off x="11099065" y="20333355"/>
          <a:ext cx="360000" cy="358588"/>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1514475</xdr:colOff>
      <xdr:row>53</xdr:row>
      <xdr:rowOff>125335</xdr:rowOff>
    </xdr:from>
    <xdr:to>
      <xdr:col>5</xdr:col>
      <xdr:colOff>1352550</xdr:colOff>
      <xdr:row>57</xdr:row>
      <xdr:rowOff>82335</xdr:rowOff>
    </xdr:to>
    <xdr:sp macro="" textlink="">
      <xdr:nvSpPr>
        <xdr:cNvPr id="2" name="Rectangle 1">
          <a:extLst>
            <a:ext uri="{FF2B5EF4-FFF2-40B4-BE49-F238E27FC236}">
              <a16:creationId xmlns:a16="http://schemas.microsoft.com/office/drawing/2014/main" id="{9E9BBA76-FF47-4FF2-A105-4F5E58F9C0D3}"/>
            </a:ext>
          </a:extLst>
        </xdr:cNvPr>
        <xdr:cNvSpPr/>
      </xdr:nvSpPr>
      <xdr:spPr>
        <a:xfrm>
          <a:off x="7296150" y="10898110"/>
          <a:ext cx="1543050" cy="719000"/>
        </a:xfrm>
        <a:prstGeom prst="rect">
          <a:avLst/>
        </a:prstGeom>
        <a:solidFill>
          <a:srgbClr val="AFCDDB"/>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tx1"/>
              </a:solidFill>
              <a:latin typeface="+mj-lt"/>
              <a:ea typeface="+mn-ea"/>
              <a:cs typeface="Arial" panose="020B0604020202020204" pitchFamily="34" charset="0"/>
            </a:rPr>
            <a:t>Social Cost of Carbon </a:t>
          </a:r>
        </a:p>
        <a:p>
          <a:pPr marL="0" indent="0" algn="ctr"/>
          <a:r>
            <a:rPr lang="en-AU" sz="900" b="1">
              <a:solidFill>
                <a:schemeClr val="tx1"/>
              </a:solidFill>
              <a:latin typeface="+mj-lt"/>
              <a:ea typeface="+mn-ea"/>
              <a:cs typeface="Arial" panose="020B0604020202020204" pitchFamily="34" charset="0"/>
            </a:rPr>
            <a:t>($/kWh)</a:t>
          </a:r>
        </a:p>
      </xdr:txBody>
    </xdr:sp>
    <xdr:clientData/>
  </xdr:twoCellAnchor>
  <xdr:twoCellAnchor>
    <xdr:from>
      <xdr:col>4</xdr:col>
      <xdr:colOff>1220880</xdr:colOff>
      <xdr:row>54</xdr:row>
      <xdr:rowOff>112060</xdr:rowOff>
    </xdr:from>
    <xdr:to>
      <xdr:col>4</xdr:col>
      <xdr:colOff>1508880</xdr:colOff>
      <xdr:row>56</xdr:row>
      <xdr:rowOff>19060</xdr:rowOff>
    </xdr:to>
    <xdr:sp macro="" textlink="">
      <xdr:nvSpPr>
        <xdr:cNvPr id="3" name="Plus Sign 2">
          <a:extLst>
            <a:ext uri="{FF2B5EF4-FFF2-40B4-BE49-F238E27FC236}">
              <a16:creationId xmlns:a16="http://schemas.microsoft.com/office/drawing/2014/main" id="{128A5E92-D3C4-4693-8CE7-C53A7426D14A}"/>
            </a:ext>
          </a:extLst>
        </xdr:cNvPr>
        <xdr:cNvSpPr/>
      </xdr:nvSpPr>
      <xdr:spPr>
        <a:xfrm>
          <a:off x="7002555" y="11075335"/>
          <a:ext cx="288000" cy="288000"/>
        </a:xfrm>
        <a:prstGeom prst="mathPlus">
          <a:avLst>
            <a:gd name="adj1" fmla="val 13996"/>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200284</xdr:colOff>
      <xdr:row>61</xdr:row>
      <xdr:rowOff>114826</xdr:rowOff>
    </xdr:from>
    <xdr:to>
      <xdr:col>9</xdr:col>
      <xdr:colOff>1609725</xdr:colOff>
      <xdr:row>68</xdr:row>
      <xdr:rowOff>19050</xdr:rowOff>
    </xdr:to>
    <xdr:sp macro="" textlink="">
      <xdr:nvSpPr>
        <xdr:cNvPr id="10" name="Rectangle 9">
          <a:extLst>
            <a:ext uri="{FF2B5EF4-FFF2-40B4-BE49-F238E27FC236}">
              <a16:creationId xmlns:a16="http://schemas.microsoft.com/office/drawing/2014/main" id="{F51B580F-B78E-4A37-9A11-B1C1F71115A1}"/>
            </a:ext>
          </a:extLst>
        </xdr:cNvPr>
        <xdr:cNvSpPr/>
      </xdr:nvSpPr>
      <xdr:spPr>
        <a:xfrm>
          <a:off x="14506834" y="12421126"/>
          <a:ext cx="1409441" cy="1237724"/>
        </a:xfrm>
        <a:prstGeom prst="rect">
          <a:avLst/>
        </a:prstGeom>
        <a:solidFill>
          <a:srgbClr val="236192"/>
        </a:solidFill>
        <a:ln w="9525" cmpd="sng">
          <a:solidFill>
            <a:sysClr val="windowText" lastClr="000000"/>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AU" sz="900" b="1">
              <a:solidFill>
                <a:schemeClr val="bg1"/>
              </a:solidFill>
              <a:latin typeface="+mj-lt"/>
              <a:ea typeface="+mn-ea"/>
              <a:cs typeface="Arial" panose="020B0604020202020204" pitchFamily="34" charset="0"/>
            </a:rPr>
            <a:t>No of days in</a:t>
          </a:r>
          <a:r>
            <a:rPr lang="en-AU" sz="900" b="1" baseline="0">
              <a:solidFill>
                <a:schemeClr val="bg1"/>
              </a:solidFill>
              <a:latin typeface="+mj-lt"/>
              <a:ea typeface="+mn-ea"/>
              <a:cs typeface="Arial" panose="020B0604020202020204" pitchFamily="34" charset="0"/>
            </a:rPr>
            <a:t> decision period</a:t>
          </a:r>
          <a:endParaRPr lang="en-AU" sz="900" b="1">
            <a:solidFill>
              <a:schemeClr val="bg1"/>
            </a:solidFill>
            <a:latin typeface="+mj-lt"/>
            <a:ea typeface="+mn-ea"/>
            <a:cs typeface="Arial" panose="020B0604020202020204" pitchFamily="34" charset="0"/>
          </a:endParaRPr>
        </a:p>
      </xdr:txBody>
    </xdr:sp>
    <xdr:clientData/>
  </xdr:twoCellAnchor>
  <xdr:twoCellAnchor>
    <xdr:from>
      <xdr:col>8</xdr:col>
      <xdr:colOff>1585071</xdr:colOff>
      <xdr:row>63</xdr:row>
      <xdr:rowOff>56026</xdr:rowOff>
    </xdr:from>
    <xdr:to>
      <xdr:col>9</xdr:col>
      <xdr:colOff>184336</xdr:colOff>
      <xdr:row>66</xdr:row>
      <xdr:rowOff>44819</xdr:rowOff>
    </xdr:to>
    <xdr:sp macro="" textlink="">
      <xdr:nvSpPr>
        <xdr:cNvPr id="11" name="Division Sign 10">
          <a:extLst>
            <a:ext uri="{FF2B5EF4-FFF2-40B4-BE49-F238E27FC236}">
              <a16:creationId xmlns:a16="http://schemas.microsoft.com/office/drawing/2014/main" id="{4E9F7F86-344F-44B8-A400-D040C4F42E99}"/>
            </a:ext>
          </a:extLst>
        </xdr:cNvPr>
        <xdr:cNvSpPr/>
      </xdr:nvSpPr>
      <xdr:spPr>
        <a:xfrm>
          <a:off x="14186646" y="12743326"/>
          <a:ext cx="304240" cy="560293"/>
        </a:xfrm>
        <a:prstGeom prst="mathDivide">
          <a:avLst>
            <a:gd name="adj1" fmla="val 5502"/>
            <a:gd name="adj2" fmla="val 7682"/>
            <a:gd name="adj3" fmla="val 5826"/>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1162050</xdr:colOff>
      <xdr:row>34</xdr:row>
      <xdr:rowOff>152400</xdr:rowOff>
    </xdr:from>
    <xdr:to>
      <xdr:col>4</xdr:col>
      <xdr:colOff>579339</xdr:colOff>
      <xdr:row>36</xdr:row>
      <xdr:rowOff>161362</xdr:rowOff>
    </xdr:to>
    <xdr:sp macro="" textlink="">
      <xdr:nvSpPr>
        <xdr:cNvPr id="17" name="TextBox 116">
          <a:extLst>
            <a:ext uri="{FF2B5EF4-FFF2-40B4-BE49-F238E27FC236}">
              <a16:creationId xmlns:a16="http://schemas.microsoft.com/office/drawing/2014/main" id="{E1941C63-6CA0-478E-A70B-0DA73EA860A5}"/>
            </a:ext>
          </a:extLst>
        </xdr:cNvPr>
        <xdr:cNvSpPr txBox="1"/>
      </xdr:nvSpPr>
      <xdr:spPr>
        <a:xfrm>
          <a:off x="5238750" y="7277100"/>
          <a:ext cx="1122264" cy="389962"/>
        </a:xfrm>
        <a:prstGeom prst="rect">
          <a:avLst/>
        </a:prstGeom>
        <a:solidFill>
          <a:srgbClr val="ED8B00"/>
        </a:solidFill>
        <a:ln w="9525" cmpd="sng">
          <a:solidFill>
            <a:sysClr val="windowText" lastClr="000000"/>
          </a:solid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50" b="1" i="0" u="none" strike="noStrike" kern="0" cap="none" spc="0" normalizeH="0" baseline="0" noProof="0">
              <a:ln>
                <a:noFill/>
              </a:ln>
              <a:solidFill>
                <a:sysClr val="windowText" lastClr="000000"/>
              </a:solidFill>
              <a:effectLst/>
              <a:uLnTx/>
              <a:uFillTx/>
              <a:latin typeface="Arial" panose="020B0604020202020204"/>
              <a:ea typeface="+mn-ea"/>
              <a:cs typeface="Arial" panose="020B0604020202020204" pitchFamily="34" charset="0"/>
            </a:rPr>
            <a:t>Charts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123A56CC-33A1-40A0-8702-223FA79C98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672353</xdr:colOff>
      <xdr:row>7</xdr:row>
      <xdr:rowOff>22412</xdr:rowOff>
    </xdr:from>
    <xdr:to>
      <xdr:col>10</xdr:col>
      <xdr:colOff>1288676</xdr:colOff>
      <xdr:row>8</xdr:row>
      <xdr:rowOff>33617</xdr:rowOff>
    </xdr:to>
    <xdr:sp macro="" textlink="">
      <xdr:nvSpPr>
        <xdr:cNvPr id="3" name="TextBox 2">
          <a:hlinkClick xmlns:r="http://schemas.openxmlformats.org/officeDocument/2006/relationships" r:id="rId2"/>
          <a:extLst>
            <a:ext uri="{FF2B5EF4-FFF2-40B4-BE49-F238E27FC236}">
              <a16:creationId xmlns:a16="http://schemas.microsoft.com/office/drawing/2014/main" id="{10D6A805-BB80-5964-C734-FEFEABEEF90D}"/>
            </a:ext>
          </a:extLst>
        </xdr:cNvPr>
        <xdr:cNvSpPr txBox="1"/>
      </xdr:nvSpPr>
      <xdr:spPr>
        <a:xfrm>
          <a:off x="15004677" y="2005853"/>
          <a:ext cx="616323" cy="212911"/>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8F8FD5B0-B6E5-4671-B2CB-633CA45B8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963705</xdr:colOff>
      <xdr:row>6</xdr:row>
      <xdr:rowOff>2988</xdr:rowOff>
    </xdr:from>
    <xdr:to>
      <xdr:col>9</xdr:col>
      <xdr:colOff>239058</xdr:colOff>
      <xdr:row>30</xdr:row>
      <xdr:rowOff>141942</xdr:rowOff>
    </xdr:to>
    <xdr:graphicFrame macro="">
      <xdr:nvGraphicFramePr>
        <xdr:cNvPr id="2" name="Chart 2">
          <a:extLst>
            <a:ext uri="{FF2B5EF4-FFF2-40B4-BE49-F238E27FC236}">
              <a16:creationId xmlns:a16="http://schemas.microsoft.com/office/drawing/2014/main" id="{9B19ED8B-8ED7-4EAB-B02E-C1E7CC263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AC8A96D-5314-4AAF-BE7C-9A6F933F5E1C}" autoFormatId="16" applyNumberFormats="0" applyBorderFormats="0" applyFontFormats="0" applyPatternFormats="0" applyAlignmentFormats="0" applyWidthHeightFormats="0">
  <queryTableRefresh nextId="3">
    <queryTableFields count="2">
      <queryTableField id="1" name="VDO decision" tableColumnId="1"/>
      <queryTableField id="2" name="Index" tableColumnId="2"/>
    </queryTableFields>
  </queryTableRefresh>
</queryTable>
</file>

<file path=xl/tables/_rels/table30.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A99DC0A2-AC8F-4B3C-9546-BB458AD3C7A6}" name="OP_Rates_RES_1" displayName="OP_Rates_RES_1" ref="C19:K27" totalsRowShown="0" headerRowDxfId="862" headerRowBorderDxfId="861" tableBorderDxfId="860" headerRowCellStyle="Table col heading" dataCellStyle="Internal link/lookup">
  <tableColumns count="9">
    <tableColumn id="1" xr3:uid="{E78C1163-A3DD-48CF-86C4-4713E427B63D}" name="Rate name" dataCellStyle="Table cell"/>
    <tableColumn id="3" xr3:uid="{31ACDE4B-AAB5-4640-BE08-6E125BC844E4}" name="Unit" dataCellStyle="Table cell"/>
    <tableColumn id="4" xr3:uid="{B95AFB37-8599-48CB-B375-2E0E5F80DCD9}" name="Customer type" dataCellStyle="Table cell"/>
    <tableColumn id="2" xr3:uid="{F2682DF7-9005-4C15-A85A-9FA6E5E76CD8}" name="-" dataCellStyle="Table cell"/>
    <tableColumn id="5" xr3:uid="{9CB4A5E8-F8B3-45A6-9942-EC4FC685C94A}" name="Ausnet" dataDxfId="859" dataCellStyle="Internal link/lookup">
      <calculatedColumnFormula>IF(SUMIFS(Calc_Rates!G$64:G$140,Calc_Rates!$C$64:$C$140,OP_Rates!$C20,Calc_Rates!$F$64:$F$140,OP_Rates!$E20)=0,"-",SUMIFS(Calc_Rates!G$64:G$140,Calc_Rates!$C$64:$C$140,OP_Rates!$C20,Calc_Rates!$F$64:$F$140,OP_Rates!$E20))</calculatedColumnFormula>
    </tableColumn>
    <tableColumn id="6" xr3:uid="{669EA234-B896-4973-A45B-9E0DF7CF06BA}" name="Citipower" dataDxfId="858" dataCellStyle="Internal link/lookup">
      <calculatedColumnFormula>IF(SUMIFS(Calc_Rates!H$64:H$140,Calc_Rates!$C$64:$C$140,OP_Rates!$C20,Calc_Rates!$F$64:$F$140,OP_Rates!$E20)=0,"-",SUMIFS(Calc_Rates!H$64:H$140,Calc_Rates!$C$64:$C$140,OP_Rates!$C20,Calc_Rates!$F$64:$F$140,OP_Rates!$E20))</calculatedColumnFormula>
    </tableColumn>
    <tableColumn id="7" xr3:uid="{B77A7A81-62E1-4C8C-AE91-1162A78C6068}" name="Jemena" dataDxfId="857" dataCellStyle="Internal link/lookup">
      <calculatedColumnFormula>IF(SUMIFS(Calc_Rates!I$64:I$140,Calc_Rates!$C$64:$C$140,OP_Rates!$C20,Calc_Rates!$F$64:$F$140,OP_Rates!$E20)=0,"-",SUMIFS(Calc_Rates!I$64:I$140,Calc_Rates!$C$64:$C$140,OP_Rates!$C20,Calc_Rates!$F$64:$F$140,OP_Rates!$E20))</calculatedColumnFormula>
    </tableColumn>
    <tableColumn id="8" xr3:uid="{A1C2027B-3C88-4875-88CB-ACD29E96093E}" name="Powercor" dataDxfId="856" dataCellStyle="Internal link/lookup">
      <calculatedColumnFormula>IF(SUMIFS(Calc_Rates!J$64:J$140,Calc_Rates!$C$64:$C$140,OP_Rates!$C20,Calc_Rates!$F$64:$F$140,OP_Rates!$E20)=0,"-",SUMIFS(Calc_Rates!J$64:J$140,Calc_Rates!$C$64:$C$140,OP_Rates!$C20,Calc_Rates!$F$64:$F$140,OP_Rates!$E20))</calculatedColumnFormula>
    </tableColumn>
    <tableColumn id="9" xr3:uid="{FD9385BF-8187-449D-8F2C-5C88233245B6}" name="United Energy" dataDxfId="855" dataCellStyle="Internal link/lookup">
      <calculatedColumnFormula>IF(SUMIFS(Calc_Rates!K$64:K$140,Calc_Rates!$C$64:$C$140,OP_Rates!$C20,Calc_Rates!$F$64:$F$140,OP_Rates!$E20)=0,"-",SUMIFS(Calc_Rates!K$64:K$140,Calc_Rates!$C$64:$C$140,OP_Rates!$C20,Calc_Rates!$F$64:$F$140,OP_Rates!$E20))</calculatedColumnFormula>
    </tableColumn>
  </tableColumns>
  <tableStyleInfo name="Default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F4CE869-0C56-420A-9C47-EF4446BA5787}" name="OP_Rates_SME_1" displayName="OP_Rates_SME_1" ref="M19:U27" totalsRowShown="0" headerRowDxfId="854" headerRowBorderDxfId="853" tableBorderDxfId="852" headerRowCellStyle="Table col heading" dataCellStyle="Internal link/lookup">
  <tableColumns count="9">
    <tableColumn id="1" xr3:uid="{D27CB02D-C880-42BA-8A91-6A1E16B41704}" name="Rate name" dataCellStyle="Table cell"/>
    <tableColumn id="3" xr3:uid="{8D3D4CDE-7941-453F-A7D2-1DCF4C88CBE2}" name="Unit" dataCellStyle="Table cell"/>
    <tableColumn id="4" xr3:uid="{6B4BCB35-90DC-4E06-A680-4545F6EFC0EF}" name="Customer type" dataCellStyle="Table cell"/>
    <tableColumn id="2" xr3:uid="{E9424C30-CDA0-432E-B849-6901BA45511B}" name="-" dataCellStyle="Table cell"/>
    <tableColumn id="5" xr3:uid="{F1DF3EB2-65A6-4DE4-95FA-10252DB899BE}" name="Ausnet" dataDxfId="851" dataCellStyle="Internal link/lookup"/>
    <tableColumn id="6" xr3:uid="{D03672B6-E990-42AC-A5B0-852970523C84}" name="Citipower" dataDxfId="850" dataCellStyle="Internal link/lookup"/>
    <tableColumn id="7" xr3:uid="{0963EA57-64B0-42D0-8E54-91364C6BB07D}" name="Jemena" dataDxfId="849" dataCellStyle="Internal link/lookup"/>
    <tableColumn id="8" xr3:uid="{FA086775-EDB3-437E-98E2-743CF43E2CD6}" name="Powercor" dataDxfId="848" dataCellStyle="Internal link/lookup"/>
    <tableColumn id="9" xr3:uid="{BD89ACA8-91CC-445D-A6A8-D18D25F8F791}" name="United Energy" dataDxfId="847" dataCellStyle="Internal link/lookup"/>
  </tableColumns>
  <tableStyleInfo name="Default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62F88B8-AD2B-48D5-B9A0-A6F8233392FC}" name="OP_Rates_RES_2" displayName="OP_Rates_RES_2" ref="C92:K100" totalsRowShown="0" headerRowDxfId="846" headerRowBorderDxfId="845" tableBorderDxfId="844" headerRowCellStyle="Table col heading" dataCellStyle="Internal link/lookup">
  <tableColumns count="9">
    <tableColumn id="1" xr3:uid="{E12D8BB7-7DC5-4C01-A1DF-2C5092D6D281}" name="Rate name" dataCellStyle="Table cell"/>
    <tableColumn id="3" xr3:uid="{9B50B068-A20B-4598-8290-BF3F0B0D57EC}" name="Unit" dataCellStyle="Table cell"/>
    <tableColumn id="4" xr3:uid="{A745D100-FCD8-4948-BAE1-379CE68563D2}" name="Customer type" dataCellStyle="Table cell"/>
    <tableColumn id="2" xr3:uid="{036C2A5D-6065-4DF0-AAB3-E8921DA08FC2}" name="-" dataCellStyle="Table cell"/>
    <tableColumn id="5" xr3:uid="{A01E3015-10DD-4402-9C8C-004F533C0307}" name="Ausnet" dataDxfId="843" dataCellStyle="Internal link/lookup">
      <calculatedColumnFormula>IF(SUMIFS(Calc_Rates!G$64:G$140,Calc_Rates!$C$64:$C$140,OP_Rates!$C93,Calc_Rates!$F$64:$F$140,OP_Rates!$E93)=0,"-",SUMIFS(Calc_Rates!G$64:G$140,Calc_Rates!$C$64:$C$140,OP_Rates!$C93,Calc_Rates!$F$64:$F$140,OP_Rates!$E93))</calculatedColumnFormula>
    </tableColumn>
    <tableColumn id="6" xr3:uid="{DCD1340B-8D59-43A1-99C0-DAB67D15E969}" name="Citipower" dataDxfId="842" dataCellStyle="Internal link/lookup"/>
    <tableColumn id="7" xr3:uid="{B04CCA25-39DB-491F-BEA7-EFA7273E728A}" name="Jemena" dataDxfId="841" dataCellStyle="Internal link/lookup"/>
    <tableColumn id="8" xr3:uid="{C71DCC1C-CCB0-40E6-96E6-F5CDADD8B122}" name="Powercor" dataDxfId="840" dataCellStyle="Internal link/lookup"/>
    <tableColumn id="9" xr3:uid="{0B2E8CE8-F4F9-4846-83C4-FD2DFABC3C97}" name="United Energy" dataDxfId="839" dataCellStyle="Internal link/lookup"/>
  </tableColumns>
  <tableStyleInfo name="Default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91148602-7459-4803-87B6-C831DEC44EC0}" name="OP_Rates_SME_2" displayName="OP_Rates_SME_2" ref="M92:U100" totalsRowShown="0" headerRowDxfId="838" headerRowBorderDxfId="837" tableBorderDxfId="836" headerRowCellStyle="Table col heading" dataCellStyle="Internal link/lookup">
  <tableColumns count="9">
    <tableColumn id="1" xr3:uid="{97447A12-70C5-49D9-A9E5-AEA25F884FA1}" name="Rate name" dataCellStyle="Table cell"/>
    <tableColumn id="3" xr3:uid="{2E2D66FB-47ED-43DF-A9CB-A2A955515374}" name="Unit" dataCellStyle="Table cell"/>
    <tableColumn id="4" xr3:uid="{3F2FC573-2AD7-4D41-8610-CC1693F433D0}" name="Customer type" dataCellStyle="Table cell"/>
    <tableColumn id="2" xr3:uid="{0923915D-2DEA-4E2B-98A9-C7D61F13E764}" name="-" dataCellStyle="Table cell"/>
    <tableColumn id="5" xr3:uid="{E1BD715C-539D-44A0-B07A-26372BFE7814}" name="Ausnet" dataDxfId="835" dataCellStyle="Internal link/lookup"/>
    <tableColumn id="6" xr3:uid="{DD804863-CB84-4F97-A3F4-DA8AA3710A39}" name="Citipower" dataDxfId="834" dataCellStyle="Internal link/lookup"/>
    <tableColumn id="7" xr3:uid="{C21B25A8-D01D-48E4-9F05-9CE92DF68805}" name="Jemena" dataDxfId="833" dataCellStyle="Internal link/lookup"/>
    <tableColumn id="8" xr3:uid="{29D436D3-A10E-420D-BA0A-B4F3748975DA}" name="Powercor" dataDxfId="832" dataCellStyle="Internal link/lookup"/>
    <tableColumn id="9" xr3:uid="{1952C4E9-7E24-444C-A20B-0F52828AE40D}" name="United Energy" dataDxfId="831" dataCellStyle="Internal link/lookup"/>
  </tableColumns>
  <tableStyleInfo name="Default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DAC482D-F423-4BB1-8E59-F00A38D3CBB1}" name="OP_RatesTU_RES_2" displayName="OP_RatesTU_RES_2" ref="C103:K112" totalsRowShown="0" headerRowDxfId="830" headerRowBorderDxfId="829" tableBorderDxfId="828" headerRowCellStyle="Table col heading" dataCellStyle="Internal link/lookup">
  <tableColumns count="9">
    <tableColumn id="1" xr3:uid="{E6DACF48-AAD3-4B44-8D3A-458714AA3224}" name="Rate name" dataDxfId="827" dataCellStyle="Table cell"/>
    <tableColumn id="2" xr3:uid="{811FF1AC-CED0-4823-AEE8-4CD78F706245}" name="Unit" dataDxfId="826" dataCellStyle="Table cell"/>
    <tableColumn id="3" xr3:uid="{BC4BC08A-6590-4549-AE2B-11F5B4196FEC}" name="Customer type" dataDxfId="825" dataCellStyle="Table cell"/>
    <tableColumn id="4" xr3:uid="{F70B0783-4C97-416B-A3FA-83DEEC36DD93}" name="Cost element" dataDxfId="824" dataCellStyle="Table cell"/>
    <tableColumn id="5" xr3:uid="{D6B56A29-DEAB-4BAF-9917-AEABCE4AAD1E}" name="Ausnet" dataDxfId="823"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calculatedColumnFormula>
    </tableColumn>
    <tableColumn id="6" xr3:uid="{EA6FD84F-66D4-4F51-A153-F8802F930F0F}" name="Citipower" dataDxfId="822"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calculatedColumnFormula>
    </tableColumn>
    <tableColumn id="7" xr3:uid="{2E9A544A-3531-4E17-9996-F185A676A58E}" name="Jemena" dataDxfId="821"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calculatedColumnFormula>
    </tableColumn>
    <tableColumn id="8" xr3:uid="{B159A814-6932-40BB-8657-EE60FC7A8539}" name="Powercor" dataDxfId="820"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calculatedColumnFormula>
    </tableColumn>
    <tableColumn id="9" xr3:uid="{E5EFB52A-128C-463D-BA62-7C010A23850E}" name="United Energy" dataDxfId="819" dataCellStyle="Internal link/lookup">
      <calculatedColumnFormula array="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calculatedColumnFormula>
    </tableColumn>
  </tableColumns>
  <tableStyleInfo name="Default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743AF80E-DA00-49A0-A159-7CB4D1510410}" name="OP_RatesTU_SME_2" displayName="OP_RatesTU_SME_2" ref="M103:U112" totalsRowShown="0" headerRowDxfId="818" headerRowBorderDxfId="817" tableBorderDxfId="816" headerRowCellStyle="Table col heading" dataCellStyle="Internal link/lookup">
  <tableColumns count="9">
    <tableColumn id="1" xr3:uid="{D68FF8AE-5781-4255-BEA3-9E4E2B088DC9}" name="Rate name" dataDxfId="815" dataCellStyle="Table cell"/>
    <tableColumn id="2" xr3:uid="{050CECEC-B13D-445D-BECE-B28F63E59C08}" name="Unit" dataDxfId="814" dataCellStyle="Table cell"/>
    <tableColumn id="3" xr3:uid="{A450D655-A125-49C9-9A0F-3AA46242B60C}" name="Customer type" dataDxfId="813" dataCellStyle="Table cell"/>
    <tableColumn id="4" xr3:uid="{77C75CCA-D769-45F7-ACE7-23CCDD8A0810}" name="Cost element" dataDxfId="812" dataCellStyle="Table cell"/>
    <tableColumn id="5" xr3:uid="{F2725072-29B9-4CB3-887D-563B8DD59831}" name="Ausnet" dataDxfId="811"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calculatedColumnFormula>
    </tableColumn>
    <tableColumn id="6" xr3:uid="{E4A449F9-EA18-418F-BC67-AE1FCC5E9F1C}" name="Citipower" dataDxfId="810"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calculatedColumnFormula>
    </tableColumn>
    <tableColumn id="7" xr3:uid="{B402EAD2-D706-473C-BDA1-7A0E47075E01}" name="Jemena" dataDxfId="809"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calculatedColumnFormula>
    </tableColumn>
    <tableColumn id="8" xr3:uid="{97A3C1DD-56FB-4F27-AEE3-30EA5D428A98}" name="Powercor" dataDxfId="808"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calculatedColumnFormula>
    </tableColumn>
    <tableColumn id="9" xr3:uid="{561B1A63-A796-4486-9F20-06B3F749C9E3}" name="United Energy" dataDxfId="807" dataCellStyle="Internal link/lookup">
      <calculatedColumnFormula array="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calculatedColumnFormula>
    </tableColumn>
  </tableColumns>
  <tableStyleInfo name="Default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259EE597-E6A4-44E4-944B-CDA626B5424B}" name="OP_TotalRates_RES_2" displayName="OP_TotalRates_RES_2" ref="C81:K89" totalsRowShown="0" headerRowDxfId="806" headerRowBorderDxfId="805" tableBorderDxfId="804" headerRowCellStyle="Table col heading">
  <tableColumns count="9">
    <tableColumn id="1" xr3:uid="{B296EB3D-E1CD-4637-9283-577B47AFA9A8}" name="Rate name" dataCellStyle="Table cell"/>
    <tableColumn id="2" xr3:uid="{EA2CEDA9-E825-4F7B-B818-53C4D2298ACA}" name="Unit" dataCellStyle="Table cell"/>
    <tableColumn id="3" xr3:uid="{36EFECE8-C52B-4F8C-92EF-2B882EAD862E}" name="Customer type" dataCellStyle="Table cell"/>
    <tableColumn id="4" xr3:uid="{4C89433C-DBD0-484D-A453-D4B50CC1EA25}" name="-" dataDxfId="803" dataCellStyle="Table cell"/>
    <tableColumn id="5" xr3:uid="{4ACF9A4B-7DA7-4470-89DC-4E06ABC5E77E}" name="Ausnet" dataDxfId="802" dataCellStyle="Table cell">
      <calculatedColumnFormula array="1">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calculatedColumnFormula>
    </tableColumn>
    <tableColumn id="6" xr3:uid="{6259725D-7D50-451A-B378-89B6848CEA53}" name="Citipower" dataDxfId="801" dataCellStyle="Table cell">
      <calculatedColumnFormula array="1">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calculatedColumnFormula>
    </tableColumn>
    <tableColumn id="7" xr3:uid="{3CB60922-6057-4639-94B8-707474840F4B}" name="Jemena" dataDxfId="800" dataCellStyle="Table cell">
      <calculatedColumnFormula array="1">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calculatedColumnFormula>
    </tableColumn>
    <tableColumn id="8" xr3:uid="{826D1692-DC0C-4317-A6F5-9D4E7153FBC1}" name="Powercor" dataDxfId="799" dataCellStyle="Table cell">
      <calculatedColumnFormula array="1">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calculatedColumnFormula>
    </tableColumn>
    <tableColumn id="9" xr3:uid="{B5E44275-79B2-41BC-8097-33A90558A19F}" name="United Energy" dataDxfId="798" dataCellStyle="Table cell">
      <calculatedColumnFormula array="1">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calculatedColumnFormula>
    </tableColumn>
  </tableColumns>
  <tableStyleInfo name="Default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504AC9F5-FD18-4D06-A7AC-1599A20A14AB}" name="OP_TotalRates_SME_2" displayName="OP_TotalRates_SME_2" ref="M81:U89" totalsRowShown="0" headerRowDxfId="797" headerRowBorderDxfId="796" tableBorderDxfId="795" totalsRowBorderDxfId="794" headerRowCellStyle="Table col heading" dataCellStyle="Table cell">
  <tableColumns count="9">
    <tableColumn id="1" xr3:uid="{DC5AEBFC-A846-492A-9A3D-3C7B70A489D9}" name="Rate name" dataCellStyle="Table cell"/>
    <tableColumn id="2" xr3:uid="{61A248F6-55CA-4DCE-9C91-D6A9AED0FDC4}" name="Unit" dataCellStyle="Table cell"/>
    <tableColumn id="3" xr3:uid="{CBD751F5-C15F-4B12-80C4-7B799928ED9C}" name="Customer type" dataCellStyle="Table cell"/>
    <tableColumn id="4" xr3:uid="{5030C31E-5AD7-4F56-A84F-C30DC69E7E84}" name="-" dataCellStyle="Table cell"/>
    <tableColumn id="5" xr3:uid="{CB1F387B-FA11-477B-9107-645E6D46001E}" name="Ausnet" dataDxfId="793" dataCellStyle="Table cell">
      <calculatedColumnFormula array="1">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calculatedColumnFormula>
    </tableColumn>
    <tableColumn id="6" xr3:uid="{18B5BA61-65BA-4620-AB6C-9F9986211959}" name="Citipower" dataDxfId="792" dataCellStyle="Table cell">
      <calculatedColumnFormula array="1">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calculatedColumnFormula>
    </tableColumn>
    <tableColumn id="7" xr3:uid="{659B9969-5A85-4180-AA25-716A2E7F41B2}" name="Jemena" dataDxfId="791" dataCellStyle="Table cell">
      <calculatedColumnFormula array="1">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calculatedColumnFormula>
    </tableColumn>
    <tableColumn id="8" xr3:uid="{17A869EE-93CC-4116-83C5-BA1B6DD4154B}" name="Powercor" dataDxfId="790" dataCellStyle="Table cell">
      <calculatedColumnFormula array="1">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calculatedColumnFormula>
    </tableColumn>
    <tableColumn id="9" xr3:uid="{763A5092-A841-48AE-A61A-D58EAB0E4FA5}" name="United Energy" dataDxfId="789" dataCellStyle="Table cell">
      <calculatedColumnFormula array="1">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calculatedColumnFormula>
    </tableColumn>
  </tableColumns>
  <tableStyleInfo name="Default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C68F836F-BFAF-4D94-8E10-FB158016F93D}" name="OP_TotalRates_RES_1" displayName="OP_TotalRates_RES_1" ref="C8:K16" totalsRowShown="0" headerRowDxfId="788" headerRowBorderDxfId="787" tableBorderDxfId="786" headerRowCellStyle="Table col heading">
  <tableColumns count="9">
    <tableColumn id="1" xr3:uid="{EFBA7F8E-5702-4B5F-A24C-D58F32BECFFD}" name="Rate name" dataCellStyle="Table cell"/>
    <tableColumn id="2" xr3:uid="{24CBE57F-78AE-413E-88DE-E3AFD3FAC564}" name="Unit" dataCellStyle="Table cell"/>
    <tableColumn id="3" xr3:uid="{CC5F9EDC-12A7-4A47-87A8-B10E13AC49C0}" name="Customer type" dataCellStyle="Table cell"/>
    <tableColumn id="4" xr3:uid="{6028E8A5-6981-468F-8C25-5C3250F89BE4}" name="-" dataDxfId="785" dataCellStyle="Table cell"/>
    <tableColumn id="5" xr3:uid="{19AB9587-A48D-452C-A107-3AD3AECADD01}" name="Ausnet" dataDxfId="784" dataCellStyle="Table cell">
      <calculatedColumnFormula array="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6" xr3:uid="{5ADC659C-CDAF-412F-A469-5F305214C88F}" name="Citipower" dataDxfId="783" dataCellStyle="Table cell">
      <calculatedColumnFormula array="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7" xr3:uid="{A8D8F831-A0DC-4582-9262-C3C3BBD0BC92}" name="Jemena" dataDxfId="782" dataCellStyle="Table cell">
      <calculatedColumnFormula array="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8" xr3:uid="{64D6C646-6150-4639-ABF2-AE215E5A4B51}" name="Powercor" dataDxfId="781" dataCellStyle="Table cell">
      <calculatedColumnFormula array="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 id="9" xr3:uid="{BC7F9AB5-3ED3-42A5-B1F1-C1AA07207FF4}" name="United Energy" dataDxfId="780" dataCellStyle="Table cell">
      <calculatedColumnFormula array="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calculatedColumnFormula>
    </tableColumn>
  </tableColumns>
  <tableStyleInfo name="Default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225A8613-B156-4E18-B29B-6F0EDD6D2F86}" name="OP_TotalRates_SME_1" displayName="OP_TotalRates_SME_1" ref="M8:U16" totalsRowShown="0" headerRowDxfId="779" headerRowBorderDxfId="778" tableBorderDxfId="777" totalsRowBorderDxfId="776" headerRowCellStyle="Table col heading" dataCellStyle="Table cell">
  <tableColumns count="9">
    <tableColumn id="1" xr3:uid="{C1A5C6F0-D41E-4832-A0D0-06DD1D76E1EE}" name="Rate name" dataCellStyle="Table cell"/>
    <tableColumn id="2" xr3:uid="{845C0D52-D2ED-4E94-BAD9-3BC221A1B4D6}" name="Unit" dataCellStyle="Table cell"/>
    <tableColumn id="3" xr3:uid="{F7EC689D-02E3-4F6F-B915-FB8FE642570C}" name="Customer type" dataCellStyle="Table cell"/>
    <tableColumn id="4" xr3:uid="{C4F34141-B33C-47EB-964B-78FFC9127264}" name="-" dataCellStyle="Table cell"/>
    <tableColumn id="5" xr3:uid="{759561F8-C1F4-4740-BBC1-CD3BBC1A4B6D}" name="Ausnet" dataDxfId="775" dataCellStyle="Table cell">
      <calculatedColumnFormula array="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6" xr3:uid="{8DB3D203-F696-471E-A81B-2603227D4C1C}" name="Citipower" dataDxfId="774" dataCellStyle="Table cell">
      <calculatedColumnFormula array="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7" xr3:uid="{12599797-6DB1-4752-A91D-D4F5623A9C9B}" name="Jemena" dataDxfId="773" dataCellStyle="Table cell">
      <calculatedColumnFormula array="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8" xr3:uid="{38D6C70A-AEA2-4EE5-BB10-DC85E9F4FBEF}" name="Powercor" dataDxfId="772" dataCellStyle="Table cell">
      <calculatedColumnFormula array="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 id="9" xr3:uid="{3266CD91-BF6F-45E4-999E-6CBA79B9C8E8}" name="United Energy" dataDxfId="771" dataCellStyle="Table cell">
      <calculatedColumnFormula array="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calculatedColumnFormula>
    </tableColumn>
  </tableColumns>
  <tableStyleInfo name="Default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FEB8D17F-5D68-4130-BFBB-1A43FBFC16A3}" name="OP_RatesTU_RES_1" displayName="OP_RatesTU_RES_1" ref="C30:K39" totalsRowShown="0" headerRowDxfId="770" headerRowBorderDxfId="769" tableBorderDxfId="768" headerRowCellStyle="Table col heading" dataCellStyle="Internal link/lookup">
  <tableColumns count="9">
    <tableColumn id="1" xr3:uid="{EDE28CA5-A06C-49F9-A068-256EFAE7F168}" name="Rate name" dataDxfId="767" dataCellStyle="Table cell"/>
    <tableColumn id="2" xr3:uid="{F8BA328E-C870-4835-A420-6C613706B330}" name="Unit" dataDxfId="766" dataCellStyle="Table cell"/>
    <tableColumn id="3" xr3:uid="{2848F034-ACD7-4EBD-8A6C-818F974EFF49}" name="Customer type" dataDxfId="765" dataCellStyle="Table cell"/>
    <tableColumn id="4" xr3:uid="{2962F910-A75B-405C-9C97-A0C617F4A661}" name="Cost element" dataCellStyle="Table cell"/>
    <tableColumn id="5" xr3:uid="{686EA705-D4CF-4833-A268-FE69EB04E7AF}" name="Ausnet" dataDxfId="764"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calculatedColumnFormula>
    </tableColumn>
    <tableColumn id="6" xr3:uid="{9B8ED77B-C08F-4D34-8E42-4A9655A90B4C}" name="Citipower" dataDxfId="763"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calculatedColumnFormula>
    </tableColumn>
    <tableColumn id="7" xr3:uid="{12E49AC4-261F-464A-AB58-F13487FE2360}" name="Jemena" dataDxfId="762"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calculatedColumnFormula>
    </tableColumn>
    <tableColumn id="8" xr3:uid="{5A3667C2-AFFE-442F-B9A7-EB8AEA384D28}" name="Powercor" dataDxfId="761"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calculatedColumnFormula>
    </tableColumn>
    <tableColumn id="9" xr3:uid="{B2228E7E-67E5-4ECB-BC40-E0E7E16BAD7E}" name="United Energy" dataDxfId="760" dataCellStyle="Internal link/lookup">
      <calculatedColumnFormula array="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calculatedColumnFormula>
    </tableColumn>
  </tableColumns>
  <tableStyleInfo name="Default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B81553BE-E008-47C5-AF75-1727F1702120}" name="OP_RatesTU_SME_1" displayName="OP_RatesTU_SME_1" ref="M30:U39" totalsRowShown="0" headerRowDxfId="759" headerRowBorderDxfId="758" tableBorderDxfId="757" headerRowCellStyle="Table col heading" dataCellStyle="Internal link/lookup">
  <tableColumns count="9">
    <tableColumn id="1" xr3:uid="{45406C57-34CB-4B65-8E2B-1D5152BD0A25}" name="Rate name" dataDxfId="756" dataCellStyle="Table cell"/>
    <tableColumn id="2" xr3:uid="{2FA43327-1E12-456B-A0E8-9000AD58FD7D}" name="Unit" dataDxfId="755" dataCellStyle="Table cell"/>
    <tableColumn id="3" xr3:uid="{4C2AA5BA-F3B5-45BE-85C2-C987C331A4BA}" name="Customer type" dataDxfId="754" dataCellStyle="Table cell"/>
    <tableColumn id="4" xr3:uid="{9DC50DAB-4D1C-4AC1-A5AF-E33DB96A5A0F}" name="Cost element" dataCellStyle="Table cell"/>
    <tableColumn id="5" xr3:uid="{A13D3C70-92AE-4F16-91DA-A2562019C4A7}" name="Ausnet" dataDxfId="753"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calculatedColumnFormula>
    </tableColumn>
    <tableColumn id="6" xr3:uid="{6C8D8A13-598E-4820-8EAC-0364F4D1FB1E}" name="Citipower" dataDxfId="752"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calculatedColumnFormula>
    </tableColumn>
    <tableColumn id="7" xr3:uid="{7DD7EBBA-DA06-49A8-AC07-9371903F86CD}" name="Jemena" dataDxfId="751"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calculatedColumnFormula>
    </tableColumn>
    <tableColumn id="8" xr3:uid="{F9EC145C-9D67-49B2-A213-5370F048104E}" name="Powercor" dataDxfId="750"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calculatedColumnFormula>
    </tableColumn>
    <tableColumn id="9" xr3:uid="{4EC1B886-E7FA-4600-BED1-B95F3DBB98F2}" name="United Energy" dataDxfId="749" dataCellStyle="Internal link/lookup">
      <calculatedColumnFormula array="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calculatedColumnFormula>
    </tableColumn>
  </tableColumns>
  <tableStyleInfo name="Default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981ECF00-A28C-4DAE-BCAD-B3F05BFD6430}" name="CMAB_RES_1" displayName="CMAB_RES_1" ref="C10:I13" totalsRowShown="0" headerRowDxfId="748" headerRowBorderDxfId="747" tableBorderDxfId="746" totalsRowBorderDxfId="745" headerRowCellStyle="Table col heading">
  <tableColumns count="7">
    <tableColumn id="1" xr3:uid="{84FEBB47-56AD-49B3-9311-BA71F8AEC495}" name="Customer type"/>
    <tableColumn id="2" xr3:uid="{AC9F98FB-8140-41C9-84B7-22980FC208CE}" name="Usage profile" dataDxfId="744"/>
    <tableColumn id="3" xr3:uid="{A389BDD1-8970-442A-9855-389673EB38C0}" name="Ausnet" dataDxfId="743" dataCellStyle="Table cell">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INDEX(Input_Usage[],MATCH($D11&amp;" - Block 1",Input_Usage[[Ref]:[Ref]],0),MATCH($D$7,Inputs!$C$147:$P$147,0))),0)+
IFERROR((INDEX(OP_TotalRates_RES_1[[Ausnet]:[United Energy]],MATCH("Balance",OP_TotalRates_RES_1[[Rate name]:[Rate name]],0),MATCH(E$10,OP_TotalRates_RES_1[[#Headers],[Ausnet]:[United Energy]],0))*
INDEX(Input_Usage[],MATCH($D11&amp;" - Balance",Input_Usage[[Ref]:[Ref]],0),MATCH($D$7,Inputs!$C$147:$P$147,0))),0)+
IFERROR((INDEX(OP_TotalRates_RES_1[[Ausnet]:[United Energy]],MATCH("Single rate",OP_TotalRates_RES_1[[Rate name]:[Rate name]],0),MATCH(E$10,OP_TotalRates_RES_1[[#Headers],[Ausnet]:[United Energy]],0))*
INDEX(Input_Usage[],MATCH($D11&amp;" - Annual",Input_Usage[[Ref]:[Ref]],0),MATCH($D$7,Inputs!$C$147:$P$147,0))),0)),0),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INDEX(Input_Usage[],MATCH($D11&amp;" - Peak",Input_Usage[[Ref]:[Ref]],0),MATCH($D$7,Inputs!$C$147:$P$147,0)))+
IFERROR((INDEX(OP_TotalRates_RES_1[[Ausnet]:[United Energy]],MATCH("TOU - Shoulder",OP_TotalRates_RES_1[[Rate name]:[Rate name]],0),MATCH(E$10,OP_TotalRates_RES_1[[#Headers],[Ausnet]:[United Energy]],0))*
INDEX(Input_Usage[],MATCH($D11&amp;" - Shoulder",Input_Usage[[Ref]:[Ref]],0),MATCH($D$7,Inputs!$C$147:$P$147,0))),0)+
(INDEX(OP_TotalRates_RES_1[[Ausnet]:[United Energy]],MATCH("Off peak",OP_TotalRates_RES_1[[Rate name]:[Rate name]],0),MATCH(E$10,OP_TotalRates_RES_1[[#Headers],[Ausnet]:[United Energy]],0))*
INDEX(Input_Usage[],MATCH($D11&amp;" - Off peak",Input_Usage[[Ref]:[Ref]],0),MATCH($D$7,Inputs!$C$147:$P$147,0))),0)),"-")</calculatedColumnFormula>
    </tableColumn>
    <tableColumn id="4" xr3:uid="{BA39D082-53B0-4996-8C75-52452724B87F}" name="Citipower" dataDxfId="742">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INDEX(Input_Usage[],MATCH($D11&amp;" - Block 1",Input_Usage[[Ref]:[Ref]],0),MATCH($D$7,Inputs!$C$147:$P$147,0))),0)+
IFERROR((INDEX(OP_TotalRates_RES_1[[Ausnet]:[United Energy]],MATCH("Balance",OP_TotalRates_RES_1[[Rate name]:[Rate name]],0),MATCH(F$10,OP_TotalRates_RES_1[[#Headers],[Ausnet]:[United Energy]],0))*
INDEX(Input_Usage[],MATCH($D11&amp;" - Balance",Input_Usage[[Ref]:[Ref]],0),MATCH($D$7,Inputs!$C$147:$P$147,0))),0)+
IFERROR((INDEX(OP_TotalRates_RES_1[[Ausnet]:[United Energy]],MATCH("Single rate",OP_TotalRates_RES_1[[Rate name]:[Rate name]],0),MATCH(F$10,OP_TotalRates_RES_1[[#Headers],[Ausnet]:[United Energy]],0))*
INDEX(Input_Usage[],MATCH($D11&amp;" - Annual",Input_Usage[[Ref]:[Ref]],0),MATCH($D$7,Inputs!$C$147:$P$147,0))),0)),0),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INDEX(Input_Usage[],MATCH($D11&amp;" - Peak",Input_Usage[[Ref]:[Ref]],0),MATCH($D$7,Inputs!$C$147:$P$147,0)))+
IFERROR((INDEX(OP_TotalRates_RES_1[[Ausnet]:[United Energy]],MATCH("TOU - Shoulder",OP_TotalRates_RES_1[[Rate name]:[Rate name]],0),MATCH(F$10,OP_TotalRates_RES_1[[#Headers],[Ausnet]:[United Energy]],0))*
INDEX(Input_Usage[],MATCH($D11&amp;" - Shoulder",Input_Usage[[Ref]:[Ref]],0),MATCH($D$7,Inputs!$C$147:$P$147,0))),0)+
(INDEX(OP_TotalRates_RES_1[[Ausnet]:[United Energy]],MATCH("Off peak",OP_TotalRates_RES_1[[Rate name]:[Rate name]],0),MATCH(F$10,OP_TotalRates_RES_1[[#Headers],[Ausnet]:[United Energy]],0))*
INDEX(Input_Usage[],MATCH($D11&amp;" - Off peak",Input_Usage[[Ref]:[Ref]],0),MATCH($D$7,Inputs!$C$147:$P$147,0))),0)),"-")</calculatedColumnFormula>
    </tableColumn>
    <tableColumn id="5" xr3:uid="{282AD3F8-3333-43B4-86C8-A1CA8ED95F00}" name="Jemena" dataDxfId="741">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INDEX(Input_Usage[],MATCH($D11&amp;" - Block 1",Input_Usage[[Ref]:[Ref]],0),MATCH($D$7,Inputs!$C$147:$P$147,0))),0)+
IFERROR((INDEX(OP_TotalRates_RES_1[[Ausnet]:[United Energy]],MATCH("Balance",OP_TotalRates_RES_1[[Rate name]:[Rate name]],0),MATCH(G$10,OP_TotalRates_RES_1[[#Headers],[Ausnet]:[United Energy]],0))*
INDEX(Input_Usage[],MATCH($D11&amp;" - Balance",Input_Usage[[Ref]:[Ref]],0),MATCH($D$7,Inputs!$C$147:$P$147,0))),0)+
IFERROR((INDEX(OP_TotalRates_RES_1[[Ausnet]:[United Energy]],MATCH("Single rate",OP_TotalRates_RES_1[[Rate name]:[Rate name]],0),MATCH(G$10,OP_TotalRates_RES_1[[#Headers],[Ausnet]:[United Energy]],0))*
INDEX(Input_Usage[],MATCH($D11&amp;" - Annual",Input_Usage[[Ref]:[Ref]],0),MATCH($D$7,Inputs!$C$147:$P$147,0))),0)),0),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INDEX(Input_Usage[],MATCH($D11&amp;" - Peak",Input_Usage[[Ref]:[Ref]],0),MATCH($D$7,Inputs!$C$147:$P$147,0)))+
IFERROR((INDEX(OP_TotalRates_RES_1[[Ausnet]:[United Energy]],MATCH("TOU - Shoulder",OP_TotalRates_RES_1[[Rate name]:[Rate name]],0),MATCH(G$10,OP_TotalRates_RES_1[[#Headers],[Ausnet]:[United Energy]],0))*
INDEX(Input_Usage[],MATCH($D11&amp;" - Shoulder",Input_Usage[[Ref]:[Ref]],0),MATCH($D$7,Inputs!$C$147:$P$147,0))),0)+
(INDEX(OP_TotalRates_RES_1[[Ausnet]:[United Energy]],MATCH("Off peak",OP_TotalRates_RES_1[[Rate name]:[Rate name]],0),MATCH(G$10,OP_TotalRates_RES_1[[#Headers],[Ausnet]:[United Energy]],0))*
INDEX(Input_Usage[],MATCH($D11&amp;" - Off peak",Input_Usage[[Ref]:[Ref]],0),MATCH($D$7,Inputs!$C$147:$P$147,0))),0)),"-")</calculatedColumnFormula>
    </tableColumn>
    <tableColumn id="6" xr3:uid="{8787BD47-D93F-4B34-86AA-1295F8CA6ECE}" name="Powercor" dataDxfId="740">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INDEX(Input_Usage[],MATCH($D11&amp;" - Block 1",Input_Usage[[Ref]:[Ref]],0),MATCH($D$7,Inputs!$C$147:$P$147,0))),0)+
IFERROR((INDEX(OP_TotalRates_RES_1[[Ausnet]:[United Energy]],MATCH("Balance",OP_TotalRates_RES_1[[Rate name]:[Rate name]],0),MATCH(H$10,OP_TotalRates_RES_1[[#Headers],[Ausnet]:[United Energy]],0))*
INDEX(Input_Usage[],MATCH($D11&amp;" - Balance",Input_Usage[[Ref]:[Ref]],0),MATCH($D$7,Inputs!$C$147:$P$147,0))),0)+
IFERROR((INDEX(OP_TotalRates_RES_1[[Ausnet]:[United Energy]],MATCH("Single rate",OP_TotalRates_RES_1[[Rate name]:[Rate name]],0),MATCH(H$10,OP_TotalRates_RES_1[[#Headers],[Ausnet]:[United Energy]],0))*
INDEX(Input_Usage[],MATCH($D11&amp;" - Annual",Input_Usage[[Ref]:[Ref]],0),MATCH($D$7,Inputs!$C$147:$P$147,0))),0)),0),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INDEX(Input_Usage[],MATCH($D11&amp;" - Peak",Input_Usage[[Ref]:[Ref]],0),MATCH($D$7,Inputs!$C$147:$P$147,0)))+
IFERROR((INDEX(OP_TotalRates_RES_1[[Ausnet]:[United Energy]],MATCH("TOU - Shoulder",OP_TotalRates_RES_1[[Rate name]:[Rate name]],0),MATCH(H$10,OP_TotalRates_RES_1[[#Headers],[Ausnet]:[United Energy]],0))*
INDEX(Input_Usage[],MATCH($D11&amp;" - Shoulder",Input_Usage[[Ref]:[Ref]],0),MATCH($D$7,Inputs!$C$147:$P$147,0))),0)+
(INDEX(OP_TotalRates_RES_1[[Ausnet]:[United Energy]],MATCH("Off peak",OP_TotalRates_RES_1[[Rate name]:[Rate name]],0),MATCH(H$10,OP_TotalRates_RES_1[[#Headers],[Ausnet]:[United Energy]],0))*
INDEX(Input_Usage[],MATCH($D11&amp;" - Off peak",Input_Usage[[Ref]:[Ref]],0),MATCH($D$7,Inputs!$C$147:$P$147,0))),0)),"-")</calculatedColumnFormula>
    </tableColumn>
    <tableColumn id="7" xr3:uid="{6DCB4D75-0C84-4A70-9F7B-3AA3F67D07AB}" name="United Energy" dataDxfId="739">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INDEX(Input_Usage[],MATCH($D11&amp;" - Block 1",Input_Usage[[Ref]:[Ref]],0),MATCH($D$7,Inputs!$C$147:$P$147,0))),0)+
IFERROR((INDEX(OP_TotalRates_RES_1[[Ausnet]:[United Energy]],MATCH("Balance",OP_TotalRates_RES_1[[Rate name]:[Rate name]],0),MATCH(I$10,OP_TotalRates_RES_1[[#Headers],[Ausnet]:[United Energy]],0))*
INDEX(Input_Usage[],MATCH($D11&amp;" - Balance",Input_Usage[[Ref]:[Ref]],0),MATCH($D$7,Inputs!$C$147:$P$147,0))),0)+
IFERROR((INDEX(OP_TotalRates_RES_1[[Ausnet]:[United Energy]],MATCH("Single rate",OP_TotalRates_RES_1[[Rate name]:[Rate name]],0),MATCH(I$10,OP_TotalRates_RES_1[[#Headers],[Ausnet]:[United Energy]],0))*
INDEX(Input_Usage[],MATCH($D11&amp;" - Annual",Input_Usage[[Ref]:[Ref]],0),MATCH($D$7,Inputs!$C$147:$P$147,0))),0)),0),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INDEX(Input_Usage[],MATCH($D11&amp;" - Peak",Input_Usage[[Ref]:[Ref]],0),MATCH($D$7,Inputs!$C$147:$P$147,0)))+
IFERROR((INDEX(OP_TotalRates_RES_1[[Ausnet]:[United Energy]],MATCH("TOU - Shoulder",OP_TotalRates_RES_1[[Rate name]:[Rate name]],0),MATCH(I$10,OP_TotalRates_RES_1[[#Headers],[Ausnet]:[United Energy]],0))*
INDEX(Input_Usage[],MATCH($D11&amp;" - Shoulder",Input_Usage[[Ref]:[Ref]],0),MATCH($D$7,Inputs!$C$147:$P$147,0))),0)+
(INDEX(OP_TotalRates_RES_1[[Ausnet]:[United Energy]],MATCH("Off peak",OP_TotalRates_RES_1[[Rate name]:[Rate name]],0),MATCH(I$10,OP_TotalRates_RES_1[[#Headers],[Ausnet]:[United Energy]],0))*
INDEX(Input_Usage[],MATCH($D11&amp;" - Off peak",Input_Usage[[Ref]:[Ref]],0),MATCH($D$7,Inputs!$C$147:$P$147,0))),0)),"-")</calculatedColumnFormula>
    </tableColumn>
  </tableColumns>
  <tableStyleInfo name="Default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8868BB8-B928-42FB-BADD-F5CE65D1A929}" name="CMAB_SME_1" displayName="CMAB_SME_1" ref="K10:Q13" totalsRowShown="0" headerRowDxfId="738" headerRowBorderDxfId="737" tableBorderDxfId="736" totalsRowBorderDxfId="735" headerRowCellStyle="Table col heading">
  <tableColumns count="7">
    <tableColumn id="1" xr3:uid="{CFE1BF38-F8D5-417C-B8B8-055440189F48}" name="Customer type"/>
    <tableColumn id="2" xr3:uid="{A1BFB354-68E7-422C-A85D-4EE75E8C112A}" name="Usage profile"/>
    <tableColumn id="3" xr3:uid="{5FC92D0D-723D-4278-A68D-731B046067B9}" name="Ausnet" dataDxfId="734" dataCellStyle="Table cell">
      <calculatedColumnFormula>IFERROR(
IF($D$7="VDO 2021 - Final",
ROUNDUP(
(INDEX(OP_TotalRates_RES_1[[Ausnet]:[United Energy]],MATCH("Anytime - supply",OP_TotalRates_RES_1[[Rate name]:[Rate name]],0),MATCH(M$10,OP_TotalRates_RES_1[[#Headers],[Ausnet]:[United Energy]],0))*DiY)+
(IFERROR((INDEX(OP_TotalRates_RES_1[[Ausnet]:[United Energy]],MATCH("Block 1",OP_TotalRates_RES_1[[Rate name]:[Rate name]],0),MATCH(M$10,OP_TotalRates_RES_1[[#Headers],[Ausnet]:[United Energy]],0))*
INDEX(Input_Usage[],MATCH($D11&amp;" - Block 1",Input_Usage[[Ref]:[Ref]],0),MATCH($D$7,Inputs!$C$147:$P$147,0))),0)+
IFERROR((INDEX(OP_TotalRates_RES_1[[Ausnet]:[United Energy]],MATCH("Balance",OP_TotalRates_RES_1[[Rate name]:[Rate name]],0),MATCH(M$10,OP_TotalRates_RES_1[[#Headers],[Ausnet]:[United Energy]],0))*
INDEX(Input_Usage[],MATCH($D11&amp;" - Balance",Input_Usage[[Ref]:[Ref]],0),MATCH($D$7,Inputs!$C$147:$P$147,0))),0)+
IFERROR((INDEX(OP_TotalRates_RES_1[[Ausnet]:[United Energy]],MATCH("Single rate",OP_TotalRates_RES_1[[Rate name]:[Rate name]],0),MATCH(M$10,OP_TotalRates_RES_1[[#Headers],[Ausnet]:[United Energy]],0))*
INDEX(Input_Usage[],MATCH($D11&amp;" - Annual",Input_Usage[[Ref]:[Ref]],0),MATCH($D$7,Inputs!$C$147:$P$147,0))),0)),0),
ROUNDUP(
(INDEX(OP_TotalRates_RES_1[[Ausnet]:[United Energy]],MATCH("TOU - supply",OP_TotalRates_RES_1[[Rate name]:[Rate name]],0),MATCH(M$10,OP_TotalRates_RES_1[[#Headers],[Ausnet]:[United Energy]],0))*DiY)+
(INDEX(OP_TotalRates_RES_1[[Ausnet]:[United Energy]],MATCH("Peak",OP_TotalRates_RES_1[[Rate name]:[Rate name]],0),MATCH(M$10,OP_TotalRates_RES_1[[#Headers],[Ausnet]:[United Energy]],0))*
INDEX(Input_Usage[],MATCH($D11&amp;" - Peak",Input_Usage[[Ref]:[Ref]],0),MATCH($D$7,Inputs!$C$147:$P$147,0)))+
IFERROR((INDEX(OP_TotalRates_RES_1[[Ausnet]:[United Energy]],MATCH("TOU - Shoulder",OP_TotalRates_RES_1[[Rate name]:[Rate name]],0),MATCH(M$10,OP_TotalRates_RES_1[[#Headers],[Ausnet]:[United Energy]],0))*
INDEX(Input_Usage[],MATCH($D11&amp;" - Shoulder",Input_Usage[[Ref]:[Ref]],0),MATCH($D$7,Inputs!$C$147:$P$147,0))),0)+
(INDEX(OP_TotalRates_RES_1[[Ausnet]:[United Energy]],MATCH("Off peak",OP_TotalRates_RES_1[[Rate name]:[Rate name]],0),MATCH(M$10,OP_TotalRates_RES_1[[#Headers],[Ausnet]:[United Energy]],0))*
INDEX(Input_Usage[],MATCH($D11&amp;" - Off peak",Input_Usage[[Ref]:[Ref]],0),MATCH($D$7,Inputs!$C$147:$P$147,0))),0)),"-")</calculatedColumnFormula>
    </tableColumn>
    <tableColumn id="4" xr3:uid="{A854BB72-10CE-41A2-BD33-3B9D4B05B42C}" name="Citipower" dataDxfId="733" dataCellStyle="Table cell">
      <calculatedColumnFormula>IFERROR(
IF($D$7="VDO 2021 - Final",
ROUNDUP(
(INDEX(OP_TotalRates_RES_1[[Ausnet]:[United Energy]],MATCH("Anytime - supply",OP_TotalRates_RES_1[[Rate name]:[Rate name]],0),MATCH(N$10,OP_TotalRates_RES_1[[#Headers],[Ausnet]:[United Energy]],0))*DiY)+
(IFERROR((INDEX(OP_TotalRates_RES_1[[Ausnet]:[United Energy]],MATCH("Block 1",OP_TotalRates_RES_1[[Rate name]:[Rate name]],0),MATCH(N$10,OP_TotalRates_RES_1[[#Headers],[Ausnet]:[United Energy]],0))*
INDEX(Input_Usage[],MATCH($D11&amp;" - Block 1",Input_Usage[[Ref]:[Ref]],0),MATCH($D$7,Inputs!$C$147:$P$147,0))),0)+
IFERROR((INDEX(OP_TotalRates_RES_1[[Ausnet]:[United Energy]],MATCH("Balance",OP_TotalRates_RES_1[[Rate name]:[Rate name]],0),MATCH(N$10,OP_TotalRates_RES_1[[#Headers],[Ausnet]:[United Energy]],0))*
INDEX(Input_Usage[],MATCH($D11&amp;" - Balance",Input_Usage[[Ref]:[Ref]],0),MATCH($D$7,Inputs!$C$147:$P$147,0))),0)+
IFERROR((INDEX(OP_TotalRates_RES_1[[Ausnet]:[United Energy]],MATCH("Single rate",OP_TotalRates_RES_1[[Rate name]:[Rate name]],0),MATCH(N$10,OP_TotalRates_RES_1[[#Headers],[Ausnet]:[United Energy]],0))*
INDEX(Input_Usage[],MATCH($D11&amp;" - Annual",Input_Usage[[Ref]:[Ref]],0),MATCH($D$7,Inputs!$C$147:$P$147,0))),0)),0),
ROUNDUP(
(INDEX(OP_TotalRates_RES_1[[Ausnet]:[United Energy]],MATCH("TOU - supply",OP_TotalRates_RES_1[[Rate name]:[Rate name]],0),MATCH(N$10,OP_TotalRates_RES_1[[#Headers],[Ausnet]:[United Energy]],0))*DiY)+
(INDEX(OP_TotalRates_RES_1[[Ausnet]:[United Energy]],MATCH("Peak",OP_TotalRates_RES_1[[Rate name]:[Rate name]],0),MATCH(N$10,OP_TotalRates_RES_1[[#Headers],[Ausnet]:[United Energy]],0))*
INDEX(Input_Usage[],MATCH($D11&amp;" - Peak",Input_Usage[[Ref]:[Ref]],0),MATCH($D$7,Inputs!$C$147:$P$147,0)))+
IFERROR((INDEX(OP_TotalRates_RES_1[[Ausnet]:[United Energy]],MATCH("TOU - Shoulder",OP_TotalRates_RES_1[[Rate name]:[Rate name]],0),MATCH(N$10,OP_TotalRates_RES_1[[#Headers],[Ausnet]:[United Energy]],0))*
INDEX(Input_Usage[],MATCH($D11&amp;" - Shoulder",Input_Usage[[Ref]:[Ref]],0),MATCH($D$7,Inputs!$C$147:$P$147,0))),0)+
(INDEX(OP_TotalRates_RES_1[[Ausnet]:[United Energy]],MATCH("Off peak",OP_TotalRates_RES_1[[Rate name]:[Rate name]],0),MATCH(N$10,OP_TotalRates_RES_1[[#Headers],[Ausnet]:[United Energy]],0))*
INDEX(Input_Usage[],MATCH($D11&amp;" - Off peak",Input_Usage[[Ref]:[Ref]],0),MATCH($D$7,Inputs!$C$147:$P$147,0))),0)),"-")</calculatedColumnFormula>
    </tableColumn>
    <tableColumn id="5" xr3:uid="{37F3AA68-E85C-4177-B19E-9471B53A7CC8}" name="Jemena" dataDxfId="732" dataCellStyle="Table cell">
      <calculatedColumnFormula>IFERROR(
IF($D$7="VDO 2021 - Final",
ROUNDUP(
(INDEX(OP_TotalRates_RES_1[[Ausnet]:[United Energy]],MATCH("Anytime - supply",OP_TotalRates_RES_1[[Rate name]:[Rate name]],0),MATCH(O$10,OP_TotalRates_RES_1[[#Headers],[Ausnet]:[United Energy]],0))*DiY)+
(IFERROR((INDEX(OP_TotalRates_RES_1[[Ausnet]:[United Energy]],MATCH("Block 1",OP_TotalRates_RES_1[[Rate name]:[Rate name]],0),MATCH(O$10,OP_TotalRates_RES_1[[#Headers],[Ausnet]:[United Energy]],0))*
INDEX(Input_Usage[],MATCH($D11&amp;" - Block 1",Input_Usage[[Ref]:[Ref]],0),MATCH($D$7,Inputs!$C$147:$P$147,0))),0)+
IFERROR((INDEX(OP_TotalRates_RES_1[[Ausnet]:[United Energy]],MATCH("Balance",OP_TotalRates_RES_1[[Rate name]:[Rate name]],0),MATCH(O$10,OP_TotalRates_RES_1[[#Headers],[Ausnet]:[United Energy]],0))*
INDEX(Input_Usage[],MATCH($D11&amp;" - Balance",Input_Usage[[Ref]:[Ref]],0),MATCH($D$7,Inputs!$C$147:$P$147,0))),0)+
IFERROR((INDEX(OP_TotalRates_RES_1[[Ausnet]:[United Energy]],MATCH("Single rate",OP_TotalRates_RES_1[[Rate name]:[Rate name]],0),MATCH(O$10,OP_TotalRates_RES_1[[#Headers],[Ausnet]:[United Energy]],0))*
INDEX(Input_Usage[],MATCH($D11&amp;" - Annual",Input_Usage[[Ref]:[Ref]],0),MATCH($D$7,Inputs!$C$147:$P$147,0))),0)),0),
ROUNDUP(
(INDEX(OP_TotalRates_RES_1[[Ausnet]:[United Energy]],MATCH("TOU - supply",OP_TotalRates_RES_1[[Rate name]:[Rate name]],0),MATCH(O$10,OP_TotalRates_RES_1[[#Headers],[Ausnet]:[United Energy]],0))*DiY)+
(INDEX(OP_TotalRates_RES_1[[Ausnet]:[United Energy]],MATCH("Peak",OP_TotalRates_RES_1[[Rate name]:[Rate name]],0),MATCH(O$10,OP_TotalRates_RES_1[[#Headers],[Ausnet]:[United Energy]],0))*
INDEX(Input_Usage[],MATCH($D11&amp;" - Peak",Input_Usage[[Ref]:[Ref]],0),MATCH($D$7,Inputs!$C$147:$P$147,0)))+
IFERROR((INDEX(OP_TotalRates_RES_1[[Ausnet]:[United Energy]],MATCH("TOU - Shoulder",OP_TotalRates_RES_1[[Rate name]:[Rate name]],0),MATCH(O$10,OP_TotalRates_RES_1[[#Headers],[Ausnet]:[United Energy]],0))*
INDEX(Input_Usage[],MATCH($D11&amp;" - Shoulder",Input_Usage[[Ref]:[Ref]],0),MATCH($D$7,Inputs!$C$147:$P$147,0))),0)+
(INDEX(OP_TotalRates_RES_1[[Ausnet]:[United Energy]],MATCH("Off peak",OP_TotalRates_RES_1[[Rate name]:[Rate name]],0),MATCH(O$10,OP_TotalRates_RES_1[[#Headers],[Ausnet]:[United Energy]],0))*
INDEX(Input_Usage[],MATCH($D11&amp;" - Off peak",Input_Usage[[Ref]:[Ref]],0),MATCH($D$7,Inputs!$C$147:$P$147,0))),0)),"-")</calculatedColumnFormula>
    </tableColumn>
    <tableColumn id="6" xr3:uid="{CC163AC0-D0FC-4725-AB96-3480C0535BF2}" name="Powercor" dataDxfId="731" dataCellStyle="Table cell">
      <calculatedColumnFormula>IFERROR(
IF($D$7="VDO 2021 - Final",
ROUNDUP(
(INDEX(OP_TotalRates_RES_1[[Ausnet]:[United Energy]],MATCH("Anytime - supply",OP_TotalRates_RES_1[[Rate name]:[Rate name]],0),MATCH(P$10,OP_TotalRates_RES_1[[#Headers],[Ausnet]:[United Energy]],0))*DiY)+
(IFERROR((INDEX(OP_TotalRates_RES_1[[Ausnet]:[United Energy]],MATCH("Block 1",OP_TotalRates_RES_1[[Rate name]:[Rate name]],0),MATCH(P$10,OP_TotalRates_RES_1[[#Headers],[Ausnet]:[United Energy]],0))*
INDEX(Input_Usage[],MATCH($D11&amp;" - Block 1",Input_Usage[[Ref]:[Ref]],0),MATCH($D$7,Inputs!$C$147:$P$147,0))),0)+
IFERROR((INDEX(OP_TotalRates_RES_1[[Ausnet]:[United Energy]],MATCH("Balance",OP_TotalRates_RES_1[[Rate name]:[Rate name]],0),MATCH(P$10,OP_TotalRates_RES_1[[#Headers],[Ausnet]:[United Energy]],0))*
INDEX(Input_Usage[],MATCH($D11&amp;" - Balance",Input_Usage[[Ref]:[Ref]],0),MATCH($D$7,Inputs!$C$147:$P$147,0))),0)+
IFERROR((INDEX(OP_TotalRates_RES_1[[Ausnet]:[United Energy]],MATCH("Single rate",OP_TotalRates_RES_1[[Rate name]:[Rate name]],0),MATCH(P$10,OP_TotalRates_RES_1[[#Headers],[Ausnet]:[United Energy]],0))*
INDEX(Input_Usage[],MATCH($D11&amp;" - Annual",Input_Usage[[Ref]:[Ref]],0),MATCH($D$7,Inputs!$C$147:$P$147,0))),0)),0),
ROUNDUP(
(INDEX(OP_TotalRates_RES_1[[Ausnet]:[United Energy]],MATCH("TOU - supply",OP_TotalRates_RES_1[[Rate name]:[Rate name]],0),MATCH(P$10,OP_TotalRates_RES_1[[#Headers],[Ausnet]:[United Energy]],0))*DiY)+
(INDEX(OP_TotalRates_RES_1[[Ausnet]:[United Energy]],MATCH("Peak",OP_TotalRates_RES_1[[Rate name]:[Rate name]],0),MATCH(P$10,OP_TotalRates_RES_1[[#Headers],[Ausnet]:[United Energy]],0))*
INDEX(Input_Usage[],MATCH($D11&amp;" - Peak",Input_Usage[[Ref]:[Ref]],0),MATCH($D$7,Inputs!$C$147:$P$147,0)))+
IFERROR((INDEX(OP_TotalRates_RES_1[[Ausnet]:[United Energy]],MATCH("TOU - Shoulder",OP_TotalRates_RES_1[[Rate name]:[Rate name]],0),MATCH(P$10,OP_TotalRates_RES_1[[#Headers],[Ausnet]:[United Energy]],0))*
INDEX(Input_Usage[],MATCH($D11&amp;" - Shoulder",Input_Usage[[Ref]:[Ref]],0),MATCH($D$7,Inputs!$C$147:$P$147,0))),0)+
(INDEX(OP_TotalRates_RES_1[[Ausnet]:[United Energy]],MATCH("Off peak",OP_TotalRates_RES_1[[Rate name]:[Rate name]],0),MATCH(P$10,OP_TotalRates_RES_1[[#Headers],[Ausnet]:[United Energy]],0))*
INDEX(Input_Usage[],MATCH($D11&amp;" - Off peak",Input_Usage[[Ref]:[Ref]],0),MATCH($D$7,Inputs!$C$147:$P$147,0))),0)),"-")</calculatedColumnFormula>
    </tableColumn>
    <tableColumn id="7" xr3:uid="{9EF53383-EDFC-4887-B9C3-5A5731D858F0}" name="United Energy" dataDxfId="730" dataCellStyle="Table cell">
      <calculatedColumnFormula>IFERROR(
IF($D$7="VDO 2021 - Final",
ROUNDUP(
(INDEX(OP_TotalRates_RES_1[[Ausnet]:[United Energy]],MATCH("Anytime - supply",OP_TotalRates_RES_1[[Rate name]:[Rate name]],0),MATCH(Q$10,OP_TotalRates_RES_1[[#Headers],[Ausnet]:[United Energy]],0))*DiY)+
(IFERROR((INDEX(OP_TotalRates_RES_1[[Ausnet]:[United Energy]],MATCH("Block 1",OP_TotalRates_RES_1[[Rate name]:[Rate name]],0),MATCH(Q$10,OP_TotalRates_RES_1[[#Headers],[Ausnet]:[United Energy]],0))*
INDEX(Input_Usage[],MATCH($D11&amp;" - Block 1",Input_Usage[[Ref]:[Ref]],0),MATCH($D$7,Inputs!$C$147:$P$147,0))),0)+
IFERROR((INDEX(OP_TotalRates_RES_1[[Ausnet]:[United Energy]],MATCH("Balance",OP_TotalRates_RES_1[[Rate name]:[Rate name]],0),MATCH(Q$10,OP_TotalRates_RES_1[[#Headers],[Ausnet]:[United Energy]],0))*
INDEX(Input_Usage[],MATCH($D11&amp;" - Balance",Input_Usage[[Ref]:[Ref]],0),MATCH($D$7,Inputs!$C$147:$P$147,0))),0)+
IFERROR((INDEX(OP_TotalRates_RES_1[[Ausnet]:[United Energy]],MATCH("Single rate",OP_TotalRates_RES_1[[Rate name]:[Rate name]],0),MATCH(Q$10,OP_TotalRates_RES_1[[#Headers],[Ausnet]:[United Energy]],0))*
INDEX(Input_Usage[],MATCH($D11&amp;" - Annual",Input_Usage[[Ref]:[Ref]],0),MATCH($D$7,Inputs!$C$147:$P$147,0))),0)),0),
ROUNDUP(
(INDEX(OP_TotalRates_RES_1[[Ausnet]:[United Energy]],MATCH("TOU - supply",OP_TotalRates_RES_1[[Rate name]:[Rate name]],0),MATCH(Q$10,OP_TotalRates_RES_1[[#Headers],[Ausnet]:[United Energy]],0))*DiY)+
(INDEX(OP_TotalRates_RES_1[[Ausnet]:[United Energy]],MATCH("Peak",OP_TotalRates_RES_1[[Rate name]:[Rate name]],0),MATCH(Q$10,OP_TotalRates_RES_1[[#Headers],[Ausnet]:[United Energy]],0))*
INDEX(Input_Usage[],MATCH($D11&amp;" - Peak",Input_Usage[[Ref]:[Ref]],0),MATCH($D$7,Inputs!$C$147:$P$147,0)))+
IFERROR((INDEX(OP_TotalRates_RES_1[[Ausnet]:[United Energy]],MATCH("TOU - Shoulder",OP_TotalRates_RES_1[[Rate name]:[Rate name]],0),MATCH(Q$10,OP_TotalRates_RES_1[[#Headers],[Ausnet]:[United Energy]],0))*
INDEX(Input_Usage[],MATCH($D11&amp;" - Shoulder",Input_Usage[[Ref]:[Ref]],0),MATCH($D$7,Inputs!$C$147:$P$147,0))),0)+
(INDEX(OP_TotalRates_RES_1[[Ausnet]:[United Energy]],MATCH("Off peak",OP_TotalRates_RES_1[[Rate name]:[Rate name]],0),MATCH(Q$10,OP_TotalRates_RES_1[[#Headers],[Ausnet]:[United Energy]],0))*
INDEX(Input_Usage[],MATCH($D11&amp;" - Off peak",Input_Usage[[Ref]:[Ref]],0),MATCH($D$7,Inputs!$C$147:$P$147,0))),0)),"-")</calculatedColumnFormula>
    </tableColumn>
  </tableColumns>
  <tableStyleInfo name="Default tab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784CBC18-9383-4B2E-A511-0F55943CEE1D}" name="CMAB_RES_2" displayName="CMAB_RES_2" ref="C24:I27" totalsRowShown="0" headerRowDxfId="729" headerRowBorderDxfId="728" tableBorderDxfId="727" totalsRowBorderDxfId="726" headerRowCellStyle="Table col heading">
  <tableColumns count="7">
    <tableColumn id="1" xr3:uid="{A8F78815-AEAC-434F-B06A-A08BC4351EAC}" name="Customer type"/>
    <tableColumn id="2" xr3:uid="{7569B853-B0EF-41A4-A839-E23B991D1B54}" name="Usage profile"/>
    <tableColumn id="3" xr3:uid="{8D8BA29C-1E24-4688-8F81-2395D28FE733}" name="Ausnet">
      <calculatedColumnFormula>IFERROR(
IF($D$7="VDO 2021 - Final",
ROUNDUP(
(INDEX(OP_TotalRates_RES_1[[Ausnet]:[United Energy]],MATCH("Anytime - supply",OP_TotalRates_RES_1[[Rate name]:[Rate name]],0),MATCH(E$10,OP_TotalRates_RES_1[[#Headers],[Ausnet]:[United Energy]],0))*DiY)+
(IFERROR((INDEX(OP_TotalRates_RES_1[[Ausnet]:[United Energy]],MATCH("Block 1",OP_TotalRates_RES_1[[Rate name]:[Rate name]],0),MATCH(E$10,OP_TotalRates_RES_1[[#Headers],[Ausnet]:[United Energy]],0))*
INDEX(Input_Usage[],MATCH($D25&amp;" - Block 1",Input_Usage[[Ref]:[Ref]],0),MATCH($D$7,Inputs!$C$147:$P$147,0))),0)+
IFERROR((INDEX(OP_TotalRates_RES_1[[Ausnet]:[United Energy]],MATCH("Balance",OP_TotalRates_RES_1[[Rate name]:[Rate name]],0),MATCH(E$10,OP_TotalRates_RES_1[[#Headers],[Ausnet]:[United Energy]],0))*
INDEX(Input_Usage[],MATCH($D25&amp;" - Balance",Input_Usage[[Ref]:[Ref]],0),MATCH($D$7,Inputs!$C$147:$P$147,0))),0)+
IFERROR((INDEX(OP_TotalRates_RES_1[[Ausnet]:[United Energy]],MATCH("Single rate",OP_TotalRates_RES_1[[Rate name]:[Rate name]],0),MATCH(E$10,OP_TotalRates_RES_1[[#Headers],[Ausnet]:[United Energy]],0))*
INDEX(Input_Usage[],MATCH($D25&amp;" - Annual",Input_Usage[[Ref]:[Ref]],0),MATCH($D$7,Inputs!$C$147:$P$147,0))),0)),0),
ROUNDUP(
(INDEX(OP_TotalRates_RES_1[[Ausnet]:[United Energy]],MATCH("TOU - supply",OP_TotalRates_RES_1[[Rate name]:[Rate name]],0),MATCH(E$10,OP_TotalRates_RES_1[[#Headers],[Ausnet]:[United Energy]],0))*DiY)+
(INDEX(OP_TotalRates_RES_1[[Ausnet]:[United Energy]],MATCH("Peak",OP_TotalRates_RES_1[[Rate name]:[Rate name]],0),MATCH(E$10,OP_TotalRates_RES_1[[#Headers],[Ausnet]:[United Energy]],0))*
INDEX(Input_Usage[],MATCH($D25&amp;" - Peak",Input_Usage[[Ref]:[Ref]],0),MATCH($D$7,Inputs!$C$147:$P$147,0)))+
IFERROR((INDEX(OP_TotalRates_RES_1[[Ausnet]:[United Energy]],MATCH("TOU - Shoulder",OP_TotalRates_RES_1[[Rate name]:[Rate name]],0),MATCH(E$10,OP_TotalRates_RES_1[[#Headers],[Ausnet]:[United Energy]],0))*
INDEX(Input_Usage[],MATCH($D25&amp;" - Shoulder",Input_Usage[[Ref]:[Ref]],0),MATCH($D$7,Inputs!$C$147:$P$147,0))),0)+
(INDEX(OP_TotalRates_RES_1[[Ausnet]:[United Energy]],MATCH("Off peak",OP_TotalRates_RES_1[[Rate name]:[Rate name]],0),MATCH(E$10,OP_TotalRates_RES_1[[#Headers],[Ausnet]:[United Energy]],0))*
INDEX(Input_Usage[],MATCH($D25&amp;" - Off peak",Input_Usage[[Ref]:[Ref]],0),MATCH($D$7,Inputs!$C$147:$P$147,0))),0)),"-")</calculatedColumnFormula>
    </tableColumn>
    <tableColumn id="4" xr3:uid="{0D5F9249-2086-4CEA-909D-1923653A76C1}" name="Citipower">
      <calculatedColumnFormula>IFERROR(
IF($D$7="VDO 2021 - Final",
ROUNDUP(
(INDEX(OP_TotalRates_RES_1[[Ausnet]:[United Energy]],MATCH("Anytime - supply",OP_TotalRates_RES_1[[Rate name]:[Rate name]],0),MATCH(F$10,OP_TotalRates_RES_1[[#Headers],[Ausnet]:[United Energy]],0))*DiY)+
(IFERROR((INDEX(OP_TotalRates_RES_1[[Ausnet]:[United Energy]],MATCH("Block 1",OP_TotalRates_RES_1[[Rate name]:[Rate name]],0),MATCH(F$10,OP_TotalRates_RES_1[[#Headers],[Ausnet]:[United Energy]],0))*
INDEX(Input_Usage[],MATCH($D25&amp;" - Block 1",Input_Usage[[Ref]:[Ref]],0),MATCH($D$7,Inputs!$C$147:$P$147,0))),0)+
IFERROR((INDEX(OP_TotalRates_RES_1[[Ausnet]:[United Energy]],MATCH("Balance",OP_TotalRates_RES_1[[Rate name]:[Rate name]],0),MATCH(F$10,OP_TotalRates_RES_1[[#Headers],[Ausnet]:[United Energy]],0))*
INDEX(Input_Usage[],MATCH($D25&amp;" - Balance",Input_Usage[[Ref]:[Ref]],0),MATCH($D$7,Inputs!$C$147:$P$147,0))),0)+
IFERROR((INDEX(OP_TotalRates_RES_1[[Ausnet]:[United Energy]],MATCH("Single rate",OP_TotalRates_RES_1[[Rate name]:[Rate name]],0),MATCH(F$10,OP_TotalRates_RES_1[[#Headers],[Ausnet]:[United Energy]],0))*
INDEX(Input_Usage[],MATCH($D25&amp;" - Annual",Input_Usage[[Ref]:[Ref]],0),MATCH($D$7,Inputs!$C$147:$P$147,0))),0)),0),
ROUNDUP(
(INDEX(OP_TotalRates_RES_1[[Ausnet]:[United Energy]],MATCH("TOU - supply",OP_TotalRates_RES_1[[Rate name]:[Rate name]],0),MATCH(F$10,OP_TotalRates_RES_1[[#Headers],[Ausnet]:[United Energy]],0))*DiY)+
(INDEX(OP_TotalRates_RES_1[[Ausnet]:[United Energy]],MATCH("Peak",OP_TotalRates_RES_1[[Rate name]:[Rate name]],0),MATCH(F$10,OP_TotalRates_RES_1[[#Headers],[Ausnet]:[United Energy]],0))*
INDEX(Input_Usage[],MATCH($D25&amp;" - Peak",Input_Usage[[Ref]:[Ref]],0),MATCH($D$7,Inputs!$C$147:$P$147,0)))+
IFERROR((INDEX(OP_TotalRates_RES_1[[Ausnet]:[United Energy]],MATCH("TOU - Shoulder",OP_TotalRates_RES_1[[Rate name]:[Rate name]],0),MATCH(F$10,OP_TotalRates_RES_1[[#Headers],[Ausnet]:[United Energy]],0))*
INDEX(Input_Usage[],MATCH($D25&amp;" - Shoulder",Input_Usage[[Ref]:[Ref]],0),MATCH($D$7,Inputs!$C$147:$P$147,0))),0)+
(INDEX(OP_TotalRates_RES_1[[Ausnet]:[United Energy]],MATCH("Off peak",OP_TotalRates_RES_1[[Rate name]:[Rate name]],0),MATCH(F$10,OP_TotalRates_RES_1[[#Headers],[Ausnet]:[United Energy]],0))*
INDEX(Input_Usage[],MATCH($D25&amp;" - Off peak",Input_Usage[[Ref]:[Ref]],0),MATCH($D$7,Inputs!$C$147:$P$147,0))),0)),"-")</calculatedColumnFormula>
    </tableColumn>
    <tableColumn id="5" xr3:uid="{FE2A9689-6847-47AC-BEEF-E289A5A229B5}" name="Jemena">
      <calculatedColumnFormula>IFERROR(
IF($D$7="VDO 2021 - Final",
ROUNDUP(
(INDEX(OP_TotalRates_RES_1[[Ausnet]:[United Energy]],MATCH("Anytime - supply",OP_TotalRates_RES_1[[Rate name]:[Rate name]],0),MATCH(G$10,OP_TotalRates_RES_1[[#Headers],[Ausnet]:[United Energy]],0))*DiY)+
(IFERROR((INDEX(OP_TotalRates_RES_1[[Ausnet]:[United Energy]],MATCH("Block 1",OP_TotalRates_RES_1[[Rate name]:[Rate name]],0),MATCH(G$10,OP_TotalRates_RES_1[[#Headers],[Ausnet]:[United Energy]],0))*
INDEX(Input_Usage[],MATCH($D25&amp;" - Block 1",Input_Usage[[Ref]:[Ref]],0),MATCH($D$7,Inputs!$C$147:$P$147,0))),0)+
IFERROR((INDEX(OP_TotalRates_RES_1[[Ausnet]:[United Energy]],MATCH("Balance",OP_TotalRates_RES_1[[Rate name]:[Rate name]],0),MATCH(G$10,OP_TotalRates_RES_1[[#Headers],[Ausnet]:[United Energy]],0))*
INDEX(Input_Usage[],MATCH($D25&amp;" - Balance",Input_Usage[[Ref]:[Ref]],0),MATCH($D$7,Inputs!$C$147:$P$147,0))),0)+
IFERROR((INDEX(OP_TotalRates_RES_1[[Ausnet]:[United Energy]],MATCH("Single rate",OP_TotalRates_RES_1[[Rate name]:[Rate name]],0),MATCH(G$10,OP_TotalRates_RES_1[[#Headers],[Ausnet]:[United Energy]],0))*
INDEX(Input_Usage[],MATCH($D25&amp;" - Annual",Input_Usage[[Ref]:[Ref]],0),MATCH($D$7,Inputs!$C$147:$P$147,0))),0)),0),
ROUNDUP(
(INDEX(OP_TotalRates_RES_1[[Ausnet]:[United Energy]],MATCH("TOU - supply",OP_TotalRates_RES_1[[Rate name]:[Rate name]],0),MATCH(G$10,OP_TotalRates_RES_1[[#Headers],[Ausnet]:[United Energy]],0))*DiY)+
(INDEX(OP_TotalRates_RES_1[[Ausnet]:[United Energy]],MATCH("Peak",OP_TotalRates_RES_1[[Rate name]:[Rate name]],0),MATCH(G$10,OP_TotalRates_RES_1[[#Headers],[Ausnet]:[United Energy]],0))*
INDEX(Input_Usage[],MATCH($D25&amp;" - Peak",Input_Usage[[Ref]:[Ref]],0),MATCH($D$7,Inputs!$C$147:$P$147,0)))+
IFERROR((INDEX(OP_TotalRates_RES_1[[Ausnet]:[United Energy]],MATCH("TOU - Shoulder",OP_TotalRates_RES_1[[Rate name]:[Rate name]],0),MATCH(G$10,OP_TotalRates_RES_1[[#Headers],[Ausnet]:[United Energy]],0))*
INDEX(Input_Usage[],MATCH($D25&amp;" - Shoulder",Input_Usage[[Ref]:[Ref]],0),MATCH($D$7,Inputs!$C$147:$P$147,0))),0)+
(INDEX(OP_TotalRates_RES_1[[Ausnet]:[United Energy]],MATCH("Off peak",OP_TotalRates_RES_1[[Rate name]:[Rate name]],0),MATCH(G$10,OP_TotalRates_RES_1[[#Headers],[Ausnet]:[United Energy]],0))*
INDEX(Input_Usage[],MATCH($D25&amp;" - Off peak",Input_Usage[[Ref]:[Ref]],0),MATCH($D$7,Inputs!$C$147:$P$147,0))),0)),"-")</calculatedColumnFormula>
    </tableColumn>
    <tableColumn id="6" xr3:uid="{A6AD0D20-3ABA-4057-BAA3-35F27065C0F2}" name="Powercor">
      <calculatedColumnFormula>IFERROR(
IF($D$7="VDO 2021 - Final",
ROUNDUP(
(INDEX(OP_TotalRates_RES_1[[Ausnet]:[United Energy]],MATCH("Anytime - supply",OP_TotalRates_RES_1[[Rate name]:[Rate name]],0),MATCH(H$10,OP_TotalRates_RES_1[[#Headers],[Ausnet]:[United Energy]],0))*DiY)+
(IFERROR((INDEX(OP_TotalRates_RES_1[[Ausnet]:[United Energy]],MATCH("Block 1",OP_TotalRates_RES_1[[Rate name]:[Rate name]],0),MATCH(H$10,OP_TotalRates_RES_1[[#Headers],[Ausnet]:[United Energy]],0))*
INDEX(Input_Usage[],MATCH($D25&amp;" - Block 1",Input_Usage[[Ref]:[Ref]],0),MATCH($D$7,Inputs!$C$147:$P$147,0))),0)+
IFERROR((INDEX(OP_TotalRates_RES_1[[Ausnet]:[United Energy]],MATCH("Balance",OP_TotalRates_RES_1[[Rate name]:[Rate name]],0),MATCH(H$10,OP_TotalRates_RES_1[[#Headers],[Ausnet]:[United Energy]],0))*
INDEX(Input_Usage[],MATCH($D25&amp;" - Balance",Input_Usage[[Ref]:[Ref]],0),MATCH($D$7,Inputs!$C$147:$P$147,0))),0)+
IFERROR((INDEX(OP_TotalRates_RES_1[[Ausnet]:[United Energy]],MATCH("Single rate",OP_TotalRates_RES_1[[Rate name]:[Rate name]],0),MATCH(H$10,OP_TotalRates_RES_1[[#Headers],[Ausnet]:[United Energy]],0))*
INDEX(Input_Usage[],MATCH($D25&amp;" - Annual",Input_Usage[[Ref]:[Ref]],0),MATCH($D$7,Inputs!$C$147:$P$147,0))),0)),0),
ROUNDUP(
(INDEX(OP_TotalRates_RES_1[[Ausnet]:[United Energy]],MATCH("TOU - supply",OP_TotalRates_RES_1[[Rate name]:[Rate name]],0),MATCH(H$10,OP_TotalRates_RES_1[[#Headers],[Ausnet]:[United Energy]],0))*DiY)+
(INDEX(OP_TotalRates_RES_1[[Ausnet]:[United Energy]],MATCH("Peak",OP_TotalRates_RES_1[[Rate name]:[Rate name]],0),MATCH(H$10,OP_TotalRates_RES_1[[#Headers],[Ausnet]:[United Energy]],0))*
INDEX(Input_Usage[],MATCH($D25&amp;" - Peak",Input_Usage[[Ref]:[Ref]],0),MATCH($D$7,Inputs!$C$147:$P$147,0)))+
IFERROR((INDEX(OP_TotalRates_RES_1[[Ausnet]:[United Energy]],MATCH("TOU - Shoulder",OP_TotalRates_RES_1[[Rate name]:[Rate name]],0),MATCH(H$10,OP_TotalRates_RES_1[[#Headers],[Ausnet]:[United Energy]],0))*
INDEX(Input_Usage[],MATCH($D25&amp;" - Shoulder",Input_Usage[[Ref]:[Ref]],0),MATCH($D$7,Inputs!$C$147:$P$147,0))),0)+
(INDEX(OP_TotalRates_RES_1[[Ausnet]:[United Energy]],MATCH("Off peak",OP_TotalRates_RES_1[[Rate name]:[Rate name]],0),MATCH(H$10,OP_TotalRates_RES_1[[#Headers],[Ausnet]:[United Energy]],0))*
INDEX(Input_Usage[],MATCH($D25&amp;" - Off peak",Input_Usage[[Ref]:[Ref]],0),MATCH($D$7,Inputs!$C$147:$P$147,0))),0)),"-")</calculatedColumnFormula>
    </tableColumn>
    <tableColumn id="7" xr3:uid="{B2B5B815-02E0-4F29-934A-9D7CE200BE7C}" name="United Energy">
      <calculatedColumnFormula>IFERROR(
IF($D$7="VDO 2021 - Final",
ROUNDUP(
(INDEX(OP_TotalRates_RES_1[[Ausnet]:[United Energy]],MATCH("Anytime - supply",OP_TotalRates_RES_1[[Rate name]:[Rate name]],0),MATCH(I$10,OP_TotalRates_RES_1[[#Headers],[Ausnet]:[United Energy]],0))*DiY)+
(IFERROR((INDEX(OP_TotalRates_RES_1[[Ausnet]:[United Energy]],MATCH("Block 1",OP_TotalRates_RES_1[[Rate name]:[Rate name]],0),MATCH(I$10,OP_TotalRates_RES_1[[#Headers],[Ausnet]:[United Energy]],0))*
INDEX(Input_Usage[],MATCH($D25&amp;" - Block 1",Input_Usage[[Ref]:[Ref]],0),MATCH($D$7,Inputs!$C$147:$P$147,0))),0)+
IFERROR((INDEX(OP_TotalRates_RES_1[[Ausnet]:[United Energy]],MATCH("Balance",OP_TotalRates_RES_1[[Rate name]:[Rate name]],0),MATCH(I$10,OP_TotalRates_RES_1[[#Headers],[Ausnet]:[United Energy]],0))*
INDEX(Input_Usage[],MATCH($D25&amp;" - Balance",Input_Usage[[Ref]:[Ref]],0),MATCH($D$7,Inputs!$C$147:$P$147,0))),0)+
IFERROR((INDEX(OP_TotalRates_RES_1[[Ausnet]:[United Energy]],MATCH("Single rate",OP_TotalRates_RES_1[[Rate name]:[Rate name]],0),MATCH(I$10,OP_TotalRates_RES_1[[#Headers],[Ausnet]:[United Energy]],0))*
INDEX(Input_Usage[],MATCH($D25&amp;" - Annual",Input_Usage[[Ref]:[Ref]],0),MATCH($D$7,Inputs!$C$147:$P$147,0))),0)),0),
ROUNDUP(
(INDEX(OP_TotalRates_RES_1[[Ausnet]:[United Energy]],MATCH("TOU - supply",OP_TotalRates_RES_1[[Rate name]:[Rate name]],0),MATCH(I$10,OP_TotalRates_RES_1[[#Headers],[Ausnet]:[United Energy]],0))*DiY)+
(INDEX(OP_TotalRates_RES_1[[Ausnet]:[United Energy]],MATCH("Peak",OP_TotalRates_RES_1[[Rate name]:[Rate name]],0),MATCH(I$10,OP_TotalRates_RES_1[[#Headers],[Ausnet]:[United Energy]],0))*
INDEX(Input_Usage[],MATCH($D25&amp;" - Peak",Input_Usage[[Ref]:[Ref]],0),MATCH($D$7,Inputs!$C$147:$P$147,0)))+
IFERROR((INDEX(OP_TotalRates_RES_1[[Ausnet]:[United Energy]],MATCH("TOU - Shoulder",OP_TotalRates_RES_1[[Rate name]:[Rate name]],0),MATCH(I$10,OP_TotalRates_RES_1[[#Headers],[Ausnet]:[United Energy]],0))*
INDEX(Input_Usage[],MATCH($D25&amp;" - Shoulder",Input_Usage[[Ref]:[Ref]],0),MATCH($D$7,Inputs!$C$147:$P$147,0))),0)+
(INDEX(OP_TotalRates_RES_1[[Ausnet]:[United Energy]],MATCH("Off peak",OP_TotalRates_RES_1[[Rate name]:[Rate name]],0),MATCH(I$10,OP_TotalRates_RES_1[[#Headers],[Ausnet]:[United Energy]],0))*
INDEX(Input_Usage[],MATCH($D25&amp;" - Off peak",Input_Usage[[Ref]:[Ref]],0),MATCH($D$7,Inputs!$C$147:$P$147,0))),0)),"-")</calculatedColumnFormula>
    </tableColumn>
  </tableColumns>
  <tableStyleInfo name="Default tab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82B6EB15-85B8-4ABE-85ED-496C073FF8CC}" name="CMAB_SME_2" displayName="CMAB_SME_2" ref="K24:Q27" totalsRowShown="0" headerRowDxfId="725" headerRowBorderDxfId="724" tableBorderDxfId="723" totalsRowBorderDxfId="722" headerRowCellStyle="Table col heading">
  <tableColumns count="7">
    <tableColumn id="1" xr3:uid="{EB6D28E3-1A73-4D41-A3B3-303EF3024DE7}" name="Customer type"/>
    <tableColumn id="2" xr3:uid="{CA13CB67-97D3-4228-93C6-A787A23F3C77}" name="Usage profile"/>
    <tableColumn id="3" xr3:uid="{BFA9E2A1-209A-4C28-9214-5A6338FB6F5D}" name="Ausnet" dataDxfId="721" dataCellStyle="Table cell">
      <calculatedColumnFormula>IFERROR(
IF($D$7="VDO 2021 - Final",
ROUNDUP(
(INDEX(OP_TotalRates_SME_1[[Ausnet]:[United Energy]],MATCH("Anytime - supply",OP_TotalRates_SME_1[[Rate name]:[Rate name]],0),MATCH(M$10,OP_TotalRates_SME_1[[#Headers],[Ausnet]:[United Energy]],0))*DiY)+
(IFERROR((INDEX(OP_TotalRates_SME_1[[Ausnet]:[United Energy]],MATCH("Block 1",OP_TotalRates_SME_1[[Rate name]:[Rate name]],0),MATCH(M$10,OP_TotalRates_SME_1[[#Headers],[Ausnet]:[United Energy]],0))*
INDEX(Input_Usage[],MATCH($L25&amp;" - Block 1",Input_Usage[[Ref]:[Ref]],0),MATCH($D$7,Inputs!$C$147:$P$147,0))),0)+
IFERROR((INDEX(OP_TotalRates_SME_1[[Ausnet]:[United Energy]],MATCH("Balance",OP_TotalRates_SME_1[[Rate name]:[Rate name]],0),MATCH(M$10,OP_TotalRates_SME_1[[#Headers],[Ausnet]:[United Energy]],0))*
INDEX(Input_Usage[],MATCH($L25&amp;" - Balance",Input_Usage[[Ref]:[Ref]],0),MATCH($D$7,Inputs!$C$147:$P$147,0))),0)+
IFERROR((INDEX(OP_TotalRates_SME_1[[Ausnet]:[United Energy]],MATCH("Single rate",OP_TotalRates_SME_1[[Rate name]:[Rate name]],0),MATCH(M$10,OP_TotalRates_SME_1[[#Headers],[Ausnet]:[United Energy]],0))*
INDEX(Input_Usage[],MATCH($L25&amp;" - Annual",Input_Usage[[Ref]:[Ref]],0),MATCH($D$7,Inputs!$C$147:$P$147,0))),0)),0),
ROUNDUP(
(INDEX(OP_TotalRates_SME_1[[Ausnet]:[United Energy]],MATCH("TOU - supply",OP_TotalRates_SME_1[[Rate name]:[Rate name]],0),MATCH(M$10,OP_TotalRates_SME_1[[#Headers],[Ausnet]:[United Energy]],0))*DiY)+
(INDEX(OP_TotalRates_SME_1[[Ausnet]:[United Energy]],MATCH("Peak",OP_TotalRates_SME_1[[Rate name]:[Rate name]],0),MATCH(M$10,OP_TotalRates_SME_1[[#Headers],[Ausnet]:[United Energy]],0))*
INDEX(Input_Usage[],MATCH($L25&amp;" - Peak",Input_Usage[[Ref]:[Ref]],0),MATCH($D$7,Inputs!$C$147:$P$147,0)))+
IFERROR((INDEX(OP_TotalRates_SME_1[[Ausnet]:[United Energy]],MATCH("TOU - Shoulder",OP_TotalRates_SME_1[[Rate name]:[Rate name]],0),MATCH(M$10,OP_TotalRates_SME_1[[#Headers],[Ausnet]:[United Energy]],0))*
INDEX(Input_Usage[],MATCH($L25&amp;" - Shoulder",Input_Usage[[Ref]:[Ref]],0),MATCH($D$7,Inputs!$C$147:$P$147,0))),0)+
(INDEX(OP_TotalRates_SME_1[[Ausnet]:[United Energy]],MATCH("Off peak",OP_TotalRates_SME_1[[Rate name]:[Rate name]],0),MATCH(M$10,OP_TotalRates_SME_1[[#Headers],[Ausnet]:[United Energy]],0))*
INDEX(Input_Usage[],MATCH($L25&amp;" - Off peak",Input_Usage[[Ref]:[Ref]],0),MATCH($D$7,Inputs!$C$147:$P$147,0))),0)),"-")</calculatedColumnFormula>
    </tableColumn>
    <tableColumn id="4" xr3:uid="{F0FD9595-8EE1-48EF-9F82-FA7DBD8C7508}" name="Citipower">
      <calculatedColumnFormula>IFERROR(
IF($D$7="VDO 2021 - Final",
ROUNDUP(
(INDEX(OP_TotalRates_SME_1[[Ausnet]:[United Energy]],MATCH("Anytime - supply",OP_TotalRates_SME_1[[Rate name]:[Rate name]],0),MATCH(N$10,OP_TotalRates_SME_1[[#Headers],[Ausnet]:[United Energy]],0))*DiY)+
(IFERROR((INDEX(OP_TotalRates_SME_1[[Ausnet]:[United Energy]],MATCH("Block 1",OP_TotalRates_SME_1[[Rate name]:[Rate name]],0),MATCH(N$10,OP_TotalRates_SME_1[[#Headers],[Ausnet]:[United Energy]],0))*
INDEX(Input_Usage[],MATCH($L25&amp;" - Block 1",Input_Usage[[Ref]:[Ref]],0),MATCH($D$7,Inputs!$C$147:$P$147,0))),0)+
IFERROR((INDEX(OP_TotalRates_SME_1[[Ausnet]:[United Energy]],MATCH("Balance",OP_TotalRates_SME_1[[Rate name]:[Rate name]],0),MATCH(N$10,OP_TotalRates_SME_1[[#Headers],[Ausnet]:[United Energy]],0))*
INDEX(Input_Usage[],MATCH($L25&amp;" - Balance",Input_Usage[[Ref]:[Ref]],0),MATCH($D$7,Inputs!$C$147:$P$147,0))),0)+
IFERROR((INDEX(OP_TotalRates_SME_1[[Ausnet]:[United Energy]],MATCH("Single rate",OP_TotalRates_SME_1[[Rate name]:[Rate name]],0),MATCH(N$10,OP_TotalRates_SME_1[[#Headers],[Ausnet]:[United Energy]],0))*
INDEX(Input_Usage[],MATCH($L25&amp;" - Annual",Input_Usage[[Ref]:[Ref]],0),MATCH($D$7,Inputs!$C$147:$P$147,0))),0)),0),
ROUNDUP(
(INDEX(OP_TotalRates_SME_1[[Ausnet]:[United Energy]],MATCH("TOU - supply",OP_TotalRates_SME_1[[Rate name]:[Rate name]],0),MATCH(N$10,OP_TotalRates_SME_1[[#Headers],[Ausnet]:[United Energy]],0))*DiY)+
(INDEX(OP_TotalRates_SME_1[[Ausnet]:[United Energy]],MATCH("Peak",OP_TotalRates_SME_1[[Rate name]:[Rate name]],0),MATCH(N$10,OP_TotalRates_SME_1[[#Headers],[Ausnet]:[United Energy]],0))*
INDEX(Input_Usage[],MATCH($L25&amp;" - Peak",Input_Usage[[Ref]:[Ref]],0),MATCH($D$7,Inputs!$C$147:$P$147,0)))+
IFERROR((INDEX(OP_TotalRates_SME_1[[Ausnet]:[United Energy]],MATCH("TOU - Shoulder",OP_TotalRates_SME_1[[Rate name]:[Rate name]],0),MATCH(N$10,OP_TotalRates_SME_1[[#Headers],[Ausnet]:[United Energy]],0))*
INDEX(Input_Usage[],MATCH($L25&amp;" - Shoulder",Input_Usage[[Ref]:[Ref]],0),MATCH($D$7,Inputs!$C$147:$P$147,0))),0)+
(INDEX(OP_TotalRates_SME_1[[Ausnet]:[United Energy]],MATCH("Off peak",OP_TotalRates_SME_1[[Rate name]:[Rate name]],0),MATCH(N$10,OP_TotalRates_SME_1[[#Headers],[Ausnet]:[United Energy]],0))*
INDEX(Input_Usage[],MATCH($L25&amp;" - Off peak",Input_Usage[[Ref]:[Ref]],0),MATCH($D$7,Inputs!$C$147:$P$147,0))),0)),"-")</calculatedColumnFormula>
    </tableColumn>
    <tableColumn id="5" xr3:uid="{A1C73988-CF22-4DE8-B89F-4E0985EF1E42}" name="Jemena">
      <calculatedColumnFormula>IFERROR(
IF($D$7="VDO 2021 - Final",
ROUNDUP(
(INDEX(OP_TotalRates_SME_1[[Ausnet]:[United Energy]],MATCH("Anytime - supply",OP_TotalRates_SME_1[[Rate name]:[Rate name]],0),MATCH(O$10,OP_TotalRates_SME_1[[#Headers],[Ausnet]:[United Energy]],0))*DiY)+
(IFERROR((INDEX(OP_TotalRates_SME_1[[Ausnet]:[United Energy]],MATCH("Block 1",OP_TotalRates_SME_1[[Rate name]:[Rate name]],0),MATCH(O$10,OP_TotalRates_SME_1[[#Headers],[Ausnet]:[United Energy]],0))*
INDEX(Input_Usage[],MATCH($L25&amp;" - Block 1",Input_Usage[[Ref]:[Ref]],0),MATCH($D$7,Inputs!$C$147:$P$147,0))),0)+
IFERROR((INDEX(OP_TotalRates_SME_1[[Ausnet]:[United Energy]],MATCH("Balance",OP_TotalRates_SME_1[[Rate name]:[Rate name]],0),MATCH(O$10,OP_TotalRates_SME_1[[#Headers],[Ausnet]:[United Energy]],0))*
INDEX(Input_Usage[],MATCH($L25&amp;" - Balance",Input_Usage[[Ref]:[Ref]],0),MATCH($D$7,Inputs!$C$147:$P$147,0))),0)+
IFERROR((INDEX(OP_TotalRates_SME_1[[Ausnet]:[United Energy]],MATCH("Single rate",OP_TotalRates_SME_1[[Rate name]:[Rate name]],0),MATCH(O$10,OP_TotalRates_SME_1[[#Headers],[Ausnet]:[United Energy]],0))*
INDEX(Input_Usage[],MATCH($L25&amp;" - Annual",Input_Usage[[Ref]:[Ref]],0),MATCH($D$7,Inputs!$C$147:$P$147,0))),0)),0),
ROUNDUP(
(INDEX(OP_TotalRates_SME_1[[Ausnet]:[United Energy]],MATCH("TOU - supply",OP_TotalRates_SME_1[[Rate name]:[Rate name]],0),MATCH(O$10,OP_TotalRates_SME_1[[#Headers],[Ausnet]:[United Energy]],0))*DiY)+
(INDEX(OP_TotalRates_SME_1[[Ausnet]:[United Energy]],MATCH("Peak",OP_TotalRates_SME_1[[Rate name]:[Rate name]],0),MATCH(O$10,OP_TotalRates_SME_1[[#Headers],[Ausnet]:[United Energy]],0))*
INDEX(Input_Usage[],MATCH($L25&amp;" - Peak",Input_Usage[[Ref]:[Ref]],0),MATCH($D$7,Inputs!$C$147:$P$147,0)))+
IFERROR((INDEX(OP_TotalRates_SME_1[[Ausnet]:[United Energy]],MATCH("TOU - Shoulder",OP_TotalRates_SME_1[[Rate name]:[Rate name]],0),MATCH(O$10,OP_TotalRates_SME_1[[#Headers],[Ausnet]:[United Energy]],0))*
INDEX(Input_Usage[],MATCH($L25&amp;" - Shoulder",Input_Usage[[Ref]:[Ref]],0),MATCH($D$7,Inputs!$C$147:$P$147,0))),0)+
(INDEX(OP_TotalRates_SME_1[[Ausnet]:[United Energy]],MATCH("Off peak",OP_TotalRates_SME_1[[Rate name]:[Rate name]],0),MATCH(O$10,OP_TotalRates_SME_1[[#Headers],[Ausnet]:[United Energy]],0))*
INDEX(Input_Usage[],MATCH($L25&amp;" - Off peak",Input_Usage[[Ref]:[Ref]],0),MATCH($D$7,Inputs!$C$147:$P$147,0))),0)),"-")</calculatedColumnFormula>
    </tableColumn>
    <tableColumn id="6" xr3:uid="{E32519FF-66CE-4885-AE63-4D241C844B94}" name="Powercor">
      <calculatedColumnFormula>IFERROR(
IF($D$7="VDO 2021 - Final",
ROUNDUP(
(INDEX(OP_TotalRates_SME_1[[Ausnet]:[United Energy]],MATCH("Anytime - supply",OP_TotalRates_SME_1[[Rate name]:[Rate name]],0),MATCH(P$10,OP_TotalRates_SME_1[[#Headers],[Ausnet]:[United Energy]],0))*DiY)+
(IFERROR((INDEX(OP_TotalRates_SME_1[[Ausnet]:[United Energy]],MATCH("Block 1",OP_TotalRates_SME_1[[Rate name]:[Rate name]],0),MATCH(P$10,OP_TotalRates_SME_1[[#Headers],[Ausnet]:[United Energy]],0))*
INDEX(Input_Usage[],MATCH($L25&amp;" - Block 1",Input_Usage[[Ref]:[Ref]],0),MATCH($D$7,Inputs!$C$147:$P$147,0))),0)+
IFERROR((INDEX(OP_TotalRates_SME_1[[Ausnet]:[United Energy]],MATCH("Balance",OP_TotalRates_SME_1[[Rate name]:[Rate name]],0),MATCH(P$10,OP_TotalRates_SME_1[[#Headers],[Ausnet]:[United Energy]],0))*
INDEX(Input_Usage[],MATCH($L25&amp;" - Balance",Input_Usage[[Ref]:[Ref]],0),MATCH($D$7,Inputs!$C$147:$P$147,0))),0)+
IFERROR((INDEX(OP_TotalRates_SME_1[[Ausnet]:[United Energy]],MATCH("Single rate",OP_TotalRates_SME_1[[Rate name]:[Rate name]],0),MATCH(P$10,OP_TotalRates_SME_1[[#Headers],[Ausnet]:[United Energy]],0))*
INDEX(Input_Usage[],MATCH($L25&amp;" - Annual",Input_Usage[[Ref]:[Ref]],0),MATCH($D$7,Inputs!$C$147:$P$147,0))),0)),0),
ROUNDUP(
(INDEX(OP_TotalRates_SME_1[[Ausnet]:[United Energy]],MATCH("TOU - supply",OP_TotalRates_SME_1[[Rate name]:[Rate name]],0),MATCH(P$10,OP_TotalRates_SME_1[[#Headers],[Ausnet]:[United Energy]],0))*DiY)+
(INDEX(OP_TotalRates_SME_1[[Ausnet]:[United Energy]],MATCH("Peak",OP_TotalRates_SME_1[[Rate name]:[Rate name]],0),MATCH(P$10,OP_TotalRates_SME_1[[#Headers],[Ausnet]:[United Energy]],0))*
INDEX(Input_Usage[],MATCH($L25&amp;" - Peak",Input_Usage[[Ref]:[Ref]],0),MATCH($D$7,Inputs!$C$147:$P$147,0)))+
IFERROR((INDEX(OP_TotalRates_SME_1[[Ausnet]:[United Energy]],MATCH("TOU - Shoulder",OP_TotalRates_SME_1[[Rate name]:[Rate name]],0),MATCH(P$10,OP_TotalRates_SME_1[[#Headers],[Ausnet]:[United Energy]],0))*
INDEX(Input_Usage[],MATCH($L25&amp;" - Shoulder",Input_Usage[[Ref]:[Ref]],0),MATCH($D$7,Inputs!$C$147:$P$147,0))),0)+
(INDEX(OP_TotalRates_SME_1[[Ausnet]:[United Energy]],MATCH("Off peak",OP_TotalRates_SME_1[[Rate name]:[Rate name]],0),MATCH(P$10,OP_TotalRates_SME_1[[#Headers],[Ausnet]:[United Energy]],0))*
INDEX(Input_Usage[],MATCH($L25&amp;" - Off peak",Input_Usage[[Ref]:[Ref]],0),MATCH($D$7,Inputs!$C$147:$P$147,0))),0)),"-")</calculatedColumnFormula>
    </tableColumn>
    <tableColumn id="7" xr3:uid="{D4FA680B-83F1-49AE-83A4-2615571ED201}" name="United Energy">
      <calculatedColumnFormula>IFERROR(
IF($D$7="VDO 2021 - Final",
ROUNDUP(
(INDEX(OP_TotalRates_SME_1[[Ausnet]:[United Energy]],MATCH("Anytime - supply",OP_TotalRates_SME_1[[Rate name]:[Rate name]],0),MATCH(Q$10,OP_TotalRates_SME_1[[#Headers],[Ausnet]:[United Energy]],0))*DiY)+
(IFERROR((INDEX(OP_TotalRates_SME_1[[Ausnet]:[United Energy]],MATCH("Block 1",OP_TotalRates_SME_1[[Rate name]:[Rate name]],0),MATCH(Q$10,OP_TotalRates_SME_1[[#Headers],[Ausnet]:[United Energy]],0))*
INDEX(Input_Usage[],MATCH($L25&amp;" - Block 1",Input_Usage[[Ref]:[Ref]],0),MATCH($D$7,Inputs!$C$147:$P$147,0))),0)+
IFERROR((INDEX(OP_TotalRates_SME_1[[Ausnet]:[United Energy]],MATCH("Balance",OP_TotalRates_SME_1[[Rate name]:[Rate name]],0),MATCH(Q$10,OP_TotalRates_SME_1[[#Headers],[Ausnet]:[United Energy]],0))*
INDEX(Input_Usage[],MATCH($L25&amp;" - Balance",Input_Usage[[Ref]:[Ref]],0),MATCH($D$7,Inputs!$C$147:$P$147,0))),0)+
IFERROR((INDEX(OP_TotalRates_SME_1[[Ausnet]:[United Energy]],MATCH("Single rate",OP_TotalRates_SME_1[[Rate name]:[Rate name]],0),MATCH(Q$10,OP_TotalRates_SME_1[[#Headers],[Ausnet]:[United Energy]],0))*
INDEX(Input_Usage[],MATCH($L25&amp;" - Annual",Input_Usage[[Ref]:[Ref]],0),MATCH($D$7,Inputs!$C$147:$P$147,0))),0)),0),
ROUNDUP(
(INDEX(OP_TotalRates_SME_1[[Ausnet]:[United Energy]],MATCH("TOU - supply",OP_TotalRates_SME_1[[Rate name]:[Rate name]],0),MATCH(Q$10,OP_TotalRates_SME_1[[#Headers],[Ausnet]:[United Energy]],0))*DiY)+
(INDEX(OP_TotalRates_SME_1[[Ausnet]:[United Energy]],MATCH("Peak",OP_TotalRates_SME_1[[Rate name]:[Rate name]],0),MATCH(Q$10,OP_TotalRates_SME_1[[#Headers],[Ausnet]:[United Energy]],0))*
INDEX(Input_Usage[],MATCH($L25&amp;" - Peak",Input_Usage[[Ref]:[Ref]],0),MATCH($D$7,Inputs!$C$147:$P$147,0)))+
IFERROR((INDEX(OP_TotalRates_SME_1[[Ausnet]:[United Energy]],MATCH("TOU - Shoulder",OP_TotalRates_SME_1[[Rate name]:[Rate name]],0),MATCH(Q$10,OP_TotalRates_SME_1[[#Headers],[Ausnet]:[United Energy]],0))*
INDEX(Input_Usage[],MATCH($L25&amp;" - Shoulder",Input_Usage[[Ref]:[Ref]],0),MATCH($D$7,Inputs!$C$147:$P$147,0))),0)+
(INDEX(OP_TotalRates_SME_1[[Ausnet]:[United Energy]],MATCH("Off peak",OP_TotalRates_SME_1[[Rate name]:[Rate name]],0),MATCH(Q$10,OP_TotalRates_SME_1[[#Headers],[Ausnet]:[United Energy]],0))*
INDEX(Input_Usage[],MATCH($L25&amp;" - Off peak",Input_Usage[[Ref]:[Ref]],0),MATCH($D$7,Inputs!$C$147:$P$147,0))),0)),"-")</calculatedColumnFormula>
    </tableColumn>
  </tableColumns>
  <tableStyleInfo name="Default tab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F9E3F01-29C8-44C9-A414-7871D361A8AB}" name="CostStackCalcs_RES_1" displayName="CostStackCalcs_RES_1" ref="C54:I68" totalsRowShown="0" headerRowDxfId="720" dataDxfId="718" headerRowBorderDxfId="719" tableBorderDxfId="717" totalsRowBorderDxfId="716" headerRowCellStyle="Table col heading" dataCellStyle="Table cell">
  <tableColumns count="7">
    <tableColumn id="1" xr3:uid="{D106242E-21EB-4A0E-B344-1AB2FF19A01B}" name="Labels" totalsRowDxfId="715" dataCellStyle="Table cell" totalsRowCellStyle="Table cell"/>
    <tableColumn id="2" xr3:uid="{3C70B015-29DB-4964-972A-695201DCF3BC}" name="Ausnet" dataDxfId="714" totalsRowDxfId="713" dataCellStyle="Table cell" totalsRowCellStyle="Table cell"/>
    <tableColumn id="3" xr3:uid="{0AD4E9C4-5D09-4770-901B-5C1E3759883B}" name="Citipower" dataDxfId="712" totalsRowDxfId="711" dataCellStyle="Table cell" totalsRowCellStyle="Table cell"/>
    <tableColumn id="4" xr3:uid="{BF620EA6-2229-4539-B3B0-5BC29CC007DD}" name="Jemena" dataDxfId="710" totalsRowDxfId="709" dataCellStyle="Table cell" totalsRowCellStyle="Table cell"/>
    <tableColumn id="5" xr3:uid="{4133A035-3084-4EEF-A863-1EC0692E3CC2}" name="Powercor" dataDxfId="708" totalsRowDxfId="707" dataCellStyle="Table cell" totalsRowCellStyle="Table cell"/>
    <tableColumn id="6" xr3:uid="{A843CB81-15B3-4B2D-84D5-26699752FA91}" name="United Energy" dataDxfId="706" totalsRowDxfId="705" dataCellStyle="Table cell" totalsRowCellStyle="Table cell"/>
    <tableColumn id="7" xr3:uid="{50EEE76A-8C20-4F06-B255-968B1E0C54FD}" name="Average" dataDxfId="704" totalsRowDxfId="703" dataCellStyle="Table cell" totalsRowCellStyle="Table cell">
      <calculatedColumnFormula>AVERAGE(D55:H55)</calculatedColumnFormula>
    </tableColumn>
  </tableColumns>
  <tableStyleInfo name="Default tab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B6179DB5-FA7C-453D-BCAA-CFC8D6B6B71C}" name="CostStackCalcs_RES_2" displayName="CostStackCalcs_RES_2" ref="K54:Q68" totalsRowShown="0" headerRowDxfId="702" dataDxfId="700" headerRowBorderDxfId="701" tableBorderDxfId="699" totalsRowBorderDxfId="698" headerRowCellStyle="Table col heading" dataCellStyle="Table cell">
  <tableColumns count="7">
    <tableColumn id="1" xr3:uid="{DE7FFC73-2AD0-47FF-A4F7-7571FF420246}" name="Labels" dataCellStyle="Table cell"/>
    <tableColumn id="2" xr3:uid="{69D5ADF0-E7AC-497D-949C-17575A9CFE5A}" name="Ausnet" dataDxfId="697" dataCellStyle="Table cell"/>
    <tableColumn id="3" xr3:uid="{67A4DAED-588E-4FE9-9BC6-81A483ACFE9D}" name="Citipower" dataDxfId="696" dataCellStyle="Table cell"/>
    <tableColumn id="4" xr3:uid="{DEE0DA33-879A-4CB0-B36E-4211E6462461}" name="Jemena" dataDxfId="695" dataCellStyle="Table cell"/>
    <tableColumn id="5" xr3:uid="{CB4323C2-850F-462B-967E-A38994ABFA74}" name="Powercor" dataDxfId="694" dataCellStyle="Table cell"/>
    <tableColumn id="6" xr3:uid="{B24BAD99-7BC5-48BD-B5A9-07A1D77B671B}" name="United Energy" dataDxfId="693" dataCellStyle="Table cell"/>
    <tableColumn id="7" xr3:uid="{A155A648-45F0-43A2-9EC9-85FF59A92B09}" name="Average" dataDxfId="692" dataCellStyle="Table cell">
      <calculatedColumnFormula>AVERAGE(L55:P55)</calculatedColumnFormula>
    </tableColumn>
  </tableColumns>
  <tableStyleInfo name="Default tab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519BF97D-3A97-457A-AD5A-1F1B2F823333}" name="CostStackCalcs_SME_2" displayName="CostStackCalcs_SME_2" ref="K54:Q66" totalsRowShown="0" headerRowDxfId="691" dataDxfId="689" headerRowBorderDxfId="690" tableBorderDxfId="688" totalsRowBorderDxfId="687" headerRowCellStyle="Table col heading" dataCellStyle="Table cell">
  <tableColumns count="7">
    <tableColumn id="1" xr3:uid="{85DE126A-0FE2-4B1C-B625-019439951280}" name="Labels" dataCellStyle="Table cell"/>
    <tableColumn id="2" xr3:uid="{38531A6E-F169-492D-8822-64E472D43EAC}" name="Ausnet" dataDxfId="686" dataCellStyle="Table cell"/>
    <tableColumn id="3" xr3:uid="{1C12A98E-BCD8-45DE-8B87-5CFD5B43FF28}" name="Citipower" dataDxfId="685" dataCellStyle="Table cell"/>
    <tableColumn id="4" xr3:uid="{E57EA2F1-79CF-476F-9701-22CD6B45F953}" name="Jemena" dataDxfId="684" dataCellStyle="Table cell"/>
    <tableColumn id="5" xr3:uid="{4F962B81-42E9-4ED5-BBA9-875A14D83688}" name="Powercor" dataDxfId="683" dataCellStyle="Table cell"/>
    <tableColumn id="6" xr3:uid="{0A4C89C8-96F5-45E9-82EC-B56188294725}" name="United Energy" dataDxfId="682" dataCellStyle="Table cell"/>
    <tableColumn id="7" xr3:uid="{D2F38D46-832D-4789-9AC7-885C7E6FDB78}" name="Average" dataDxfId="681" dataCellStyle="Table cell">
      <calculatedColumnFormula>AVERAGE(L55:P55)</calculatedColumnFormula>
    </tableColumn>
  </tableColumns>
  <tableStyleInfo name="Default tab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C1BC400-4863-4FA8-AD29-73144666D246}" name="CostStackCalcs_SME_1" displayName="CostStackCalcs_SME_1" ref="C54:I66" totalsRowShown="0" headerRowDxfId="680" dataDxfId="678" headerRowBorderDxfId="679" tableBorderDxfId="677" totalsRowBorderDxfId="676" headerRowCellStyle="Table col heading" dataCellStyle="Table cell">
  <tableColumns count="7">
    <tableColumn id="1" xr3:uid="{62D744BE-CCB1-41A6-BA25-77BD1CE2DFBD}" name="Labels" totalsRowDxfId="675" dataCellStyle="Table cell" totalsRowCellStyle="Table cell"/>
    <tableColumn id="2" xr3:uid="{E98BEB77-A168-4054-A046-28B589A54F85}" name="Ausnet" dataDxfId="674" totalsRowDxfId="673" dataCellStyle="Table cell" totalsRowCellStyle="Table cell"/>
    <tableColumn id="3" xr3:uid="{A850C97C-9EED-4CC3-BD74-03C00AA9F241}" name="Citipower" dataDxfId="672" totalsRowDxfId="671" dataCellStyle="Table cell" totalsRowCellStyle="Table cell"/>
    <tableColumn id="4" xr3:uid="{10C7FF96-24AC-40BF-AB34-575BD3388338}" name="Jemena" dataDxfId="670" totalsRowDxfId="669" dataCellStyle="Table cell" totalsRowCellStyle="Table cell"/>
    <tableColumn id="5" xr3:uid="{88AD3C95-42BA-44C2-8AD7-9B92C955E02B}" name="Powercor" dataDxfId="668" totalsRowDxfId="667" dataCellStyle="Table cell" totalsRowCellStyle="Table cell"/>
    <tableColumn id="6" xr3:uid="{0AAE516F-6FEB-4AA2-B87C-2A702430345E}" name="United Energy" dataDxfId="666" totalsRowDxfId="665" dataCellStyle="Table cell" totalsRowCellStyle="Table cell"/>
    <tableColumn id="7" xr3:uid="{21313896-8C89-487A-B319-CED1F8B0C401}" name="Average" dataDxfId="664" totalsRowDxfId="663" dataCellStyle="Table cell" totalsRowCellStyle="Table cell">
      <calculatedColumnFormula>AVERAGE(D55:H55)</calculatedColumnFormula>
    </tableColumn>
  </tableColumns>
  <tableStyleInfo name="Default tab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2BFC032-C67D-4F25-84A0-9FF8B4AC0657}" name="CostStackCalcs_SME_4" displayName="CostStackCalcs_SME_4" ref="K54:Q66" totalsRowShown="0" headerRowDxfId="662" dataDxfId="660" headerRowBorderDxfId="661" tableBorderDxfId="659" totalsRowBorderDxfId="658" headerRowCellStyle="Table col heading" dataCellStyle="Table cell">
  <tableColumns count="7">
    <tableColumn id="1" xr3:uid="{C835B070-4461-4876-902C-0F5AF9B162E9}" name="Labels" dataCellStyle="Table cell"/>
    <tableColumn id="2" xr3:uid="{371BE483-E9D6-481E-B785-DC8DAE679F0B}" name="Ausnet" dataDxfId="657" dataCellStyle="Table cell"/>
    <tableColumn id="3" xr3:uid="{33E94B34-FB95-4398-8BCC-6C0A1700A67E}" name="Citipower" dataDxfId="656" dataCellStyle="Table cell"/>
    <tableColumn id="4" xr3:uid="{DC5EE271-7A12-4CBF-AC05-CADD247ACBDB}" name="Jemena" dataDxfId="655" dataCellStyle="Table cell"/>
    <tableColumn id="5" xr3:uid="{D6B09DFB-9202-45D6-B441-4597B46F8633}" name="Powercor" dataDxfId="654" dataCellStyle="Table cell"/>
    <tableColumn id="6" xr3:uid="{D645039C-FAD6-4D1C-A2B0-4F5976390C80}" name="United Energy" dataDxfId="653" dataCellStyle="Table cell"/>
    <tableColumn id="7" xr3:uid="{A83BAA7E-36F8-4E56-9DAF-E656708F91D8}" name="Average" dataDxfId="652" dataCellStyle="Table cell">
      <calculatedColumnFormula>AVERAGE(L55:P55)</calculatedColumnFormula>
    </tableColumn>
  </tableColumns>
  <tableStyleInfo name="Default tab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B05DA7F-10F3-4A8F-B518-D52987D620B3}" name="CostStackCalcs_SME_3" displayName="CostStackCalcs_SME_3" ref="C54:I66" totalsRowShown="0" headerRowDxfId="651" dataDxfId="649" headerRowBorderDxfId="650" tableBorderDxfId="648" totalsRowBorderDxfId="647" headerRowCellStyle="Table col heading" dataCellStyle="Table cell">
  <tableColumns count="7">
    <tableColumn id="1" xr3:uid="{60613DCA-ED95-42F4-9892-D30B0599AA37}" name="Labels" totalsRowDxfId="646" dataCellStyle="Table cell" totalsRowCellStyle="Table cell"/>
    <tableColumn id="2" xr3:uid="{C3CD3BC5-1ABA-4CB9-9E6F-3736E283D9FF}" name="Ausnet" dataDxfId="645" totalsRowDxfId="644" dataCellStyle="Table cell" totalsRowCellStyle="Table cell"/>
    <tableColumn id="3" xr3:uid="{4101C0D8-C5AF-434F-982E-9331DFF0B217}" name="Citipower" dataDxfId="643" totalsRowDxfId="642" dataCellStyle="Table cell" totalsRowCellStyle="Table cell"/>
    <tableColumn id="4" xr3:uid="{DAFCC064-8F80-40E4-97C6-FC7417C06055}" name="Jemena" dataDxfId="641" totalsRowDxfId="640" dataCellStyle="Table cell" totalsRowCellStyle="Table cell"/>
    <tableColumn id="5" xr3:uid="{6B98F1DC-4991-487A-ADF0-094754F53DB7}" name="Powercor" dataDxfId="639" totalsRowDxfId="638" dataCellStyle="Table cell" totalsRowCellStyle="Table cell"/>
    <tableColumn id="6" xr3:uid="{943D1860-2771-4AF5-ABEC-867BE866ECC0}" name="United Energy" dataDxfId="637" totalsRowDxfId="636" dataCellStyle="Table cell" totalsRowCellStyle="Table cell"/>
    <tableColumn id="7" xr3:uid="{04A6A1AB-70F2-4618-9659-2D8DBC5BEF1A}" name="Average" dataDxfId="635" totalsRowDxfId="634" dataCellStyle="Table cell" totalsRowCellStyle="Table cell">
      <calculatedColumnFormula>AVERAGE(D55:H55)</calculatedColumnFormula>
    </tableColumn>
  </tableColumns>
  <tableStyleInfo name="Default tab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0CA320-6B21-4206-97D5-A5D7F802DD0F}" name="Input_ForRateCalc" displayName="Input_ForRateCalc" ref="C17:AC141" totalsRowShown="0" headerRowDxfId="633" dataDxfId="632" tableBorderDxfId="631" totalsRowBorderDxfId="630" headerRowCellStyle="Table col heading" dataCellStyle="Table cell">
  <autoFilter ref="C17:AC141" xr:uid="{EF0CA320-6B21-4206-97D5-A5D7F802DD0F}"/>
  <tableColumns count="27">
    <tableColumn id="1" xr3:uid="{6FF7576B-C0F4-4642-91C7-CDE91D19F3FC}" name="Cost element" dataDxfId="629" dataCellStyle="Table cell"/>
    <tableColumn id="2" xr3:uid="{3E9E5691-2790-4800-A001-FB9B30AEDE59}" name="Cost item" dataDxfId="628" dataCellStyle="Table cell"/>
    <tableColumn id="3" xr3:uid="{54D809A2-64C6-4A88-80A0-2E0B0AA01C18}" name="Fixed/Variable" dataDxfId="627" dataCellStyle="Table cell"/>
    <tableColumn id="4" xr3:uid="{FB95BD42-C055-4EA9-8F55-291F37426B18}" name="Unit" dataDxfId="626" dataCellStyle="Table cell"/>
    <tableColumn id="12" xr3:uid="{5E2B3B73-6771-45B4-82B8-0AA35BD8F705}" name="Customer type" dataDxfId="625" dataCellStyle="Table cell"/>
    <tableColumn id="6" xr3:uid="{DF24FCA2-F0DF-4144-8F1B-F3129138F4F5}" name="F-PreviousVDO_InputDate" dataDxfId="624" dataCellStyle="Hard-coded"/>
    <tableColumn id="7" xr3:uid="{FEEE9B98-F1B9-4BCE-9D75-0B157C256B9D}" name="F-PreviousVDO_Input" dataDxfId="623" dataCellStyle="Hard-coded"/>
    <tableColumn id="15" xr3:uid="{6D1A57CC-2A5F-4FB3-AF79-9C864D73D509}" name="VD-PreviousVDO_InputDate" dataDxfId="622" dataCellStyle="Hard-coded"/>
    <tableColumn id="5" xr3:uid="{6D90D13D-7691-408E-920D-28F33BBC643F}" name="VD-PreviousVDO_Input" dataDxfId="621" dataCellStyle="Hard-coded"/>
    <tableColumn id="8" xr3:uid="{BB001EDA-14C6-46F4-A3C8-E04970BC08B1}" name="VF-PreviousVDO_InputDate" dataDxfId="620" dataCellStyle="Input"/>
    <tableColumn id="9" xr3:uid="{302B1A04-0D91-4254-A1B4-2AB36404D5F0}" name="VF-PreviousVDO_Input" dataDxfId="619" dataCellStyle="Input"/>
    <tableColumn id="10" xr3:uid="{2436021E-5060-4C27-B7E4-385ED60FB6EE}" name="D-PreviousVDO_InputDate" dataDxfId="618" dataCellStyle="Input"/>
    <tableColumn id="11" xr3:uid="{43EE2DE0-3DFA-4DE9-ADDA-BFF46482A280}" name="D-PreviousVDO_Input" dataDxfId="617" dataCellStyle="Input"/>
    <tableColumn id="13" xr3:uid="{B112B93D-14AA-4188-8F83-F4632E3F87B4}" name="F-PreviousVDO_InputDate2" dataDxfId="616" dataCellStyle="Input"/>
    <tableColumn id="14" xr3:uid="{A72BF82C-154B-4AC9-94D3-5ABCF1780432}" name="F-PreviousVDO_Input2" dataDxfId="615" dataCellStyle="Input"/>
    <tableColumn id="16" xr3:uid="{C3200C27-3D9E-40EE-91BB-A7D148D90B40}" name="D-PreviousVDO_InputDate2" dataDxfId="614" dataCellStyle="Input"/>
    <tableColumn id="17" xr3:uid="{02D71021-0274-4B3D-BF3C-EA419DDC2411}" name="D-PreviousVDO_Input2" dataDxfId="613" dataCellStyle="Input"/>
    <tableColumn id="18" xr3:uid="{EF0422F6-3FE3-472A-AA92-DA9E94E9F107}" name="F-PreviousVDO_InputDate3" dataDxfId="612" dataCellStyle="Input"/>
    <tableColumn id="19" xr3:uid="{FBD0015D-FE84-47B9-986B-16AB073C36A1}" name="F-PreviousVDO_Input3" dataDxfId="611" dataCellStyle="Input"/>
    <tableColumn id="20" xr3:uid="{DA5E7DBB-575E-45FB-8A80-D2F4868AF00B}" name="D-CurrentVDO_InputDate" dataDxfId="610" dataCellStyle="Input"/>
    <tableColumn id="21" xr3:uid="{298A0794-4500-42AF-8E90-132C2B9F6D02}" name="D-CurrentVDO_Input" dataDxfId="609" dataCellStyle="Input"/>
    <tableColumn id="22" xr3:uid="{04B9D19D-D3C3-4ADB-8452-B7B66C1BF2FE}" name="F-CurrentVDO_InputDate" dataDxfId="608" dataCellStyle="Input"/>
    <tableColumn id="23" xr3:uid="{E0C3FDC7-6168-47C0-8A8D-D645C4F64871}" name="F-CurrentVDO_Input" dataDxfId="607" dataCellStyle="Input"/>
    <tableColumn id="26" xr3:uid="{AFE26890-8D99-4C89-8BDD-DB4C04166607}" name="D-NextVDO_InputDate" dataDxfId="606" dataCellStyle="Input"/>
    <tableColumn id="25" xr3:uid="{1D603D0A-AF1C-4447-B74A-FBCBD62C4C4B}" name="D-NextVDO_Input" dataDxfId="605" dataCellStyle="Input"/>
    <tableColumn id="28" xr3:uid="{3EFC7705-6E6A-496F-89D9-01FA1AEB3B6B}" name="F-NextVDO_InputDate" dataDxfId="604" dataCellStyle="Input">
      <calculatedColumnFormula>Input_ForRateCalc[[#This Row],[D-NextVDO_InputDate]]</calculatedColumnFormula>
    </tableColumn>
    <tableColumn id="27" xr3:uid="{D87453A7-A108-41DD-BF71-ADEB72F38555}" name="F-NextVDO_Input" dataDxfId="603" dataCellStyle="Input"/>
  </tableColumns>
  <tableStyleInfo name="Default tab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E96751-A1E6-4DEE-B2B9-0F040E8F63EF}" name="Input_Usage" displayName="Input_Usage" ref="C149:R186" totalsRowShown="0" headerRowDxfId="602" dataDxfId="600" headerRowBorderDxfId="601" tableBorderDxfId="599" headerRowCellStyle="Table col heading">
  <autoFilter ref="C149:R186" xr:uid="{A8CBA6DB-0725-4AA8-918D-36864191E63C}"/>
  <tableColumns count="16">
    <tableColumn id="1" xr3:uid="{59724C2C-A166-49CF-BDB5-A76DD8676FC3}" name="Profile name" dataDxfId="598" dataCellStyle="Table cell"/>
    <tableColumn id="2" xr3:uid="{62ED141C-4F5B-422D-B430-A67E0474CA3D}" name="Usage type" dataDxfId="597" dataCellStyle="Table cell"/>
    <tableColumn id="3" xr3:uid="{07131193-CC4C-4576-890F-C94EB38C9100}" name="Ref" dataDxfId="596" dataCellStyle="Table cell">
      <calculatedColumnFormula>Input_Usage[[#This Row],[Profile name]]&amp;" - "&amp;Input_Usage[[#This Row],[Usage type]]</calculatedColumnFormula>
    </tableColumn>
    <tableColumn id="8" xr3:uid="{16817664-CDEB-415C-99EE-275702065598}" name="Customer type" dataDxfId="595" dataCellStyle="Table cell"/>
    <tableColumn id="6" xr3:uid="{F4B24122-E533-4718-A2AE-9A2459EEEC0D}" name="Tariff type" dataDxfId="594" dataCellStyle="Table cell"/>
    <tableColumn id="9" xr3:uid="{6CDD316C-3B29-4CEC-9CCD-D147749461C1}" name="F-PreviousVDO_Input" dataDxfId="593" dataCellStyle="Hard-coded"/>
    <tableColumn id="5" xr3:uid="{C361A281-3CA0-4144-918C-AEA2C11D4EB2}" name="VD-PreviousVDO_Input" dataDxfId="592" dataCellStyle="Input"/>
    <tableColumn id="10" xr3:uid="{2410741E-5CE5-456C-A356-652B30948C54}" name="VF-PreviousVDO_Input" dataDxfId="591" dataCellStyle="Input"/>
    <tableColumn id="11" xr3:uid="{F7854B3F-CA63-497E-B7DD-24F6A26E4662}" name="D-PreviousVDO_Input" dataDxfId="590" dataCellStyle="Input"/>
    <tableColumn id="12" xr3:uid="{CA8A5057-1374-4829-9D1E-D3E16BD46339}" name="F-PreviousVDO_Input2" dataDxfId="589" dataCellStyle="Input"/>
    <tableColumn id="7" xr3:uid="{C01DDC59-A45A-4996-B136-A6B979D84972}" name="D-PreviousVDO_Input2" dataDxfId="588" dataCellStyle="Input"/>
    <tableColumn id="13" xr3:uid="{976C8AB7-C3C5-46DE-B8C1-C998755F48D8}" name="F-PreviousVDO_Input3" dataDxfId="587" dataCellStyle="Input"/>
    <tableColumn id="14" xr3:uid="{D272C3B0-FBF9-40DA-B6C7-62B1121A774A}" name="D-CurrentVDO_Input" dataDxfId="586" dataCellStyle="Input"/>
    <tableColumn id="15" xr3:uid="{8BD9FB8E-6A4F-46F1-B465-894946B36C55}" name="F-CurrentVDO_Input" dataDxfId="585" dataCellStyle="Input"/>
    <tableColumn id="16" xr3:uid="{D4BCAC32-D5E7-4DA8-A2CB-65BD64DF8E62}" name="D-NextVDO_Input" dataDxfId="584" dataCellStyle="Input"/>
    <tableColumn id="17" xr3:uid="{30B9DDC8-D3C4-4B4F-9471-E94025DBCBF7}" name="F-NextVDO_Input" dataDxfId="583" dataCellStyle="Input"/>
  </tableColumns>
  <tableStyleInfo name="Default tab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642B58B-E9F1-491B-8349-034E16DC1DC1}" name="Input_TUEnv_Actual" displayName="Input_TUEnv_Actual" ref="C193:R199" totalsRowShown="0" headerRowDxfId="582" dataDxfId="580" headerRowBorderDxfId="581" tableBorderDxfId="579" headerRowCellStyle="Table col heading">
  <tableColumns count="16">
    <tableColumn id="2" xr3:uid="{C2979B50-E72C-4905-B762-B1FBD0FC7D84}" name="Cost element" dataDxfId="578" dataCellStyle="Table cell"/>
    <tableColumn id="1" xr3:uid="{7606E00A-72BB-46DC-B82D-8B19AE194ECC}" name="Cost item" dataDxfId="577" dataCellStyle="Table cell"/>
    <tableColumn id="3" xr3:uid="{FB39537C-58C4-45FA-AE28-8587403EDED7}" name="Fixed/Variable" dataDxfId="576" dataCellStyle="Table cell"/>
    <tableColumn id="4" xr3:uid="{37BADC74-6350-4579-AA1C-AA157FB39315}" name="Unit" dataDxfId="575" dataCellStyle="Table cell"/>
    <tableColumn id="7" xr3:uid="{9AD583A2-1E35-44CE-8B8E-BFB97CF15160}" name="Customer type" dataDxfId="574" dataCellStyle="Table cell"/>
    <tableColumn id="10" xr3:uid="{91C3BF11-950D-4602-BB8A-7802100863A1}" name="F-PreviousVDO_Input" dataDxfId="573" dataCellStyle="Input"/>
    <tableColumn id="5" xr3:uid="{7C467E70-DBCE-4B3B-9E84-9672A5BB6AB5}" name="VD-PreviousVDO_Input" dataDxfId="572" dataCellStyle="Input"/>
    <tableColumn id="6" xr3:uid="{B4F80362-EB75-43DD-B60D-B5C1D9FC2436}" name="VF-PreviousVDO_Input" dataDxfId="571" dataCellStyle="Input"/>
    <tableColumn id="8" xr3:uid="{B9E9AE44-0D3C-445F-A128-E99F54F5ABB6}" name="D-PreviousVDO_Input" dataDxfId="570" dataCellStyle="Input"/>
    <tableColumn id="9" xr3:uid="{9E2ECB50-146D-4C5C-91ED-CC4439548BF4}" name="F-PreviousVDO_Input2" dataDxfId="569" dataCellStyle="Input"/>
    <tableColumn id="12" xr3:uid="{6F7733AE-138E-44CF-B1A0-BFC1AB0FAF0D}" name="D-PreviousVDO_Input2" dataDxfId="568" dataCellStyle="Input"/>
    <tableColumn id="13" xr3:uid="{C1FBE4D8-13D1-41FD-8772-4A1C908157C5}" name="F-PreviousVDO_Input3" dataDxfId="567" dataCellStyle="Input"/>
    <tableColumn id="14" xr3:uid="{94E3EB60-64D2-4E27-BEB3-DABF613C5A5C}" name="D-CurrentVDO_Input" dataDxfId="566" dataCellStyle="Input"/>
    <tableColumn id="15" xr3:uid="{A7A9FD3E-8FD4-45D1-BA2C-FB33EC145E7C}" name="F-CurrentVDO_Input" dataDxfId="565" dataCellStyle="Input"/>
    <tableColumn id="16" xr3:uid="{D15C0BB4-88E7-4AFE-A4F1-512507E49F84}" name="D-NextVDO_Input" dataDxfId="564" dataCellStyle="Input">
      <calculatedColumnFormula>INDEX(Input_ForRateCalc[],MATCH(Input_TUEnv_Actual[[#This Row],[Cost item]],Input_ForRateCalc[Cost item],0),MATCH(Q$191,$C$15:$AA$15,0))</calculatedColumnFormula>
    </tableColumn>
    <tableColumn id="17" xr3:uid="{7EA0DE3D-42F7-415A-BB41-5ED37A030AD8}" name="F-NextVDO_Input" dataDxfId="563" dataCellStyle="Input">
      <calculatedColumnFormula>Input_TUEnv_Actual[[#This Row],[D-NextVDO_Input]]</calculatedColumnFormula>
    </tableColumn>
  </tableColumns>
  <tableStyleInfo name="Default tab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15BD5932-7FB5-4CCD-B50A-1852C0628C64}" name="Input_DecisionActual" displayName="Input_DecisionActual" ref="C222:E233" totalsRowShown="0" headerRowDxfId="562" dataDxfId="560" headerRowBorderDxfId="561" tableBorderDxfId="559" totalsRowBorderDxfId="558">
  <tableColumns count="3">
    <tableColumn id="1" xr3:uid="{5AFC207A-A190-4EF0-9F07-F0B6DD207690}" name="VDO period" dataDxfId="557" dataCellStyle="Hard-coded"/>
    <tableColumn id="2" xr3:uid="{BA40EB1C-8734-45B1-BEF3-B4AAB668727E}" name="Actual" dataDxfId="556" dataCellStyle="Hard-coded"/>
    <tableColumn id="3" xr3:uid="{EC536779-C89D-4795-9638-A578F8187C0C}" name="Decision" dataDxfId="555" dataCellStyle="Hard-coded"/>
  </tableColumns>
  <tableStyleInfo name="Default tab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C5B26F8-6641-412E-849B-B69FADA0CDB5}" name="Input_TU_Periods" displayName="Input_TU_Periods" ref="C205:AC207" totalsRowShown="0" headerRowDxfId="554" dataDxfId="552" headerRowBorderDxfId="553" tableBorderDxfId="551" headerRowCellStyle="Table col heading">
  <tableColumns count="27">
    <tableColumn id="12" xr3:uid="{4A8F5994-E48F-4F05-BD7D-C9B3555EBC97}" name="Item" dataDxfId="550" dataCellStyle="Table cell"/>
    <tableColumn id="1" xr3:uid="{8FCB2327-57E7-4735-A4C5-C5DE9A2465D7}" name="Item2" dataDxfId="549" dataCellStyle="Table cell"/>
    <tableColumn id="2" xr3:uid="{B9AC8812-3C0A-4350-A58B-47B777CCB01C}" name="Unit" dataDxfId="548" dataCellStyle="Table cell"/>
    <tableColumn id="27" xr3:uid="{80E2A97F-186B-4A39-8C8F-0EA6E6885532}" name="[blank]" dataDxfId="547" dataCellStyle="Table cell"/>
    <tableColumn id="26" xr3:uid="{E54E876A-401D-4B58-8F47-4B1B68233A73}" name="[blank]2" dataDxfId="546" dataCellStyle="Table cell"/>
    <tableColumn id="25" xr3:uid="{1B2A8C11-A07E-4433-A3E3-E4CFE7DA0D75}" name="[blank]3" dataDxfId="545" dataCellStyle="Hard-coded"/>
    <tableColumn id="3" xr3:uid="{0345C767-3ED1-4D4E-A3EA-93A995889499}" name="F-PreviousVDO_Input" dataDxfId="544" dataCellStyle="Input"/>
    <tableColumn id="15" xr3:uid="{439E214C-9EEC-4D77-83BC-B13536AA6603}" name="[blank]4" dataDxfId="543" dataCellStyle="Input"/>
    <tableColumn id="4" xr3:uid="{46CC919D-E1F1-4AF2-AB8B-2719E145382B}" name="VD-PreviousVDO_Input" dataDxfId="542" dataCellStyle="Input"/>
    <tableColumn id="16" xr3:uid="{46A62703-196D-48D2-B5CE-AA3A32629676}" name="[blank]5" dataDxfId="541" dataCellStyle="Input"/>
    <tableColumn id="5" xr3:uid="{EB10D9F4-15DC-43A5-9786-20AB218AB079}" name="VF-PreviousVDO_Input" dataDxfId="540" dataCellStyle="Input"/>
    <tableColumn id="17" xr3:uid="{961C1FEF-F004-4124-8BDC-8B7F55B02666}" name="[blank]6" dataDxfId="539" dataCellStyle="Input"/>
    <tableColumn id="6" xr3:uid="{84360244-BED1-48A8-9B1E-452A67AB9B79}" name="D-PreviousVDO_Input" dataDxfId="538" dataCellStyle="Input"/>
    <tableColumn id="18" xr3:uid="{BDBD9C6D-D8B0-46FB-8A0C-E96DD834FE7E}" name="[blank]7" dataDxfId="537" dataCellStyle="Input"/>
    <tableColumn id="7" xr3:uid="{254EE791-2BB6-4600-A16D-B6C42632EC43}" name="F-PreviousVDO_Input2" dataDxfId="536" dataCellStyle="Input"/>
    <tableColumn id="19" xr3:uid="{7FB1E33D-76D0-4D1B-9AC9-7F24A52EBFA1}" name="[blank]8" dataDxfId="535" dataCellStyle="Input"/>
    <tableColumn id="8" xr3:uid="{2ADFBA22-2281-4A62-A379-A89015C8DD9C}" name="D-PreviousVDO_Input2" dataDxfId="534" dataCellStyle="Input"/>
    <tableColumn id="20" xr3:uid="{5C1EA508-D4F7-4A31-84B9-FBDD309A8FE6}" name="[blank]9" dataDxfId="533" dataCellStyle="Input"/>
    <tableColumn id="9" xr3:uid="{D712A1E2-F321-4116-9B42-8E12F26089FB}" name="F-PreviousVDO_Input3" dataDxfId="532" dataCellStyle="Input"/>
    <tableColumn id="21" xr3:uid="{77DDC558-DD9B-460D-8E21-BA1865DA822C}" name="[blank]10" dataDxfId="531" dataCellStyle="Input"/>
    <tableColumn id="10" xr3:uid="{8A7D08F3-BFB1-47BB-8712-809C908D992D}" name="D-CurrentVDO_Input" dataDxfId="530" dataCellStyle="Input"/>
    <tableColumn id="22" xr3:uid="{E7D15C40-F465-4C4F-B282-7C5EC7870E49}" name="[blank]11" dataDxfId="529" dataCellStyle="Input"/>
    <tableColumn id="11" xr3:uid="{2A253BF2-2A19-47D4-9CB9-D617D24C195B}" name="F-CurrentVDO_Input" dataDxfId="528" dataCellStyle="Input"/>
    <tableColumn id="23" xr3:uid="{0A1D7B86-B1F8-4336-A2E4-B0DC3302EA11}" name="[blank]12" dataDxfId="527" dataCellStyle="Input"/>
    <tableColumn id="13" xr3:uid="{B83088F8-C4B4-4396-98FB-923FA0A6D841}" name="D-NextVDO_Input" dataDxfId="526" dataCellStyle="Input"/>
    <tableColumn id="24" xr3:uid="{91A4D76A-307D-4C03-A2CF-B45B6492C116}" name="[blank]13" dataDxfId="525" dataCellStyle="Input"/>
    <tableColumn id="14" xr3:uid="{22A6B960-1215-4350-BE64-62B77B1FA8A1}" name="F-NextVDO_Input" dataDxfId="524" dataCellStyle="Input"/>
  </tableColumns>
  <tableStyleInfo name="Default tab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ABCDFCA7-C9BC-4264-B4D0-8CDF4236827C}" name="Year_IN" displayName="Year_IN" ref="C8:G10" totalsRowShown="0" headerRowDxfId="523" dataDxfId="522" tableBorderDxfId="521" headerRowCellStyle="Table col heading">
  <autoFilter ref="C8:G10" xr:uid="{ABCDFCA7-C9BC-4264-B4D0-8CDF4236827C}"/>
  <tableColumns count="5">
    <tableColumn id="1" xr3:uid="{A9633572-9E28-4C25-9B18-02C08596C210}" name="Description" dataDxfId="520"/>
    <tableColumn id="2" xr3:uid="{5C540F41-9553-4798-845D-6210A635C5FB}" name="Period type" dataDxfId="519"/>
    <tableColumn id="3" xr3:uid="{A3523E80-6276-4279-8D57-27D44C5AA6F0}" name="Decision" dataDxfId="518" dataCellStyle="Input"/>
    <tableColumn id="4" xr3:uid="{D48C9739-1753-4EE7-8E60-1D179D803DD8}" name="Start date" dataDxfId="517" dataCellStyle="Input"/>
    <tableColumn id="5" xr3:uid="{632E9A14-BCCC-4DE7-8152-FA63855EFDE4}" name="End date" dataDxfId="516" dataCellStyle="Input"/>
  </tableColumns>
  <tableStyleInfo name="Default tab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355DAC7-8CE5-463B-8A69-8656BA62ECB1}" name="Input_TU_YesNo" displayName="Input_TU_YesNo" ref="C212:AC219" totalsRowShown="0" headerRowDxfId="515" dataDxfId="513" headerRowBorderDxfId="514" tableBorderDxfId="512" totalsRowBorderDxfId="511">
  <autoFilter ref="C212:AC219" xr:uid="{C355DAC7-8CE5-463B-8A69-8656BA62ECB1}"/>
  <tableColumns count="27">
    <tableColumn id="1" xr3:uid="{D8CB4137-94C1-4F0B-8FDD-EE1A3B14420B}" name="Cost element" dataDxfId="510" dataCellStyle="Table cell"/>
    <tableColumn id="2" xr3:uid="{4713FF6C-D02E-4877-B6B4-B113B5B7D111}" name="Component" dataDxfId="509" dataCellStyle="Table cell"/>
    <tableColumn id="3" xr3:uid="{2F836FB7-256A-4043-9402-47BB4A54C3CD}" name="[blank]" dataDxfId="508" dataCellStyle="Table cell"/>
    <tableColumn id="17" xr3:uid="{9586C87A-8453-405D-8D94-21868D8D8FD8}" name="[blank]2" dataDxfId="507" dataCellStyle="Table cell"/>
    <tableColumn id="16" xr3:uid="{6D8334EA-2D51-42C5-BCEF-B1D4F301BB49}" name="[blank]3" dataDxfId="506" dataCellStyle="Table cell"/>
    <tableColumn id="15" xr3:uid="{4A700BD8-4BCD-4C6E-8A42-649D555F1DA9}" name="[blank]4" dataDxfId="505" dataCellStyle="Hard-coded"/>
    <tableColumn id="4" xr3:uid="{FC30291C-B2EC-4295-AB4C-A7A4F56E4E86}" name="F-PreviousVDO_Input" dataDxfId="504" dataCellStyle="Input"/>
    <tableColumn id="18" xr3:uid="{B261ECA7-7752-425F-ABA3-D2064DAA6842}" name="[blank]5" dataDxfId="503" dataCellStyle="Input"/>
    <tableColumn id="5" xr3:uid="{5E8626D2-AB2C-4060-BB4B-7A776EB8F027}" name="VD-PreviousVDO_Input" dataDxfId="502" dataCellStyle="Input"/>
    <tableColumn id="19" xr3:uid="{08326EC5-A024-42CF-863D-60A855CF3FEA}" name="[blank]6" dataDxfId="501" dataCellStyle="Input"/>
    <tableColumn id="6" xr3:uid="{5681205C-007D-4AEF-BB96-39C72D1A51D2}" name="VF-PreviousVDO_Input" dataDxfId="500" dataCellStyle="Input"/>
    <tableColumn id="20" xr3:uid="{CC2450A9-D99F-460F-96BC-2620C3E859FD}" name="[blank]7" dataDxfId="499" dataCellStyle="Input"/>
    <tableColumn id="7" xr3:uid="{C06B0BB8-A8F4-464D-907A-B9E4BC393805}" name="D-PreviousVDO_Input" dataDxfId="498" dataCellStyle="Input"/>
    <tableColumn id="21" xr3:uid="{D7528D32-5AC5-44B3-8CA7-C1C5972EE063}" name="[blank]8" dataDxfId="497" dataCellStyle="Input"/>
    <tableColumn id="8" xr3:uid="{01D7B7AA-26F1-4847-8A6D-11C985991A5C}" name="F-PreviousVDO_Input2" dataDxfId="496" dataCellStyle="Input"/>
    <tableColumn id="22" xr3:uid="{85B1F1AA-F539-4BE3-BBEE-3C59B6C753A5}" name="[blank]9" dataDxfId="495" dataCellStyle="Input"/>
    <tableColumn id="9" xr3:uid="{FEB941AC-0BDD-47DF-861F-CEA9DA84176B}" name="D-PreviousVDO_Input2" dataDxfId="494" dataCellStyle="Input"/>
    <tableColumn id="23" xr3:uid="{7C2A9E91-6D6B-4C83-9C46-425004B29789}" name="[blank]10" dataDxfId="493" dataCellStyle="Input"/>
    <tableColumn id="10" xr3:uid="{8EF24A7A-4A70-480A-84A7-C52BB8418505}" name="F-PreviousVDO_Input3" dataDxfId="492" dataCellStyle="Input"/>
    <tableColumn id="24" xr3:uid="{8DBAEC19-FEB5-4C43-9B5C-AB68873D729A}" name="[blank]11" dataDxfId="491" dataCellStyle="Input"/>
    <tableColumn id="11" xr3:uid="{9D57F16E-D1C0-4734-A8E6-725611069D92}" name="D-CurrentVDO_Input" dataDxfId="490" dataCellStyle="Input"/>
    <tableColumn id="25" xr3:uid="{D3C51D6E-985B-4861-A8A7-BDDCF24EA23F}" name="[blank]12" dataDxfId="489" dataCellStyle="Input"/>
    <tableColumn id="12" xr3:uid="{145EEE36-7755-4145-B615-67F03062FF26}" name="F-CurrentVDO_Input" dataDxfId="488" dataCellStyle="Input"/>
    <tableColumn id="26" xr3:uid="{84B238C9-7C2A-4050-8E0C-21D32F897F9C}" name="[blank]13" dataDxfId="487" dataCellStyle="Input"/>
    <tableColumn id="13" xr3:uid="{85658039-E169-4A68-9D96-4D4CDE03111A}" name="D-NextVDO_Input" dataDxfId="486" dataCellStyle="Input"/>
    <tableColumn id="27" xr3:uid="{A81A4F97-F5D7-49D3-8E74-5D4B678EF941}" name="[blank]14" dataDxfId="485" dataCellStyle="Input"/>
    <tableColumn id="14" xr3:uid="{FC44ACEE-294A-4C39-9005-16805E52B063}" name="F-NextVDO_Input" dataDxfId="484" dataCellStyle="Input"/>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904957F-79CC-4A0B-9F3C-7ED44B133D9D}" name="VDOdecisions" displayName="VDOdecisions" ref="C30:D35" tableType="queryTable" totalsRowShown="0" headerRowDxfId="483" dataDxfId="482" dataCellStyle="Auto-populated">
  <tableColumns count="2">
    <tableColumn id="1" xr3:uid="{E095E8C5-EFB3-403E-AA31-BE5930A54881}" uniqueName="1" name="VDO decision" queryTableFieldId="1" dataDxfId="481" dataCellStyle="Auto-populated"/>
    <tableColumn id="2" xr3:uid="{2FB823D1-94AB-43A2-9393-44A217C3B50C}" uniqueName="2" name="Index" queryTableFieldId="2" dataDxfId="480" dataCellStyle="Auto-populated"/>
  </tableColumns>
  <tableStyleInfo name="Default tab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D37C0D-F81D-404D-9D4D-999445A3BF5F}" name="CPI" displayName="CPI" ref="C30:D78" totalsRowShown="0" headerRowDxfId="479" dataDxfId="477" headerRowBorderDxfId="478" tableBorderDxfId="476">
  <tableColumns count="2">
    <tableColumn id="1" xr3:uid="{9AA9E4FD-AEA6-406E-B536-E0A3240360A5}" name="Period" dataDxfId="475" dataCellStyle="Table cell"/>
    <tableColumn id="3" xr3:uid="{9BE9725C-E6DE-44E0-8817-4E84A297FEDC}" name="Indice" dataDxfId="474" dataCellStyle="Input"/>
  </tableColumns>
  <tableStyleInfo name="Default tab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D98B252-0493-456C-9FF8-D3A3C4E4B6C1}" name="Input_CPI" displayName="Input_CPI" ref="C7:E21" totalsRowShown="0" headerRowDxfId="473" dataDxfId="471" headerRowBorderDxfId="472" tableBorderDxfId="470">
  <tableColumns count="3">
    <tableColumn id="1" xr3:uid="{E8446AF5-A1A4-4342-A74F-83AC0A1E0759}" name="Decision paper" dataDxfId="469" dataCellStyle="Table cell"/>
    <tableColumn id="2" xr3:uid="{59E16007-75E9-4AF1-B2EE-5F57503967A5}" name="Date" dataDxfId="468" dataCellStyle="Hard-coded"/>
    <tableColumn id="3" xr3:uid="{B00403BA-623F-461C-A57F-1A628BADCABC}" name="Indice" dataDxfId="467" dataCellStyle="Auto-populated">
      <calculatedColumnFormula>IFERROR(INDEX(CPI[Indice],MATCH(D8,CPI[Period],0),1),"-")</calculatedColumnFormula>
    </tableColumn>
  </tableColumns>
  <tableStyleInfo name="Default tab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89C9C582-8686-4E87-8AEB-A24AEF036B26}" name="Input_CostItemCPI" displayName="Input_CostItemCPI" ref="C83:N99" totalsRowShown="0" headerRowDxfId="466" dataDxfId="465">
  <tableColumns count="12">
    <tableColumn id="1" xr3:uid="{0D014813-4592-4A76-9F85-7E31C35F5F07}" name="Cost item" dataDxfId="464"/>
    <tableColumn id="2" xr3:uid="{43EA9C8A-818D-4C08-B5BB-65B2A872736C}" name="VDO 2021 - Final" dataDxfId="463" dataCellStyle="Input"/>
    <tableColumn id="3" xr3:uid="{D576BC92-5639-4C2B-89E7-C1A9D3C71B8B}" name="VDO 2021 - Variation draft" dataDxfId="462" dataCellStyle="Input"/>
    <tableColumn id="4" xr3:uid="{CB4AA906-4EC4-4ECA-BEED-A4D88472738A}" name="VDO 2021 - Variation final" dataDxfId="461" dataCellStyle="Input"/>
    <tableColumn id="5" xr3:uid="{9C198365-D838-4E7C-8732-383A5C0B4BC2}" name="VDO 2022 - Draft" dataDxfId="460" dataCellStyle="Input"/>
    <tableColumn id="6" xr3:uid="{42D201D9-C45B-416B-9904-1345845CA9AA}" name="VDO 2022 - Final" dataDxfId="459" dataCellStyle="Input"/>
    <tableColumn id="7" xr3:uid="{DAC0FFD0-79FB-42CE-9275-CB0712C0D7E2}" name="VDO 2022-23 - Draft" dataDxfId="458" dataCellStyle="Input"/>
    <tableColumn id="8" xr3:uid="{BE6F0D71-6FFB-4DF9-A322-B20C81A650EE}" name="VDO 2022-23 - Final" dataDxfId="457" dataCellStyle="Input"/>
    <tableColumn id="9" xr3:uid="{AC2E8093-5F0C-40B5-B193-5B40228DB2EF}" name="VDO 2023-24 - Draft" dataDxfId="456" dataCellStyle="Input"/>
    <tableColumn id="10" xr3:uid="{882ED173-DAA0-4C31-81D6-EC9865415F76}" name="VDO 2023-24 - Final" dataDxfId="455" dataCellStyle="Input"/>
    <tableColumn id="11" xr3:uid="{D9699B1A-A892-4562-84F8-A016147D7629}" name="VDO 2024-25 - Draft" dataDxfId="454" dataCellStyle="Input"/>
    <tableColumn id="12" xr3:uid="{18D73D59-15CC-4F15-9978-A0549929C00E}" name="VDO 2024-25 - Final" dataDxfId="453" dataCellStyle="Input"/>
  </tableColumns>
  <tableStyleInfo name="Default tab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CBD1385-BA07-4257-AD3D-3DA1CE15C89E}" name="Calc_CPI_1" displayName="Calc_CPI_1" ref="C148:I164" totalsRowShown="0" headerRowDxfId="452" headerRowBorderDxfId="451" tableBorderDxfId="450" headerRowCellStyle="Table col heading">
  <tableColumns count="7">
    <tableColumn id="1" xr3:uid="{8FC9CF68-E2DE-41D4-BB17-02577ACDFB50}" name="Cost item"/>
    <tableColumn id="3" xr3:uid="{FD52015C-7518-4114-9F0A-46942F5E409F}" name="Fixed/Variable" dataDxfId="449"/>
    <tableColumn id="10" xr3:uid="{237959CA-5760-4248-AC5A-20B45DB2CF50}" name="Unit" dataCellStyle="Table cell">
      <calculatedColumnFormula>INDEX(Input_ForRateCalc[Unit],MATCH(Calc_CPI_1[[#This Row],[Cost item]]&amp;" - base",Input_ForRateCalc[Cost item],0),1)</calculatedColumnFormula>
    </tableColumn>
    <tableColumn id="11" xr3:uid="{2F9D72AB-FD23-4CC4-8DF0-B118FF0D332F}" name="Customer type" dataDxfId="448" dataCellStyle="Table cell"/>
    <tableColumn id="2" xr3:uid="{ABF6348D-5120-4300-B5BD-4B7E3A2B2B25}" name="Adjust?" dataDxfId="447" dataCellStyle="Table cell">
      <calculatedColumnFormula>INDEX(Input_CostItemCPI[],MATCH(Calc_CPI_1[[#This Row],[Cost item]],Input_CostItemCPI[Cost item],0),MATCH($D$5,Input_CostItemCPI[#Headers],0))</calculatedColumnFormula>
    </tableColumn>
    <tableColumn id="4" xr3:uid="{471ED95C-B937-4145-872E-8E97F45D2329}" name="CPI increase" dataDxfId="446" dataCellStyle="Calculation">
      <calculatedColumnFormula array="1">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date",Inputs!C$15:Y$15,0)),
CPI[Period],0),1),"-"))</calculatedColumnFormula>
    </tableColumn>
    <tableColumn id="5" xr3:uid="{6CF381C8-E2E9-44F3-9929-828496EBF384}" name="CPI uplift factor" dataDxfId="445" dataCellStyle="Calculation">
      <calculatedColumnFormula array="1">IFERROR((H149)*
INDEX(Input_ForRateCalc[],MATCH(Calc_CPI_1[[#This Row],[Cost item]:[Cost item]],Input_ForRateCalc[Cost item],0),MATCH($D$5,Inputs!$C$15:$AZ$15,0)),"-")</calculatedColumnFormula>
    </tableColumn>
  </tableColumns>
  <tableStyleInfo name="Default tab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04FAC06-3F6E-4512-BD9F-BAE6C54835E0}" name="Calc_Losses_1" displayName="Calc_Losses_1" ref="C167:K170" totalsRowShown="0" headerRowDxfId="444" headerRowBorderDxfId="443" tableBorderDxfId="442" headerRowCellStyle="Table col heading">
  <tableColumns count="9">
    <tableColumn id="1" xr3:uid="{10E55798-D969-4AA2-BE00-AAA77545944C}" name="Cost item"/>
    <tableColumn id="2" xr3:uid="{FEC04519-0B8D-4C04-8E79-9C2F2427947B}" name="Fixed/Variable"/>
    <tableColumn id="3" xr3:uid="{E3235E90-DD2F-4943-ADA4-D518E8138171}" name="Unit"/>
    <tableColumn id="9" xr3:uid="{66C6BD50-A578-4CF8-B8DB-BF3F050B98C7}" name="Customer type" dataDxfId="441" dataCellStyle="Table cell"/>
    <tableColumn id="4" xr3:uid="{A55B248B-2052-4BF2-80F1-7509C3DD67E6}" name="Ausnet" dataDxfId="440"/>
    <tableColumn id="5" xr3:uid="{1749CA31-EE62-4522-9DA3-1918155FD04F}" name="Citipower" dataDxfId="439"/>
    <tableColumn id="6" xr3:uid="{62DBB3BA-5557-45EF-B606-6DC96D6BCBBC}" name="Jemena" dataDxfId="438"/>
    <tableColumn id="7" xr3:uid="{83176F9D-4300-42DB-984A-9DB31B5A2B44}" name="Powercor" dataDxfId="437"/>
    <tableColumn id="8" xr3:uid="{AE5C4CA6-96AC-4429-B02F-825691E879EF}" name="United Energy" dataDxfId="436"/>
  </tableColumns>
  <tableStyleInfo name="Default tab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EC4D248-2A86-4C81-ACAF-1A81C2464FEF}" name="Calc_ROM_1" displayName="Calc_ROM_1" ref="C173:K174" totalsRowShown="0" headerRowDxfId="435" headerRowBorderDxfId="434" tableBorderDxfId="433" headerRowCellStyle="Table col heading" dataCellStyle="Table cell">
  <tableColumns count="9">
    <tableColumn id="1" xr3:uid="{E50EE705-B877-449E-A9E7-6E00096BAB36}" name="Cost item" dataCellStyle="Table cell"/>
    <tableColumn id="2" xr3:uid="{42FC858C-CF75-4833-8C3D-8346027CE60A}" name="Fixed/Variable" dataCellStyle="Table cell"/>
    <tableColumn id="3" xr3:uid="{76F3A43C-43A1-4562-B6AE-9B59FB2BA42A}" name="Unit" dataCellStyle="Table cell"/>
    <tableColumn id="9" xr3:uid="{891390CB-BDB7-4673-9B44-66FDD23D76FC}" name="Customer type" dataDxfId="432" dataCellStyle="Table cell"/>
    <tableColumn id="4" xr3:uid="{1B8319C1-3354-4608-B1AD-CE352E76C44D}" name="Ausnet" dataDxfId="431" dataCellStyle="Calculation">
      <calculatedColumnFormula array="1">IFERROR(INDEX(Input_ForRateCalc[],MATCH(Calc_ROM_1[[#This Row],[Cost item]:[Cost item]],Input_ForRateCalc[[Cost item]:[Cost item]],0),MATCH($D$5,Inputs!$C$15:$AZ$15,0)),"-")</calculatedColumnFormula>
    </tableColumn>
    <tableColumn id="5" xr3:uid="{270B5FD7-0783-496C-8F8F-0ECCD0DCC481}" name="Citipower" dataDxfId="430" dataCellStyle="Calculation">
      <calculatedColumnFormula array="1">IFERROR(INDEX(Input_ForRateCalc[],MATCH(Calc_ROM_1[[#This Row],[Cost item]:[Cost item]],Input_ForRateCalc[[Cost item]:[Cost item]],0),MATCH($D$5,Inputs!$C$15:$AZ$15,0)),"-")</calculatedColumnFormula>
    </tableColumn>
    <tableColumn id="6" xr3:uid="{1D6B1230-694F-46EA-BB16-EBFCD5B62014}" name="Jemena" dataDxfId="429" dataCellStyle="Calculation">
      <calculatedColumnFormula array="1">IFERROR(INDEX(Input_ForRateCalc[],MATCH(Calc_ROM_1[[#This Row],[Cost item]:[Cost item]],Input_ForRateCalc[[Cost item]:[Cost item]],0),MATCH($D$5,Inputs!$C$15:$AZ$15,0)),"-")</calculatedColumnFormula>
    </tableColumn>
    <tableColumn id="7" xr3:uid="{242863D3-BF23-4634-9E5D-A7018A29171E}" name="Powercor" dataDxfId="428" dataCellStyle="Calculation">
      <calculatedColumnFormula array="1">IFERROR(INDEX(Input_ForRateCalc[],MATCH(Calc_ROM_1[[#This Row],[Cost item]:[Cost item]],Input_ForRateCalc[[Cost item]:[Cost item]],0),MATCH($D$5,Inputs!$C$15:$AZ$15,0)),"-")</calculatedColumnFormula>
    </tableColumn>
    <tableColumn id="8" xr3:uid="{5FC9542C-F72B-41E3-8A90-17BB18C5781A}" name="United Energy" dataDxfId="427" dataCellStyle="Calculation">
      <calculatedColumnFormula array="1">IFERROR(INDEX(Input_ForRateCalc[],MATCH(Calc_ROM_1[[#This Row],[Cost item]:[Cost item]],Input_ForRateCalc[[Cost item]:[Cost item]],0),MATCH($D$5,Inputs!$C$15:$AZ$15,0)),"-")</calculatedColumnFormula>
    </tableColumn>
  </tableColumns>
  <tableStyleInfo name="Default tab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9C0011-C252-438F-92DD-5559D2884E9C}" name="Calc_Retail_1" displayName="Calc_Retail_1" ref="C179:K181" totalsRowShown="0" headerRowDxfId="426" headerRowBorderDxfId="425" tableBorderDxfId="424" totalsRowBorderDxfId="423" headerRowCellStyle="Table col heading">
  <tableColumns count="9">
    <tableColumn id="1" xr3:uid="{F445E8BE-064F-4AAC-958B-34C99F7ED789}" name="Cost item"/>
    <tableColumn id="2" xr3:uid="{70EA2FAC-2F47-4380-BB77-21E81E84D12C}" name="Fixed/Variable"/>
    <tableColumn id="3" xr3:uid="{8055E5B5-7D33-4D16-AEC4-1E6FDA6D4A33}" name="Unit" dataCellStyle="Table cell"/>
    <tableColumn id="9" xr3:uid="{771301F1-5078-41E2-A27C-91512A9EEC84}" name="Customer type" dataDxfId="422" dataCellStyle="Table cell"/>
    <tableColumn id="4" xr3:uid="{F96F63E4-C2DD-4B05-A841-31283247F646}" name="Ausnet" dataDxfId="421" dataCellStyle="Calculation">
      <calculatedColumnFormula>IFERROR(
INDEX(Calc_CPI_1[CPI uplift factor],MATCH($C180,Calc_CPI_1[Cost item],0),1)+
INDEX(#REF!,MATCH(Calc_Rates!$C180,Input_ForRateCalc[Cost item],0),MATCH(Calc_Rates!$D$5,Inputs!$H$15:$Q$15,0)),"-")</calculatedColumnFormula>
    </tableColumn>
    <tableColumn id="5" xr3:uid="{10800705-822B-4A11-AEC0-B74310D50E53}" name="Citipower" dataDxfId="420" dataCellStyle="Calculation"/>
    <tableColumn id="6" xr3:uid="{F22E718A-40AB-4EDE-A90A-F8A05C1F401C}" name="Jemena" dataDxfId="419" dataCellStyle="Calculation"/>
    <tableColumn id="7" xr3:uid="{6892071D-DB57-4E65-AA1D-01B97E74119E}" name="Powercor" dataDxfId="418" dataCellStyle="Calculation"/>
    <tableColumn id="8" xr3:uid="{551F21FF-F88A-4814-8B08-9AF58152777E}" name="United Energy" dataDxfId="417" dataCellStyle="Calculation"/>
  </tableColumns>
  <tableStyleInfo name="Default tab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12EE65A-C36C-4D34-B21A-CC272CBBA0DB}" name="Calc_OtherCosts_1" displayName="Calc_OtherCosts_1" ref="C185:K200" totalsRowShown="0" headerRowDxfId="416" headerRowBorderDxfId="415" tableBorderDxfId="414" totalsRowBorderDxfId="413" headerRowCellStyle="Table col heading" dataCellStyle="Table cell">
  <tableColumns count="9">
    <tableColumn id="1" xr3:uid="{0C253945-E70F-4B36-AB64-0CBC3AC67A67}" name="Cost item" dataDxfId="412" dataCellStyle="Table cell"/>
    <tableColumn id="2" xr3:uid="{1CD1F87C-1E3E-4116-8C9E-ACEB4BB1DF68}" name="Fixed/Variable" dataDxfId="411" dataCellStyle="Table cell">
      <calculatedColumnFormula>_xlfn.XLOOKUP(Calc_OtherCosts_1[[#This Row],[Cost item]],Input_ForRateCalc[Cost item],Input_ForRateCalc[Fixed/Variable])</calculatedColumnFormula>
    </tableColumn>
    <tableColumn id="3" xr3:uid="{A2E603E4-1536-4BF2-9BA6-F8B4EF2FBC90}" name="Unit" dataDxfId="410" dataCellStyle="Table cell">
      <calculatedColumnFormula>_xlfn.XLOOKUP(Calc_OtherCosts_1[[#This Row],[Cost item]],Input_ForRateCalc[Cost item],Input_ForRateCalc[Unit])</calculatedColumnFormula>
    </tableColumn>
    <tableColumn id="9" xr3:uid="{366828D4-BD8E-423C-9F45-7A4329249E04}" name="Customer type" dataDxfId="409" dataCellStyle="Table cell"/>
    <tableColumn id="4" xr3:uid="{3A43E5BC-9425-48FE-8CB0-4D55B7BD3E2C}" name="Ausnet" dataDxfId="408"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5" xr3:uid="{A49331E6-A367-4F26-B05E-C557F54FF5E6}" name="Citipower" dataDxfId="407"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6" xr3:uid="{353E77CF-0ADF-4988-B8FC-04EE5A40696A}" name="Jemena" dataDxfId="406"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7" xr3:uid="{8CC9324E-F871-48A4-839B-9B611C6D71DE}" name="Powercor" dataDxfId="405"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 id="8" xr3:uid="{3D5A3885-41F2-4263-88AB-98D0F239E959}" name="United Energy" dataDxfId="404" dataCellStyle="Calculation">
      <calculatedColumnFormula array="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item]],0),MATCH($D$5,Inputs!$C$15:$Y$15,0)))*IF(Calc_OtherCosts_1[[#This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item]],0),MATCH($D$5,Inputs!$C$15:$Y$15,0)))/1000),"-")</calculatedColumnFormula>
    </tableColumn>
  </tableColumns>
  <tableStyleInfo name="Default tab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A46CB06-9CE2-408A-8625-DD8BCCB6C58B}" name="Calc_NetworkF_1" displayName="Calc_NetworkF_1" ref="C205:K210" totalsRowShown="0" headerRowDxfId="403" headerRowBorderDxfId="402" tableBorderDxfId="401" totalsRowBorderDxfId="400" headerRowCellStyle="Table col heading">
  <tableColumns count="9">
    <tableColumn id="1" xr3:uid="{56073E6A-0A5A-4389-8095-CA6108D44EDE}" name="Cost item"/>
    <tableColumn id="2" xr3:uid="{9D1C14EC-8477-491A-A18B-2461900656B4}" name="Fixed/Variable"/>
    <tableColumn id="3" xr3:uid="{04FAE60D-417C-4194-995E-E316BF4B7879}" name="Unit" dataCellStyle="Table cell"/>
    <tableColumn id="9" xr3:uid="{7C0BD534-B842-49E1-AB3D-9239656FE01E}" name="Customer type" dataDxfId="399" dataCellStyle="Table cell"/>
    <tableColumn id="4" xr3:uid="{2C923C50-9004-4F23-A843-61F46462C741}" name="Ausnet" dataDxfId="398" dataCellStyle="Calculation">
      <calculatedColumnFormula array="1">IFERROR(
IFERROR(INDEX(Calc_CPI_1[[CPI uplift factor]:[CPI uplift factor]],MATCH($C206,Calc_CPI_1[[Cost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item]],0),MATCH($D$5,Inputs!$C$15:$Y$15,0)),"-")</calculatedColumnFormula>
    </tableColumn>
    <tableColumn id="5" xr3:uid="{44B5F431-564E-450E-BA21-D3F841DCC24C}" name="Citipower" dataDxfId="397" dataCellStyle="Calculation">
      <calculatedColumnFormula array="1">IFERROR(
IFERROR(INDEX(Calc_CPI_1[[CPI uplift factor]:[CPI uplift factor]],MATCH($C206,Calc_CPI_1[[Cost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item]],0),MATCH($D$5,Inputs!$C$15:$Y$15,0)),"-")</calculatedColumnFormula>
    </tableColumn>
    <tableColumn id="6" xr3:uid="{8B1A16F8-7E2C-4F24-91A7-E65029079EAB}" name="Jemena" dataDxfId="396" dataCellStyle="Calculation">
      <calculatedColumnFormula array="1">IFERROR(
IFERROR(INDEX(Calc_CPI_1[[CPI uplift factor]:[CPI uplift factor]],MATCH($C206,Calc_CPI_1[[Cost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item]],0),MATCH($D$5,Inputs!$C$15:$Y$15,0)),"-")</calculatedColumnFormula>
    </tableColumn>
    <tableColumn id="7" xr3:uid="{0BD42606-1294-49B4-B9B0-6637A6094781}" name="Powercor" dataDxfId="395" dataCellStyle="Calculation">
      <calculatedColumnFormula array="1">IFERROR(
IFERROR(INDEX(Calc_CPI_1[[CPI uplift factor]:[CPI uplift factor]],MATCH($C206,Calc_CPI_1[[Cost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item]],0),MATCH($D$5,Inputs!$C$15:$Y$15,0)),"-")</calculatedColumnFormula>
    </tableColumn>
    <tableColumn id="8" xr3:uid="{439ED9DE-5613-4EC5-A634-F87DAB4A0EDD}" name="United Energy" dataDxfId="394" dataCellStyle="Calculation">
      <calculatedColumnFormula array="1">IFERROR(
IFERROR(INDEX(Calc_CPI_1[[CPI uplift factor]:[CPI uplift factor]],MATCH($C206,Calc_CPI_1[[Cost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item]],0),MATCH($D$5,Inputs!$C$15:$Y$15,0)),"-")</calculatedColumnFormula>
    </tableColumn>
  </tableColumns>
  <tableStyleInfo name="Default tab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FD2BC5-019D-46C3-AFCA-304FF5306314}" name="Calc_NetworkV_1" displayName="Calc_NetworkV_1" ref="C213:K224" totalsRowShown="0" headerRowDxfId="393" dataDxfId="391" headerRowBorderDxfId="392" tableBorderDxfId="390" totalsRowBorderDxfId="389" headerRowCellStyle="Table col heading" dataCellStyle="Calculation">
  <tableColumns count="9">
    <tableColumn id="1" xr3:uid="{CB3706A5-D760-4216-A110-71D17D892BD9}" name="Cost item" dataCellStyle="Table cell"/>
    <tableColumn id="2" xr3:uid="{D1B03855-A0F0-4571-8777-57F1B8EFE353}" name="Fixed/Variable" dataCellStyle="Table cell"/>
    <tableColumn id="3" xr3:uid="{B8007A7D-00F8-40E4-A172-46152BC4D855}" name="Unit" dataCellStyle="Table cell"/>
    <tableColumn id="9" xr3:uid="{3B1062B7-38BA-41B7-A6D9-56E48484C881}" name="Customer type" dataDxfId="388" dataCellStyle="Table cell"/>
    <tableColumn id="4" xr3:uid="{D0986C2A-52E3-43DD-B77B-F20491BF5E18}" name="Ausnet" dataDxfId="387"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MATCH($D$5,Inputs!$C$15:$Y$15,0)))/100,"-")</calculatedColumnFormula>
    </tableColumn>
    <tableColumn id="5" xr3:uid="{FAD220BF-91B8-40CF-BEED-9FF89C64043D}" name="Citipower" dataDxfId="386"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MATCH($D$5,Inputs!$C$15:$Y$15,0)))/100,"-")</calculatedColumnFormula>
    </tableColumn>
    <tableColumn id="6" xr3:uid="{173506C0-F051-4700-B94B-6E65F6DA88D9}" name="Jemena" dataDxfId="385"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MATCH($D$5,Inputs!$C$15:$Y$15,0)))/100,"-")</calculatedColumnFormula>
    </tableColumn>
    <tableColumn id="7" xr3:uid="{EFD5A70F-CD3B-42A9-8883-15FA6ED5A35F}" name="Powercor" dataDxfId="384"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MATCH($D$5,Inputs!$C$15:$Y$15,0)))/100,"-")</calculatedColumnFormula>
    </tableColumn>
    <tableColumn id="8" xr3:uid="{377FA89E-EB31-4B31-9E9A-342277E4DF21}" name="United Energy" dataDxfId="383" dataCellStyle="Calculation">
      <calculatedColumnFormula array="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MATCH($D$5,Inputs!$C$15:$Y$15,0)))/100,"-")</calculatedColumnFormula>
    </tableColumn>
  </tableColumns>
  <tableStyleInfo name="Default tab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21C63D0-94B6-46DC-A492-0C052BBB88BB}" name="Calc_WholesaleRES_1" displayName="Calc_WholesaleRES_1" ref="C229:K232" totalsRowShown="0" headerRowDxfId="382" headerRowBorderDxfId="381" tableBorderDxfId="380" headerRowCellStyle="Table col heading">
  <tableColumns count="9">
    <tableColumn id="1" xr3:uid="{AD482BF5-2182-4A45-A6AB-28D6205185A5}" name="Cost item"/>
    <tableColumn id="2" xr3:uid="{6780DE84-17EF-42BE-A3D5-2F3E29FC3533}" name="Fixed/Variable"/>
    <tableColumn id="3" xr3:uid="{95A5239A-5566-4E5B-97EF-FB526385E720}" name="Unit"/>
    <tableColumn id="9" xr3:uid="{64D007E5-3C6C-44AD-ACBD-2443661BBA3B}" name="Customer type" dataCellStyle="Table cell"/>
    <tableColumn id="4" xr3:uid="{B3163460-5BD7-4AFE-BFF4-84ED5CB4E785}" name="Ausnet"/>
    <tableColumn id="5" xr3:uid="{CFCFA8FE-9C7A-42C2-ABCE-4A186A2ABE01}" name="Citipower"/>
    <tableColumn id="6" xr3:uid="{9CB017A1-D755-4DB7-99ED-BBD09DBA551F}" name="Jemena"/>
    <tableColumn id="7" xr3:uid="{4AC22AD2-E8DB-4CFE-A499-B1B31DA8F4B5}" name="Powercor"/>
    <tableColumn id="8" xr3:uid="{2C48CFB6-7323-4BF6-8C64-7E27C40FBBC0}" name="United Energy"/>
  </tableColumns>
  <tableStyleInfo name="Default tab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F015ED8-C01F-493F-BC60-E70CACCEB2FD}" name="Calc_WholesaleSME_1" displayName="Calc_WholesaleSME_1" ref="C235:K238" totalsRowShown="0" headerRowDxfId="379" headerRowBorderDxfId="378" tableBorderDxfId="377" headerRowCellStyle="Table col heading">
  <tableColumns count="9">
    <tableColumn id="1" xr3:uid="{3685C95C-E94C-4E99-B630-F4FAE40BD6CA}" name="Cost item"/>
    <tableColumn id="2" xr3:uid="{B38073C0-122B-4A64-BFF7-4C59D4463DE5}" name="Fixed/Variable"/>
    <tableColumn id="3" xr3:uid="{AAEAD9CF-B74C-41AB-9559-180BCE3F3F3C}" name="Unit"/>
    <tableColumn id="9" xr3:uid="{BC42E5F3-6EAE-4C9C-8DE3-CCAD1E10CA66}" name="Customer type" dataCellStyle="Table cell"/>
    <tableColumn id="4" xr3:uid="{308996B6-C131-470D-BCF8-3278A29B0E46}" name="Ausnet"/>
    <tableColumn id="5" xr3:uid="{19939240-F265-46F0-81AA-EB185929723F}" name="Citipower"/>
    <tableColumn id="6" xr3:uid="{472F31F9-0445-4F60-ADA7-DA1781E4D1CE}" name="Jemena"/>
    <tableColumn id="7" xr3:uid="{0F209F68-2467-41B7-A6F3-3F182FEEFF31}" name="Powercor"/>
    <tableColumn id="8" xr3:uid="{EA8080F3-12EA-415C-8B0F-A9C3C7BE47C3}" name="United Energy"/>
  </tableColumns>
  <tableStyleInfo name="Default tab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91A3B44-F9C0-4A8B-8450-9F07D09A1A86}" name="Calc_EnviroVEU_1" displayName="Calc_EnviroVEU_1" ref="C243:K246" totalsRowShown="0" headerRowDxfId="376" headerRowBorderDxfId="375" tableBorderDxfId="374" headerRowCellStyle="Table col heading" dataCellStyle="Internal link/lookup">
  <tableColumns count="9">
    <tableColumn id="1" xr3:uid="{30D74465-1D99-43AF-8CAB-6E507855A3A4}" name="Cost item" dataCellStyle="Table cell"/>
    <tableColumn id="2" xr3:uid="{1600AA2F-0D95-42AF-83F2-66CBF45F3CA0}" name="Fixed/Variable" dataCellStyle="Table cell"/>
    <tableColumn id="3" xr3:uid="{164F3467-F6B3-4C63-8156-D333898A95EE}" name="Unit" dataCellStyle="Table cell"/>
    <tableColumn id="9" xr3:uid="{EF95EF79-FCA8-4A29-950C-B3FEC82FE49F}" name="Customer type" dataCellStyle="Table cell"/>
    <tableColumn id="4" xr3:uid="{FA5A43A2-D327-41C8-A5A5-BF22A9D1276E}" name="Ausnet" dataDxfId="373" dataCellStyle="Internal link/lookup"/>
    <tableColumn id="5" xr3:uid="{CB1D098F-76FA-4645-A017-A40B1C8931A0}" name="Citipower" dataDxfId="372" dataCellStyle="Internal link/lookup"/>
    <tableColumn id="6" xr3:uid="{6CB26880-0A29-48CB-8D27-40F6229EC6E1}" name="Jemena" dataDxfId="371" dataCellStyle="Internal link/lookup"/>
    <tableColumn id="7" xr3:uid="{37DC741F-B7B0-4F6D-8986-B2FED10372C0}" name="Powercor" dataDxfId="370" dataCellStyle="Internal link/lookup"/>
    <tableColumn id="8" xr3:uid="{146C5954-395B-4AF0-934E-F6F1F53FD175}" name="United Energy" dataDxfId="369" dataCellStyle="Internal link/lookup"/>
  </tableColumns>
  <tableStyleInfo name="Default tab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D7F4255-2560-4C7D-87B7-90E01C8879BD}" name="Calc_EnviroLRET_1" displayName="Calc_EnviroLRET_1" ref="C249:K252" totalsRowShown="0" headerRowDxfId="368" headerRowBorderDxfId="367" tableBorderDxfId="366" headerRowCellStyle="Table col heading" dataCellStyle="Internal link/lookup">
  <tableColumns count="9">
    <tableColumn id="1" xr3:uid="{A6BACB87-44CA-4E82-A714-C5FE69256FAF}" name="Cost item" dataCellStyle="Table cell"/>
    <tableColumn id="2" xr3:uid="{075EE753-82B6-4FA7-AC6F-FE6940B01335}" name="Fixed/Variable" dataCellStyle="Table cell"/>
    <tableColumn id="3" xr3:uid="{87C5857A-1190-4CD1-A7CA-F67806FBE4CE}" name="Unit" dataCellStyle="Table cell"/>
    <tableColumn id="9" xr3:uid="{0808E3E2-EE13-4D5D-BCCF-B993FB523556}" name="Customer type" dataCellStyle="Table cell"/>
    <tableColumn id="4" xr3:uid="{25BA2561-A041-4FBF-A998-FD3797782130}" name="Ausnet" dataDxfId="365" dataCellStyle="Internal link/lookup"/>
    <tableColumn id="5" xr3:uid="{E3001C65-68EA-4A0B-A9EC-0AEF2E84FBD6}" name="Citipower" dataDxfId="364" dataCellStyle="Internal link/lookup"/>
    <tableColumn id="6" xr3:uid="{B118E905-DC3D-47F2-80F3-239BFB2E12CB}" name="Jemena" dataDxfId="363" dataCellStyle="Internal link/lookup"/>
    <tableColumn id="7" xr3:uid="{4C60D58B-60A7-46F1-93E5-005D19EAAD81}" name="Powercor" dataDxfId="362" dataCellStyle="Internal link/lookup"/>
    <tableColumn id="8" xr3:uid="{67A92AE4-113B-4F60-9A08-53B7D7BBE29B}" name="United Energy" dataDxfId="361" dataCellStyle="Internal link/lookup"/>
  </tableColumns>
  <tableStyleInfo name="Default tab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3EDBDF-1B04-4828-8F23-C85FCC2AFC8A}" name="Calc_EnviroSRES_1" displayName="Calc_EnviroSRES_1" ref="C255:K258" totalsRowShown="0" headerRowDxfId="360" headerRowBorderDxfId="359" tableBorderDxfId="358" headerRowCellStyle="Table col heading" dataCellStyle="Internal link/lookup">
  <tableColumns count="9">
    <tableColumn id="1" xr3:uid="{FBB72E81-32BC-476E-80F3-64EE236D4AA2}" name="Cost item" dataCellStyle="Table cell"/>
    <tableColumn id="2" xr3:uid="{5E322F16-D299-4FD0-8E26-3FB9272D73E5}" name="Fixed/Variable" dataCellStyle="Table cell"/>
    <tableColumn id="3" xr3:uid="{2F112381-7D54-4734-820D-C48BB8198AAB}" name="Unit" dataCellStyle="Table cell"/>
    <tableColumn id="9" xr3:uid="{6E851880-403E-4A11-A43C-42B46F7B71E5}" name="Customer type" dataCellStyle="Table cell"/>
    <tableColumn id="4" xr3:uid="{43477D4E-955D-4477-92D8-B68B99E47C99}" name="Ausnet" dataDxfId="357" dataCellStyle="Internal link/lookup"/>
    <tableColumn id="5" xr3:uid="{46DA8B4E-93BE-4D75-B964-43108072DBCA}" name="Citipower" dataDxfId="356" dataCellStyle="Internal link/lookup"/>
    <tableColumn id="6" xr3:uid="{B4FBE803-3A30-443C-AF14-4716F8DBA7B2}" name="Jemena" dataDxfId="355" dataCellStyle="Internal link/lookup"/>
    <tableColumn id="7" xr3:uid="{8791F4C9-6942-453C-8102-D4CBF1273CDC}" name="Powercor" dataDxfId="354" dataCellStyle="Internal link/lookup"/>
    <tableColumn id="8" xr3:uid="{103AD40C-04CA-4057-8483-C30B93760CD0}" name="United Energy" dataDxfId="353" dataCellStyle="Internal link/lookup"/>
  </tableColumns>
  <tableStyleInfo name="Default tab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A338246-BA11-41D9-8C6E-8C38BB16348D}" name="Calc_FiT_1" displayName="Calc_FiT_1" ref="C261:K262" totalsRowShown="0" headerRowDxfId="352" dataDxfId="350" headerRowBorderDxfId="351" tableBorderDxfId="349" totalsRowBorderDxfId="348" headerRowCellStyle="Table col heading" dataCellStyle="Table cell">
  <tableColumns count="9">
    <tableColumn id="1" xr3:uid="{AFD9488A-7C4B-4F8E-ACF9-A4E4B8E8B998}" name="Cost item" dataDxfId="347" dataCellStyle="Table cell"/>
    <tableColumn id="2" xr3:uid="{16DB71A9-711A-4502-B5BF-7F371CCC192E}" name="Fixed/Variable" dataDxfId="346" dataCellStyle="Table cell"/>
    <tableColumn id="3" xr3:uid="{A88541AF-CF21-4C19-AF86-DD65AAFDF70F}" name="Unit" dataDxfId="345" dataCellStyle="Table cell"/>
    <tableColumn id="9" xr3:uid="{CCD1209E-6309-4A32-8212-14B34B01109C}" name="Customer type" dataDxfId="344" dataCellStyle="Table cell"/>
    <tableColumn id="4" xr3:uid="{EFC77A58-5F76-488A-A85D-5ED51551F605}" name="Ausnet" dataDxfId="343" dataCellStyle="Calculation">
      <calculatedColumnFormula array="1">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calculatedColumnFormula>
    </tableColumn>
    <tableColumn id="5" xr3:uid="{1E393C59-41B6-47B9-8C7C-DF1243695081}" name="Citipower" dataDxfId="342" dataCellStyle="Calculation">
      <calculatedColumnFormula array="1">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calculatedColumnFormula>
    </tableColumn>
    <tableColumn id="6" xr3:uid="{435400A7-321A-40E3-A6FB-8DA29E3C56CF}" name="Jemena" dataDxfId="341" dataCellStyle="Calculation">
      <calculatedColumnFormula array="1">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calculatedColumnFormula>
    </tableColumn>
    <tableColumn id="7" xr3:uid="{E838E498-62F7-48EC-9A33-8E46B6F2846E}" name="Powercor" dataDxfId="340" dataCellStyle="Calculation">
      <calculatedColumnFormula array="1">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calculatedColumnFormula>
    </tableColumn>
    <tableColumn id="8" xr3:uid="{E4EAE11B-C0B1-474A-AFE2-08D9725A3A2F}" name="United Energy" dataDxfId="339" dataCellStyle="Calculation">
      <calculatedColumnFormula array="1">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calculatedColumnFormula>
    </tableColumn>
  </tableColumns>
  <tableStyleInfo name="Default tab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DD51261-8483-4F72-A15D-EE34A34E1BAB}" name="Calc_Fixed_1" displayName="Calc_Fixed_1" ref="C9:K13" totalsRowShown="0" headerRowDxfId="338" dataDxfId="336" headerRowBorderDxfId="337" tableBorderDxfId="335" totalsRowBorderDxfId="334" headerRowCellStyle="Table col heading" dataCellStyle="Calculation">
  <tableColumns count="9">
    <tableColumn id="1" xr3:uid="{0DE4619C-AFE2-4FBE-9761-BAA79DB830F4}" name="Fixed costs" dataCellStyle="Table cell"/>
    <tableColumn id="2" xr3:uid="{E509A651-4C2C-44F0-B768-083D02C0617D}" name="Fixed/Variable" dataCellStyle="Table cell"/>
    <tableColumn id="3" xr3:uid="{EA8D5DA8-FE69-4B34-9288-63D99D8B64E2}" name="Unit" dataCellStyle="Table cell"/>
    <tableColumn id="4" xr3:uid="{7B42286D-64E9-4E5F-91BD-04A0111536FE}" name="Customer type" dataDxfId="333" dataCellStyle="Table cell"/>
    <tableColumn id="5" xr3:uid="{11BA551C-7A3B-4DBA-8886-22B914901BA5}" name="Ausnet" dataDxfId="332" dataCellStyle="Calculation"/>
    <tableColumn id="6" xr3:uid="{C7D51D1D-F5A3-45D2-97BF-2D2C3522663C}" name="Citipower" dataDxfId="331" dataCellStyle="Calculation"/>
    <tableColumn id="7" xr3:uid="{98520615-2498-4B69-9E0F-1D3D02C38A91}" name="Jemena" dataDxfId="330" dataCellStyle="Calculation"/>
    <tableColumn id="8" xr3:uid="{9D038724-BFD4-4AE0-9E93-A285F400301A}" name="Powercor" dataDxfId="329" dataCellStyle="Calculation"/>
    <tableColumn id="9" xr3:uid="{7A6F7E36-B9EF-452A-B7C5-DCD9FEE784F5}" name="United Energy" dataDxfId="328" dataCellStyle="Calculation"/>
  </tableColumns>
  <tableStyleInfo name="Default tab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3FF5E63F-6A48-4B35-938E-45458A34EE25}" name="Calc_Variable_1" displayName="Calc_Variable_1" ref="C50:K57" totalsRowShown="0" headerRowDxfId="327" dataDxfId="325" headerRowBorderDxfId="326" tableBorderDxfId="324" totalsRowBorderDxfId="323" headerRowCellStyle="Table col heading" dataCellStyle="Calculation">
  <tableColumns count="9">
    <tableColumn id="1" xr3:uid="{D01C5694-3942-4B70-B388-582619A4A730}" name="Variable costs" dataCellStyle="Table cell"/>
    <tableColumn id="2" xr3:uid="{7B18B367-5A4F-4675-BF52-307E9D2DFE67}" name="Fixed/Variable" dataCellStyle="Table cell"/>
    <tableColumn id="3" xr3:uid="{258FC869-F26D-469D-99EB-25477677C6D6}" name="Unit" dataCellStyle="Table cell"/>
    <tableColumn id="4" xr3:uid="{6772D669-4BEB-4A7B-8347-807634EAD556}" name="Customer type" dataDxfId="322" dataCellStyle="Table cell"/>
    <tableColumn id="5" xr3:uid="{016FCE41-EF2A-4E35-9A7B-F1E430D7D105}" name="Ausnet" dataDxfId="321" dataCellStyle="Calculation">
      <calculatedColumnFormula>SUMIFS(Calc_NetworkV_1[Ausnet],Calc_NetworkV_1[[Cost item]:[Cost item]],$C51,Calc_NetworkV_1[[Customer type]:[Customer type]],$F51)</calculatedColumnFormula>
    </tableColumn>
    <tableColumn id="6" xr3:uid="{E2C0AA12-7131-46DC-85F6-23D2DC886FB0}" name="Citipower" dataDxfId="320" dataCellStyle="Calculation">
      <calculatedColumnFormula>SUMIFS(Calc_NetworkV_1[Citipower],Calc_NetworkV_1[[Cost item]:[Cost item]],$C51,Calc_NetworkV_1[[Customer type]:[Customer type]],$F51)</calculatedColumnFormula>
    </tableColumn>
    <tableColumn id="7" xr3:uid="{EF4DD9F0-6C3E-41F9-B55E-8140D1AD8185}" name="Jemena" dataDxfId="319" dataCellStyle="Calculation">
      <calculatedColumnFormula>SUMIFS(Calc_NetworkV_1[Jemena],Calc_NetworkV_1[[Cost item]:[Cost item]],$C51,Calc_NetworkV_1[[Customer type]:[Customer type]],$F51)</calculatedColumnFormula>
    </tableColumn>
    <tableColumn id="8" xr3:uid="{947CFCA4-E7A4-4A08-847F-78F175CA3E8A}" name="Powercor" dataDxfId="318" dataCellStyle="Calculation">
      <calculatedColumnFormula>SUMIFS(Calc_NetworkV_1[Powercor],Calc_NetworkV_1[[Cost item]:[Cost item]],$C51,Calc_NetworkV_1[[Customer type]:[Customer type]],$F51)</calculatedColumnFormula>
    </tableColumn>
    <tableColumn id="9" xr3:uid="{B3FA65E5-67A9-4C54-BE06-6A8BC367B8D2}" name="United Energy" dataDxfId="317" dataCellStyle="Calculation">
      <calculatedColumnFormula>SUMIFS(Calc_NetworkV_1[United Energy],Calc_NetworkV_1[[Cost item]:[Cost item]],$C51,Calc_NetworkV_1[[Customer type]:[Customer type]],$F51)</calculatedColumnFormula>
    </tableColumn>
  </tableColumns>
  <tableStyleInfo name="Default tab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42E7283-7EC9-4B31-8751-F22F33197074}" name="Calc_CPI_2" displayName="Calc_CPI_2" ref="C409:I425" totalsRowShown="0" headerRowDxfId="316" headerRowBorderDxfId="315" tableBorderDxfId="314" headerRowCellStyle="Table col heading">
  <tableColumns count="7">
    <tableColumn id="1" xr3:uid="{0392B365-335D-4A78-9B18-7271922DE1F6}" name="Cost item"/>
    <tableColumn id="3" xr3:uid="{048F43A9-A58B-455C-8B4D-B6DA137AECA7}" name="Fixed/Variable" dataDxfId="313"/>
    <tableColumn id="10" xr3:uid="{C0FE0C8C-F5D0-4BAB-8D99-F40D7F692479}" name="Unit" dataCellStyle="Table cell"/>
    <tableColumn id="11" xr3:uid="{73F71E33-E6A7-4E95-8250-4F73CE5393B0}" name="Customer type" dataDxfId="312" dataCellStyle="Table cell"/>
    <tableColumn id="2" xr3:uid="{EE0FDEAC-B5CB-423C-9DFF-2946D2F95BAB}" name="Adjust?" dataDxfId="311" dataCellStyle="Table cell">
      <calculatedColumnFormula>INDEX(Input_CostItemCPI[],MATCH(Calc_CPI_2[[#This Row],[Cost item]],Input_CostItemCPI[Cost item],0),MATCH(Calc_Rates!$D$267,Input_CostItemCPI[#Headers],0))</calculatedColumnFormula>
    </tableColumn>
    <tableColumn id="4" xr3:uid="{A927AA6D-A956-473D-9CBB-E2BEE704389A}" name="CPI increase" dataDxfId="310" dataCellStyle="Calculation">
      <calculatedColumnFormula array="1">IF(Calc_CPI_2[[#This Row],[Adjust?]]="No",0,
IFERROR(
($D$407-
INDEX(CPI[Indice],MATCH(
INDEX(Input_ForRateCalc[],MATCH(Calc_CPI_2[[#This Row],[Cost item]:[Cost item]],Input_ForRateCalc[Cost item],0),MATCH($D$267&amp;" - input date",Inputs!C$15:Y$15,0)),
CPI[Period],0),1))/
INDEX(CPI[Indice],MATCH(
INDEX(Input_ForRateCalc[],MATCH(Calc_CPI_2[[#This Row],[Cost item]:[Cost item]],Input_ForRateCalc[Cost item],0),MATCH($D$267&amp;" - input date",Inputs!C$15:Y$15,0)),
CPI[Period],0),1),"-"))</calculatedColumnFormula>
    </tableColumn>
    <tableColumn id="5" xr3:uid="{0AF73545-2A78-4EA1-9B7D-36FA6144550A}" name="CPI uplift factor" dataDxfId="309" dataCellStyle="Calculation">
      <calculatedColumnFormula array="1">IFERROR((H410)*
INDEX(Input_ForRateCalc[],MATCH(Calc_CPI_2[[#This Row],[Cost item]:[Cost item]],Input_ForRateCalc[Cost item],0),MATCH($D$267,Inputs!$C$15:$Y$15,0)),"-")</calculatedColumnFormula>
    </tableColumn>
  </tableColumns>
  <tableStyleInfo name="Default tab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EC6A44B-92E9-41E6-A5BE-92DF20C28082}" name="Calc_Losses_2" displayName="Calc_Losses_2" ref="C428:K431" totalsRowShown="0" headerRowDxfId="308" headerRowBorderDxfId="307" tableBorderDxfId="306" headerRowCellStyle="Table col heading">
  <tableColumns count="9">
    <tableColumn id="1" xr3:uid="{FF25D25B-B907-49F1-9788-25D8E0FAB9AB}" name="Cost item"/>
    <tableColumn id="2" xr3:uid="{C154E22A-4B96-4CA0-AE66-AA8979623137}" name="Fixed/Variable"/>
    <tableColumn id="3" xr3:uid="{7225B388-345E-4195-AF66-C05D1F0E3B4C}" name="Unit"/>
    <tableColumn id="9" xr3:uid="{875CEA24-D2EE-402A-AE5F-BA8557242C89}" name="Customer type" dataDxfId="305" dataCellStyle="Table cell"/>
    <tableColumn id="4" xr3:uid="{CB25BE8A-48BA-4885-8E65-317DB9BF37BB}" name="Ausnet" dataDxfId="304"/>
    <tableColumn id="5" xr3:uid="{0B2237C4-7DBE-4B58-8B34-036750CE9DF3}" name="Citipower" dataDxfId="303"/>
    <tableColumn id="6" xr3:uid="{E1C9F9AE-0936-4E2E-A598-882FD11E197E}" name="Jemena" dataDxfId="302"/>
    <tableColumn id="7" xr3:uid="{50A41108-5F62-4C52-92E2-598288A777B6}" name="Powercor" dataDxfId="301"/>
    <tableColumn id="8" xr3:uid="{5D722926-44FE-4315-8992-A62E3FA3705F}" name="United Energy" dataDxfId="300"/>
  </tableColumns>
  <tableStyleInfo name="Default tab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E7EFF8-8CC4-49A5-A4B0-B1F772307F26}" name="Calc_ROM_2" displayName="Calc_ROM_2" ref="C434:K435" totalsRowShown="0" headerRowDxfId="299" headerRowBorderDxfId="298" tableBorderDxfId="297" headerRowCellStyle="Table col heading" dataCellStyle="Table cell">
  <tableColumns count="9">
    <tableColumn id="1" xr3:uid="{955F46BD-E98D-4FF8-89E3-604BDBAD5C15}" name="Cost item" dataCellStyle="Table cell"/>
    <tableColumn id="2" xr3:uid="{6E181835-1B30-4227-88B8-00DC0A938429}" name="Fixed/Variable" dataCellStyle="Table cell"/>
    <tableColumn id="3" xr3:uid="{B4F569B5-76F1-4840-94CD-ED51F23ABBB5}" name="Unit" dataCellStyle="Table cell"/>
    <tableColumn id="9" xr3:uid="{7D750D5E-3C29-452B-BA22-9541DF61C38D}" name="Customer type" dataDxfId="296" dataCellStyle="Table cell"/>
    <tableColumn id="4" xr3:uid="{E687E301-7097-4D98-AEE6-E06378C143BE}" name="Ausnet" dataDxfId="295" dataCellStyle="Calculation"/>
    <tableColumn id="5" xr3:uid="{1A564FEB-91D3-41D0-938B-AF81CFA2D721}" name="Citipower" dataDxfId="294" dataCellStyle="Internal link/lookup"/>
    <tableColumn id="6" xr3:uid="{A4210194-9161-4D9A-B76B-92DB41A3D078}" name="Jemena" dataDxfId="293" dataCellStyle="Internal link/lookup"/>
    <tableColumn id="7" xr3:uid="{C0C4DC3C-E147-4E1D-AC30-72D37EB7845B}" name="Powercor" dataDxfId="292" dataCellStyle="Internal link/lookup"/>
    <tableColumn id="8" xr3:uid="{E4E7EB2A-0FA6-46E9-B531-356F9F153E84}" name="United Energy" dataDxfId="291" dataCellStyle="Internal link/lookup"/>
  </tableColumns>
  <tableStyleInfo name="Default tab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7F880C2-B122-4BD6-AFB2-F6FEA0892944}" name="Calc_Retail_2" displayName="Calc_Retail_2" ref="C440:K442" totalsRowShown="0" headerRowDxfId="290" headerRowBorderDxfId="289" tableBorderDxfId="288" totalsRowBorderDxfId="287" headerRowCellStyle="Table col heading">
  <tableColumns count="9">
    <tableColumn id="1" xr3:uid="{5DBFD0B1-2F68-4D8D-9DD6-1CB8E0378AF5}" name="Cost item"/>
    <tableColumn id="2" xr3:uid="{DEEB39E3-E100-46E3-8373-164B77EDA971}" name="Fixed/Variable"/>
    <tableColumn id="3" xr3:uid="{E9B6E294-9507-43FE-8432-2DC6149A44BD}" name="Unit" dataCellStyle="Table cell"/>
    <tableColumn id="9" xr3:uid="{8E50245A-0ED0-4F17-87CE-4E85E60E4872}" name="Customer type" dataDxfId="286" dataCellStyle="Table cell"/>
    <tableColumn id="4" xr3:uid="{2CD61C95-A6E5-4E0F-9C24-3AEBDA5C897D}" name="Ausnet" dataDxfId="285" dataCellStyle="Calculation">
      <calculatedColumnFormula array="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item]],0),MATCH($D$267,Inputs!$C$15:$Y$15,0))+
INDEX(Input_ForRateCalc[],MATCH(Calc_Retail_2[[#This Row],[Cost item]:[Cost item]]&amp;" - 5 min settlement allowance",Input_ForRateCalc[[Cost item]:[Cost item]],0),MATCH($D$267,Inputs!$C$15:$Y$15,0))+
INDEX(Input_ForRateCalc[],MATCH(Calc_Retail_2[[#This Row],[Cost item]:[Cost item]]&amp;" - regulatory cost allowance",Input_ForRateCalc[[Cost item]:[Cost item]],0),MATCH($D$267,Inputs!$C$15:$Y$15,0))+
INDEX(Input_ForRateCalc[],MATCH(Calc_Retail_2[[#This Row],[Cost item]:[Cost item]]&amp;" - bad debt allowance",Input_ForRateCalc[[Cost item]:[Cost item]],0),MATCH($D$267,Inputs!$C$15:$Y$15,0)),"-")</calculatedColumnFormula>
    </tableColumn>
    <tableColumn id="5" xr3:uid="{4E050103-6C8B-4305-BD73-C70DDFA3DBF5}" name="Citipower" dataDxfId="284" dataCellStyle="Calculation">
      <calculatedColumnFormula array="1">IFERROR(
IFERROR(INDEX(Calc_CPI_2[[CPI uplift factor]:[CPI uplift factor]],MATCH($C441&amp;" - base",Calc_CPI_2[[Cost item]:[Cost item]],0),1),0)+
IFERROR(INDEX(Calc_CPI_2[[CPI uplift factor]:[CPI uplift factor]],MATCH($C441&amp;" - regulatory cost allowance",Calc_CPI_2[[Cost item]:[Cost item]],0),1),0)+
INDEX(Input_ForRateCalc[[F-PreviousVDO_InputDate]:[F-PreviousVDO_Input2]],MATCH(Calc_Retail_2[[#This Row],[Cost item]:[Cost item]]&amp;" - base",Input_ForRateCalc[[Cost item]:[Cost item]],0),MATCH($D$267,Inputs!$H$15:$U$15,0))+
INDEX(Input_ForRateCalc[[F-PreviousVDO_InputDate]:[F-PreviousVDO_Input2]],MATCH(Calc_Retail_2[[#This Row],[Cost item]:[Cost item]]&amp;" - 5 min settlement allowance",Input_ForRateCalc[[Cost item]:[Cost item]],0),MATCH($D$267,Inputs!$H$15:$U$15,0))+
INDEX(Input_ForRateCalc[[F-PreviousVDO_InputDate]:[F-PreviousVDO_Input2]],MATCH(Calc_Retail_2[[#This Row],[Cost item]:[Cost item]]&amp;" - regulatory cost allowance",Input_ForRateCalc[[Cost item]:[Cost item]],0),MATCH($D$267,Inputs!$H$15:$U$15,0))+
INDEX(Input_ForRateCalc[[F-PreviousVDO_InputDate]:[F-PreviousVDO_Input2]],MATCH(Calc_Retail_2[[#This Row],[Cost item]:[Cost item]]&amp;" - bad debt allowance",Input_ForRateCalc[[Cost item]:[Cost item]],0),MATCH($D$267,Inputs!$H$15:$U$15,0)),"-")</calculatedColumnFormula>
    </tableColumn>
    <tableColumn id="6" xr3:uid="{99907E92-AD35-4E5A-9AF4-6ADEACB6628B}" name="Jemena" dataDxfId="283" dataCellStyle="Calculation">
      <calculatedColumnFormula array="1">IFERROR(
IFERROR(INDEX(Calc_CPI_2[[CPI uplift factor]:[CPI uplift factor]],MATCH($C441&amp;" - base",Calc_CPI_2[[Cost item]:[Cost item]],0),1),0)+
IFERROR(INDEX(Calc_CPI_2[[CPI uplift factor]:[CPI uplift factor]],MATCH($C441&amp;" - regulatory cost allowance",Calc_CPI_2[[Cost item]:[Cost item]],0),1),0)+
INDEX(Input_ForRateCalc[[F-PreviousVDO_InputDate]:[F-PreviousVDO_Input2]],MATCH(Calc_Retail_2[[#This Row],[Cost item]:[Cost item]]&amp;" - base",Input_ForRateCalc[[Cost item]:[Cost item]],0),MATCH($D$267,Inputs!$H$15:$U$15,0))+
INDEX(Input_ForRateCalc[[F-PreviousVDO_InputDate]:[F-PreviousVDO_Input2]],MATCH(Calc_Retail_2[[#This Row],[Cost item]:[Cost item]]&amp;" - 5 min settlement allowance",Input_ForRateCalc[[Cost item]:[Cost item]],0),MATCH($D$267,Inputs!$H$15:$U$15,0))+
INDEX(Input_ForRateCalc[[F-PreviousVDO_InputDate]:[F-PreviousVDO_Input2]],MATCH(Calc_Retail_2[[#This Row],[Cost item]:[Cost item]]&amp;" - regulatory cost allowance",Input_ForRateCalc[[Cost item]:[Cost item]],0),MATCH($D$267,Inputs!$H$15:$U$15,0))+
INDEX(Input_ForRateCalc[[F-PreviousVDO_InputDate]:[F-PreviousVDO_Input2]],MATCH(Calc_Retail_2[[#This Row],[Cost item]:[Cost item]]&amp;" - bad debt allowance",Input_ForRateCalc[[Cost item]:[Cost item]],0),MATCH($D$267,Inputs!$H$15:$U$15,0)),"-")</calculatedColumnFormula>
    </tableColumn>
    <tableColumn id="7" xr3:uid="{85CED015-2903-4856-80DE-2EF0DF32CF22}" name="Powercor" dataDxfId="282" dataCellStyle="Calculation">
      <calculatedColumnFormula array="1">IFERROR(
IFERROR(INDEX(Calc_CPI_2[[CPI uplift factor]:[CPI uplift factor]],MATCH($C441&amp;" - base",Calc_CPI_2[[Cost item]:[Cost item]],0),1),0)+
IFERROR(INDEX(Calc_CPI_2[[CPI uplift factor]:[CPI uplift factor]],MATCH($C441&amp;" - regulatory cost allowance",Calc_CPI_2[[Cost item]:[Cost item]],0),1),0)+
INDEX(Input_ForRateCalc[[F-PreviousVDO_InputDate]:[F-PreviousVDO_Input2]],MATCH(Calc_Retail_2[[#This Row],[Cost item]:[Cost item]]&amp;" - base",Input_ForRateCalc[[Cost item]:[Cost item]],0),MATCH($D$267,Inputs!$H$15:$U$15,0))+
INDEX(Input_ForRateCalc[[F-PreviousVDO_InputDate]:[F-PreviousVDO_Input2]],MATCH(Calc_Retail_2[[#This Row],[Cost item]:[Cost item]]&amp;" - 5 min settlement allowance",Input_ForRateCalc[[Cost item]:[Cost item]],0),MATCH($D$267,Inputs!$H$15:$U$15,0))+
INDEX(Input_ForRateCalc[[F-PreviousVDO_InputDate]:[F-PreviousVDO_Input2]],MATCH(Calc_Retail_2[[#This Row],[Cost item]:[Cost item]]&amp;" - regulatory cost allowance",Input_ForRateCalc[[Cost item]:[Cost item]],0),MATCH($D$267,Inputs!$H$15:$U$15,0))+
INDEX(Input_ForRateCalc[[F-PreviousVDO_InputDate]:[F-PreviousVDO_Input2]],MATCH(Calc_Retail_2[[#This Row],[Cost item]:[Cost item]]&amp;" - bad debt allowance",Input_ForRateCalc[[Cost item]:[Cost item]],0),MATCH($D$267,Inputs!$H$15:$U$15,0)),"-")</calculatedColumnFormula>
    </tableColumn>
    <tableColumn id="8" xr3:uid="{E2C17A32-6146-4155-9533-31AA75FDB328}" name="United Energy" dataDxfId="281" dataCellStyle="Calculation">
      <calculatedColumnFormula array="1">IFERROR(
IFERROR(INDEX(Calc_CPI_2[[CPI uplift factor]:[CPI uplift factor]],MATCH($C441&amp;" - base",Calc_CPI_2[[Cost item]:[Cost item]],0),1),0)+
IFERROR(INDEX(Calc_CPI_2[[CPI uplift factor]:[CPI uplift factor]],MATCH($C441&amp;" - regulatory cost allowance",Calc_CPI_2[[Cost item]:[Cost item]],0),1),0)+
INDEX(Input_ForRateCalc[[F-PreviousVDO_InputDate]:[F-PreviousVDO_Input2]],MATCH(Calc_Retail_2[[#This Row],[Cost item]:[Cost item]]&amp;" - base",Input_ForRateCalc[[Cost item]:[Cost item]],0),MATCH($D$267,Inputs!$H$15:$U$15,0))+
INDEX(Input_ForRateCalc[[F-PreviousVDO_InputDate]:[F-PreviousVDO_Input2]],MATCH(Calc_Retail_2[[#This Row],[Cost item]:[Cost item]]&amp;" - 5 min settlement allowance",Input_ForRateCalc[[Cost item]:[Cost item]],0),MATCH($D$267,Inputs!$H$15:$U$15,0))+
INDEX(Input_ForRateCalc[[F-PreviousVDO_InputDate]:[F-PreviousVDO_Input2]],MATCH(Calc_Retail_2[[#This Row],[Cost item]:[Cost item]]&amp;" - regulatory cost allowance",Input_ForRateCalc[[Cost item]:[Cost item]],0),MATCH($D$267,Inputs!$H$15:$U$15,0))+
INDEX(Input_ForRateCalc[[F-PreviousVDO_InputDate]:[F-PreviousVDO_Input2]],MATCH(Calc_Retail_2[[#This Row],[Cost item]:[Cost item]]&amp;" - bad debt allowance",Input_ForRateCalc[[Cost item]:[Cost item]],0),MATCH($D$267,Inputs!$H$15:$U$15,0)),"-")</calculatedColumnFormula>
    </tableColumn>
  </tableColumns>
  <tableStyleInfo name="Default tab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901D12CF-C7E1-4924-9282-4EC84379844B}" name="Calc_OtherCosts_2" displayName="Calc_OtherCosts_2" ref="C446:K461" totalsRowShown="0" headerRowDxfId="280" headerRowBorderDxfId="279" tableBorderDxfId="278" totalsRowBorderDxfId="277" headerRowCellStyle="Table col heading" dataCellStyle="Table cell">
  <tableColumns count="9">
    <tableColumn id="1" xr3:uid="{A1B8058A-1AB1-41BC-8A43-72B5EA27A603}" name="Cost item" dataCellStyle="Table cell"/>
    <tableColumn id="2" xr3:uid="{D5EEF1DB-85C1-49E6-99B0-CF0394951EE2}" name="Fixed/Variable" dataCellStyle="Table cell"/>
    <tableColumn id="3" xr3:uid="{E4A2F631-BD69-4A5A-85B5-508D2E2B4A0C}" name="Unit" dataCellStyle="Table cell"/>
    <tableColumn id="9" xr3:uid="{0B803444-77B6-4D2D-BB75-CD29E2D46331}" name="Customer type" dataDxfId="276" dataCellStyle="Table cell"/>
    <tableColumn id="4" xr3:uid="{085016C6-CD9B-499F-9379-4BAE408451BD}" name="Ausnet" dataDxfId="275"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item]],0),MATCH($D$267,Inputs!$C$15:$Y$15,0)))/1000),"-")</calculatedColumnFormula>
    </tableColumn>
    <tableColumn id="5" xr3:uid="{D67C074D-746D-4063-961D-3BEBB731C5BF}" name="Citipower" dataDxfId="274"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item]],0),MATCH($D$267,Inputs!$C$15:$Y$15,0)))/1000),"-")</calculatedColumnFormula>
    </tableColumn>
    <tableColumn id="6" xr3:uid="{E2A0A5AD-48B1-4C7D-B517-722AFA356FB6}" name="Jemena" dataDxfId="273"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item]],0),MATCH($D$267,Inputs!$C$15:$Y$15,0)))/1000),"-")</calculatedColumnFormula>
    </tableColumn>
    <tableColumn id="7" xr3:uid="{F78830B5-0220-404E-AF64-292E9739DDDA}" name="Powercor" dataDxfId="272"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item]],0),MATCH($D$267,Inputs!$C$15:$Y$15,0)))/1000),"-")</calculatedColumnFormula>
    </tableColumn>
    <tableColumn id="8" xr3:uid="{79D9B0F6-4D30-4C42-89E5-7F30342FAA5E}" name="United Energy" dataDxfId="271" dataCellStyle="Calculation">
      <calculatedColumnFormula array="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item]],0),MATCH($D$267,Inputs!$C$15:$Y$15,0)))*IF(Calc_OtherCosts_2[[#This Row],[Unit]:[Unit]]="$",1,IF(Calc_OtherCosts_2[[#This Row],[Unit]:[Unit]]="$/week",WiY)),
(IFERROR(INDEX(Calc_CPI_2[[CPI uplift factor]:[CPI uplift factor]],MATCH(Calc_OtherCosts_2[[#This Row],[Cost item]:[Cost item]],Calc_CPI_2[[Cost item]:[Cost item]],0),1),0)+
INDEX(Input_ForRateCalc[],MATCH(Calc_OtherCosts_2[[#This Row],[Cost item]:[Cost item]],Input_ForRateCalc[[Cost item]:[Cost item]],0),MATCH($D$267,Inputs!$C$15:$Y$15,0)))/1000),"-")</calculatedColumnFormula>
    </tableColumn>
  </tableColumns>
  <tableStyleInfo name="Default tab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4E0A9ED2-8D00-4F48-8D30-FD08A8C765E7}" name="Calc_NetworkF_2" displayName="Calc_NetworkF_2" ref="C466:K471" totalsRowShown="0" headerRowDxfId="270" headerRowBorderDxfId="269" tableBorderDxfId="268" totalsRowBorderDxfId="267" headerRowCellStyle="Table col heading">
  <tableColumns count="9">
    <tableColumn id="1" xr3:uid="{D38E552C-C6A6-40C2-9CA0-7FC7197AE66A}" name="Cost item"/>
    <tableColumn id="2" xr3:uid="{03758CD2-D50C-40CD-98A0-210010BE529C}" name="Fixed/Variable"/>
    <tableColumn id="3" xr3:uid="{A465FF89-A6AC-4B33-AB2F-144AD4966E2B}" name="Unit" dataCellStyle="Table cell"/>
    <tableColumn id="9" xr3:uid="{BE863A71-0407-4CC5-A963-E85A55602C43}" name="Customer type" dataDxfId="266" dataCellStyle="Table cell"/>
    <tableColumn id="4" xr3:uid="{E263191F-A889-48FA-AAEA-BCE459A10C20}" name="Ausnet" dataDxfId="265" dataCellStyle="Calculation">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item]],0),MATCH($D$267,Inputs!$C$15:$Y$15,0)),"-")</calculatedColumnFormula>
    </tableColumn>
    <tableColumn id="5" xr3:uid="{E6E4BB6F-BD70-4891-95C8-F6841E10AE1F}" name="Citipower" dataDxfId="264">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item]],0),MATCH($D$267,Inputs!$C$15:$Y$15,0)),"-")</calculatedColumnFormula>
    </tableColumn>
    <tableColumn id="6" xr3:uid="{74B2C5CE-E472-453B-BE1E-199DD74C52A8}" name="Jemena" dataDxfId="263">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item]],0),MATCH($D$267,Inputs!$C$15:$Y$15,0)),"-")</calculatedColumnFormula>
    </tableColumn>
    <tableColumn id="7" xr3:uid="{BB022CED-F0B8-48AE-86ED-16EA04ED82D4}" name="Powercor" dataDxfId="262">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item]],0),MATCH($D$267,Inputs!$C$15:$Y$15,0)),"-")</calculatedColumnFormula>
    </tableColumn>
    <tableColumn id="8" xr3:uid="{37BB4DBB-2AA0-4B3B-B81D-A3BEDA786117}" name="United Energy" dataDxfId="261">
      <calculatedColumnFormula array="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item]],0),MATCH($D$267,Inputs!$C$15:$Y$15,0)),"-")</calculatedColumnFormula>
    </tableColumn>
  </tableColumns>
  <tableStyleInfo name="Default tab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72C9E2E-BCF3-4E06-AE4B-999827903A85}" name="Calc_NetworkV_2" displayName="Calc_NetworkV_2" ref="C474:K485" totalsRowShown="0" headerRowDxfId="260" dataDxfId="258" headerRowBorderDxfId="259" tableBorderDxfId="257" totalsRowBorderDxfId="256" headerRowCellStyle="Table col heading" dataCellStyle="Calculation">
  <tableColumns count="9">
    <tableColumn id="1" xr3:uid="{A42221E9-38CD-4719-9CB9-680E3FE0AB3B}" name="Cost item" dataCellStyle="Table cell"/>
    <tableColumn id="2" xr3:uid="{427969E6-F9FD-4A2F-AE33-CB0C35F67BA9}" name="Fixed/Variable" dataCellStyle="Table cell"/>
    <tableColumn id="3" xr3:uid="{2BA6E17D-E067-4AAC-B77F-219CB9F95259}" name="Unit" dataCellStyle="Table cell"/>
    <tableColumn id="9" xr3:uid="{D92AB887-DC72-4FF5-AC76-00519F97E33D}" name="Customer type" dataDxfId="255" dataCellStyle="Table cell"/>
    <tableColumn id="4" xr3:uid="{036757F4-CC3E-4CFE-BEE6-59E663C8DD43}" name="Ausnet" dataDxfId="254"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MATCH($D$267,Inputs!$C$15:$Y$15,0)))/100,"-")</calculatedColumnFormula>
    </tableColumn>
    <tableColumn id="5" xr3:uid="{AE94E996-3010-41EE-98D2-09418CBEF705}" name="Citipower" dataDxfId="253"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MATCH($D$267,Inputs!$C$15:$Y$15,0)))/100,"-")</calculatedColumnFormula>
    </tableColumn>
    <tableColumn id="6" xr3:uid="{C3B601D0-315D-46AC-86AD-25A56993C77D}" name="Jemena" dataDxfId="252"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MATCH($D$267,Inputs!$C$15:$Y$15,0)))/100,"-")</calculatedColumnFormula>
    </tableColumn>
    <tableColumn id="7" xr3:uid="{75D9B400-5B56-4251-876D-D3B2AD0EDE08}" name="Powercor" dataDxfId="251"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MATCH($D$267,Inputs!$C$15:$Y$15,0)))/100,"-")</calculatedColumnFormula>
    </tableColumn>
    <tableColumn id="8" xr3:uid="{72E976D5-6CF4-4BF4-8596-EF5DDC69965F}" name="United Energy" dataDxfId="250" dataCellStyle="Calculation">
      <calculatedColumnFormula array="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MATCH($D$267,Inputs!$C$15:$Y$15,0)))/100,"-")</calculatedColumnFormula>
    </tableColumn>
  </tableColumns>
  <tableStyleInfo name="Default tab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A43AECED-8885-4699-9018-976951DCEAEC}" name="Calc_WholesaleRES_2" displayName="Calc_WholesaleRES_2" ref="C490:K493" totalsRowShown="0" headerRowDxfId="249" headerRowBorderDxfId="248" tableBorderDxfId="247" headerRowCellStyle="Table col heading">
  <tableColumns count="9">
    <tableColumn id="1" xr3:uid="{55616D8A-0BC7-47DE-A9AD-A18C20CAD8E8}" name="Cost item"/>
    <tableColumn id="2" xr3:uid="{8849EA41-8407-4971-A187-A2595136364B}" name="Fixed/Variable"/>
    <tableColumn id="3" xr3:uid="{7467E916-F8C7-4E84-9658-A30010C5DDFB}" name="Unit"/>
    <tableColumn id="9" xr3:uid="{DD46CE72-BA1A-4017-990D-6941FE945045}" name="Customer type" dataDxfId="246" dataCellStyle="Table cell"/>
    <tableColumn id="4" xr3:uid="{809DE305-D85D-4DA6-9F81-6D2F651C2EC0}" name="Ausnet" dataDxfId="245"/>
    <tableColumn id="5" xr3:uid="{ED0D7F05-C22B-4EC1-8CDE-AF6D2FD6166E}" name="Citipower" dataDxfId="244"/>
    <tableColumn id="6" xr3:uid="{B4B973FC-6C95-4B31-B9D7-8BFBB8D04D0F}" name="Jemena" dataDxfId="243"/>
    <tableColumn id="7" xr3:uid="{52008CB4-E4CB-481A-A36B-0E4ECF3E2C84}" name="Powercor" dataDxfId="242"/>
    <tableColumn id="8" xr3:uid="{5F24B15A-3CAE-4F6C-B56E-177E8642134E}" name="United Energy" dataDxfId="241"/>
  </tableColumns>
  <tableStyleInfo name="Default tab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807C98C9-DEA2-499D-BCEC-1ADC2B76173B}" name="Calc_WholesaleSME_2" displayName="Calc_WholesaleSME_2" ref="C496:K499" totalsRowShown="0" headerRowDxfId="240" headerRowBorderDxfId="239" tableBorderDxfId="238" headerRowCellStyle="Table col heading">
  <tableColumns count="9">
    <tableColumn id="1" xr3:uid="{2F0330C9-FA4B-4B76-809A-3FFC706FA169}" name="Cost item"/>
    <tableColumn id="2" xr3:uid="{78653F00-2B8C-4BEB-99B3-5D899DAF194B}" name="Fixed/Variable"/>
    <tableColumn id="3" xr3:uid="{EB7E3CD7-5F6B-4CB7-9B55-B1A551960A87}" name="Unit"/>
    <tableColumn id="9" xr3:uid="{565AFD53-96DA-4A2D-874C-56C80926C3E1}" name="Customer type" dataDxfId="237" dataCellStyle="Table cell"/>
    <tableColumn id="4" xr3:uid="{2D68E5B7-6558-44D7-A7DD-E465C5C7F977}" name="Ausnet" dataDxfId="236"/>
    <tableColumn id="5" xr3:uid="{E0249D4F-24CE-4366-AD41-D943CD45AF8A}" name="Citipower" dataDxfId="235"/>
    <tableColumn id="6" xr3:uid="{05111774-1FD7-46E5-904E-F77A51A63099}" name="Jemena" dataDxfId="234"/>
    <tableColumn id="7" xr3:uid="{60E0B7A4-662F-4DCA-B8BD-3A1A03F20EC4}" name="Powercor" dataDxfId="233"/>
    <tableColumn id="8" xr3:uid="{BC8EA099-7982-4976-92A9-37CF7F323A04}" name="United Energy" dataDxfId="232"/>
  </tableColumns>
  <tableStyleInfo name="Default tab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78FABF61-76BF-48EF-B505-776F278BB84F}" name="Calc_EnviroVEU_2" displayName="Calc_EnviroVEU_2" ref="C504:K507" headerRowDxfId="231" headerRowBorderDxfId="230" tableBorderDxfId="229" headerRowCellStyle="Table col heading" dataCellStyle="Internal link/lookup">
  <tableColumns count="9">
    <tableColumn id="1" xr3:uid="{5EDF66C7-C7F9-42E7-B17E-0A2D1BB3D8EA}" name="Cost item" dataCellStyle="Table cell"/>
    <tableColumn id="2" xr3:uid="{1DD3DB1A-FA8C-40B9-96A5-CCF273541652}" name="Fixed/Variable" dataCellStyle="Table cell"/>
    <tableColumn id="3" xr3:uid="{F4DF5AAD-28C1-430F-A85B-FE98F6BCA66F}" name="Unit" dataCellStyle="Table cell"/>
    <tableColumn id="9" xr3:uid="{39F18777-7928-4E45-A6E5-4949449D9B17}" name="Customer type" dataCellStyle="Table cell"/>
    <tableColumn id="4" xr3:uid="{72BCCABF-61A1-496B-A1F1-313913406971}" name="Ausnet" dataDxfId="228" dataCellStyle="Internal link/lookup"/>
    <tableColumn id="5" xr3:uid="{3632AAF8-9994-487F-B2AE-D91E6898616F}" name="Citipower" dataDxfId="227" dataCellStyle="Internal link/lookup"/>
    <tableColumn id="6" xr3:uid="{2D670DF7-A7E1-4815-8D99-FEBF3D8719A9}" name="Jemena" dataDxfId="226" dataCellStyle="Internal link/lookup"/>
    <tableColumn id="7" xr3:uid="{F31CC8AE-80E4-4035-B43D-29D83AB0E44B}" name="Powercor" dataDxfId="225" dataCellStyle="Internal link/lookup"/>
    <tableColumn id="8" xr3:uid="{ABB21325-49FB-44E1-9BEE-EF0B2D015359}" name="United Energy" dataDxfId="224" dataCellStyle="Internal link/lookup"/>
  </tableColumns>
  <tableStyleInfo name="Default tab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CBD7F563-8C27-44C8-A251-94ED92356BAB}" name="Calc_EnviroLRET_2" displayName="Calc_EnviroLRET_2" ref="C510:K513" totalsRowShown="0" headerRowDxfId="223" headerRowBorderDxfId="222" tableBorderDxfId="221" headerRowCellStyle="Table col heading" dataCellStyle="Internal link/lookup">
  <tableColumns count="9">
    <tableColumn id="1" xr3:uid="{2E796124-0F36-4D5C-9E02-8A0D3471F3AC}" name="Cost item" dataCellStyle="Table cell"/>
    <tableColumn id="2" xr3:uid="{C0EFC863-A147-4A4B-9CD5-3BEDACFA83D3}" name="Fixed/Variable" dataCellStyle="Table cell"/>
    <tableColumn id="3" xr3:uid="{3E3D2AF2-16D7-4872-891A-23E6EF08388C}" name="Unit" dataCellStyle="Table cell"/>
    <tableColumn id="9" xr3:uid="{6D9C9597-8B4B-456E-BE78-2619427622CB}" name="Customer type" dataDxfId="220" dataCellStyle="Table cell"/>
    <tableColumn id="4" xr3:uid="{D42DF87B-2F3A-445A-A591-A957064999AE}" name="Ausnet" dataDxfId="219" dataCellStyle="Internal link/lookup"/>
    <tableColumn id="5" xr3:uid="{0D536E01-9C54-40A5-872F-7AEC6B5E5964}" name="Citipower" dataDxfId="218" dataCellStyle="Internal link/lookup"/>
    <tableColumn id="6" xr3:uid="{61156598-626D-4F85-A017-2C9888B3AD91}" name="Jemena" dataDxfId="217" dataCellStyle="Internal link/lookup"/>
    <tableColumn id="7" xr3:uid="{4EE5EB45-9330-4B64-B7A3-C08F48938D41}" name="Powercor" dataDxfId="216" dataCellStyle="Internal link/lookup"/>
    <tableColumn id="8" xr3:uid="{99C9DEB0-D84E-402A-BBDC-1CDA9A808BD7}" name="United Energy" dataDxfId="215" dataCellStyle="Internal link/lookup"/>
  </tableColumns>
  <tableStyleInfo name="Default tab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14BBD54-9845-4747-B0FC-4306CC6FFD10}" name="Calc_EnviroSRES_2" displayName="Calc_EnviroSRES_2" ref="C516:K519" totalsRowShown="0" headerRowDxfId="214" headerRowBorderDxfId="213" tableBorderDxfId="212" headerRowCellStyle="Table col heading" dataCellStyle="Internal link/lookup">
  <tableColumns count="9">
    <tableColumn id="1" xr3:uid="{791A5626-6473-40AB-9ACB-89DB21A7706B}" name="Cost item" dataCellStyle="Table cell"/>
    <tableColumn id="2" xr3:uid="{5511F733-1BC6-4C83-BDCA-2DACD06711C1}" name="Fixed/Variable" dataCellStyle="Table cell"/>
    <tableColumn id="3" xr3:uid="{4BB6E085-34C6-4694-AFAC-02FEBC452056}" name="Unit" dataCellStyle="Table cell"/>
    <tableColumn id="9" xr3:uid="{23533F4A-2712-4732-89B5-7AA0D1A80ABF}" name="Customer type" dataDxfId="211" dataCellStyle="Table cell"/>
    <tableColumn id="4" xr3:uid="{5C3D7028-D35B-4243-9BD5-803DE0C1F090}" name="Ausnet" dataDxfId="210" dataCellStyle="Internal link/lookup"/>
    <tableColumn id="5" xr3:uid="{2A46EF8F-490F-41DC-BB79-D94A9890A10A}" name="Citipower" dataDxfId="209" dataCellStyle="Internal link/lookup"/>
    <tableColumn id="6" xr3:uid="{9CEE5387-7B05-4CC5-82B7-0186B5B65A5A}" name="Jemena" dataDxfId="208" dataCellStyle="Internal link/lookup"/>
    <tableColumn id="7" xr3:uid="{81F3FABF-D50E-455F-9DE6-D4EE60D73723}" name="Powercor" dataDxfId="207" dataCellStyle="Internal link/lookup"/>
    <tableColumn id="8" xr3:uid="{B347FCC2-B745-42AC-8178-54348C53A812}" name="United Energy" dataDxfId="206" dataCellStyle="Internal link/lookup"/>
  </tableColumns>
  <tableStyleInfo name="Default tab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D51D2367-9227-4BB4-96FF-F19EC747EAA3}" name="Calc_FiT_2" displayName="Calc_FiT_2" ref="C522:K523" totalsRowShown="0" headerRowDxfId="205" headerRowBorderDxfId="204" tableBorderDxfId="203" totalsRowBorderDxfId="202" headerRowCellStyle="Table col heading" dataCellStyle="Table cell">
  <tableColumns count="9">
    <tableColumn id="1" xr3:uid="{87D3B033-452C-4EAA-8C49-35E3405C2143}" name="Cost item" dataDxfId="201" dataCellStyle="Table cell"/>
    <tableColumn id="2" xr3:uid="{88359BC3-F007-4EE1-9B81-A4C460102BB2}" name="Fixed/Variable" dataDxfId="200" dataCellStyle="Table cell"/>
    <tableColumn id="3" xr3:uid="{6626E15A-F702-4BE7-A73A-E6EA86DA6540}" name="Unit" dataDxfId="199" dataCellStyle="Table cell"/>
    <tableColumn id="9" xr3:uid="{375ED3D3-A6C3-4331-B4C7-7DB2F31B8B1F}" name="Customer type" dataDxfId="198" dataCellStyle="Table cell"/>
    <tableColumn id="4" xr3:uid="{36245F65-6230-4EA2-BF7F-0CC113135C97}" name="Ausnet" dataDxfId="197" dataCellStyle="Calculation"/>
    <tableColumn id="5" xr3:uid="{CA2D09F7-DE00-4523-8ABA-06C29613DAF0}" name="Citipower" dataDxfId="196" dataCellStyle="Calculation"/>
    <tableColumn id="6" xr3:uid="{2815AC9D-D500-4E33-A24F-57B0B3A74BA5}" name="Jemena" dataDxfId="195" dataCellStyle="Calculation"/>
    <tableColumn id="7" xr3:uid="{F06523DB-0763-4ABE-944B-6D5B8C4BAA9D}" name="Powercor" dataDxfId="194" dataCellStyle="Calculation"/>
    <tableColumn id="8" xr3:uid="{FE932EEE-12EB-40EF-9237-94951095FD12}" name="United Energy" dataDxfId="193" dataCellStyle="Calculation"/>
  </tableColumns>
  <tableStyleInfo name="Default tab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9CD68F95-F088-46C9-93E7-6B5656B787E5}" name="Calc_Fixed_2" displayName="Calc_Fixed_2" ref="C271:K275" totalsRowShown="0" headerRowDxfId="192" dataDxfId="190" headerRowBorderDxfId="191" tableBorderDxfId="189" totalsRowBorderDxfId="188" headerRowCellStyle="Table col heading" dataCellStyle="Calculation">
  <tableColumns count="9">
    <tableColumn id="1" xr3:uid="{6D433DCD-FDD1-461C-BE51-5F64B0028857}" name="Fixed costs" dataCellStyle="Table cell"/>
    <tableColumn id="2" xr3:uid="{ADD02781-6CE5-4079-841C-11C03E2E9665}" name="Fixed/Variable" dataCellStyle="Table cell"/>
    <tableColumn id="3" xr3:uid="{1A92D67E-B492-4C85-8E9E-B5B091B406F6}" name="Unit" dataCellStyle="Table cell"/>
    <tableColumn id="4" xr3:uid="{472EC734-2FCF-49D5-9742-7BF822185EDF}" name="Customer type" dataCellStyle="Table cell"/>
    <tableColumn id="5" xr3:uid="{D7EEA12E-6348-4F58-8BC0-7924D6482FE3}" name="Ausnet" dataDxfId="187" dataCellStyle="Calculation"/>
    <tableColumn id="6" xr3:uid="{6CBEE716-3155-4B4C-AF50-A4352518DBD3}" name="Citipower" dataDxfId="186" dataCellStyle="Calculation"/>
    <tableColumn id="7" xr3:uid="{F520C065-E9F5-4EDB-8DA0-EBF051D23BA5}" name="Jemena" dataDxfId="185" dataCellStyle="Calculation"/>
    <tableColumn id="8" xr3:uid="{D9BCCDE5-85BC-4D9C-9B03-D4A1BA943D08}" name="Powercor" dataDxfId="184" dataCellStyle="Calculation"/>
    <tableColumn id="9" xr3:uid="{7F674C9A-9F59-4BC3-B55A-1EF91EB24F45}" name="United Energy" dataDxfId="183" dataCellStyle="Calculation"/>
  </tableColumns>
  <tableStyleInfo name="Default tab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7C4114-DAEF-40E2-A897-DCCBA31E9DF7}" name="Calc_Variable_2" displayName="Calc_Variable_2" ref="C312:K318" totalsRowShown="0" headerRowDxfId="182" dataDxfId="180" headerRowBorderDxfId="181" tableBorderDxfId="179" totalsRowBorderDxfId="178" headerRowCellStyle="Table col heading" dataCellStyle="Calculation">
  <tableColumns count="9">
    <tableColumn id="1" xr3:uid="{E9428663-265E-4639-87C7-9F3BDBC5CB8E}" name="Variable costs" dataCellStyle="Table cell"/>
    <tableColumn id="2" xr3:uid="{4887F817-6E0C-4AC4-8D7F-575231CC1492}" name="Fixed/Variable" dataCellStyle="Table cell"/>
    <tableColumn id="3" xr3:uid="{A9B72F22-10DA-429E-8D83-86BB113D7F7D}" name="Unit" dataCellStyle="Table cell"/>
    <tableColumn id="4" xr3:uid="{25484AC1-7C71-4B3F-B0B2-22999836C216}" name="Customer type" dataCellStyle="Table cell"/>
    <tableColumn id="5" xr3:uid="{A6B6DA7D-C141-458D-B657-090C44FFD74B}" name="Ausnet" dataDxfId="177" dataCellStyle="Calculation">
      <calculatedColumnFormula>SUMIFS(Calc_NetworkV_1[Ausnet],Calc_NetworkV_1[[Cost item]:[Cost item]],$C313,Calc_NetworkV_1[[Customer type]:[Customer type]],$F313)</calculatedColumnFormula>
    </tableColumn>
    <tableColumn id="6" xr3:uid="{847207F5-00A7-4B3E-AEB3-B65DA23D2D91}" name="Citipower" dataDxfId="176" dataCellStyle="Calculation">
      <calculatedColumnFormula>SUMIFS(Calc_NetworkV_1[Citipower],Calc_NetworkV_1[[Cost item]:[Cost item]],$C313,Calc_NetworkV_1[[Customer type]:[Customer type]],$F313)</calculatedColumnFormula>
    </tableColumn>
    <tableColumn id="7" xr3:uid="{0C1FD2BC-AE5F-4E00-AC3A-28398FA94E09}" name="Jemena" dataDxfId="175" dataCellStyle="Calculation">
      <calculatedColumnFormula>SUMIFS(Calc_NetworkV_1[Jemena],Calc_NetworkV_1[[Cost item]:[Cost item]],$C313,Calc_NetworkV_1[[Customer type]:[Customer type]],$F313)</calculatedColumnFormula>
    </tableColumn>
    <tableColumn id="8" xr3:uid="{E174452F-B3A9-4A57-BB2E-7C173F27A50E}" name="Powercor" dataDxfId="174" dataCellStyle="Calculation">
      <calculatedColumnFormula>SUMIFS(Calc_NetworkV_1[Powercor],Calc_NetworkV_1[[Cost item]:[Cost item]],$C313,Calc_NetworkV_1[[Customer type]:[Customer type]],$F313)</calculatedColumnFormula>
    </tableColumn>
    <tableColumn id="9" xr3:uid="{141CD577-64AA-4FBA-A116-0412EB02F72E}" name="United Energy" dataDxfId="173" dataCellStyle="Calculation">
      <calculatedColumnFormula>SUMIFS(Calc_NetworkV_1[United Energy],Calc_NetworkV_1[[Cost item]:[Cost item]],$C313,Calc_NetworkV_1[[Customer type]:[Customer type]],$F313)</calculatedColumnFormula>
    </tableColumn>
  </tableColumns>
  <tableStyleInfo name="Default tab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ED4BA07-FFEF-46D7-8C6B-485F53BD797C}" name="Calc_TUV_Env_1" displayName="Calc_TUV_Env_1" ref="C15:O54" totalsRowShown="0" headerRowDxfId="172" headerRowBorderDxfId="171" tableBorderDxfId="170" headerRowCellStyle="Table col heading" dataCellStyle="Table cell">
  <tableColumns count="13">
    <tableColumn id="1" xr3:uid="{9A3E1522-EF60-458C-A033-8259CC991250}" name="Cost item" dataCellStyle="Table cell"/>
    <tableColumn id="3" xr3:uid="{AA6A5485-9931-42FB-A21B-7887DFCCA014}" name="VDO decision" dataCellStyle="Table cell"/>
    <tableColumn id="11" xr3:uid="{63469E02-A8E6-4904-A4D1-AA605090A9A1}" name="Decision/Actual" dataCellStyle="Table cell"/>
    <tableColumn id="13" xr3:uid="{6A4C01CA-5362-400A-B621-C790E4ECD057}" name="Decision ref" dataCellStyle="Table cell"/>
    <tableColumn id="4" xr3:uid="{8ABEC6A4-07CC-490E-98FE-DD358CAF5DEF}" name="Pass through (Yes/No)" dataCellStyle="Table cell"/>
    <tableColumn id="12" xr3:uid="{9AA432CC-A2AE-4FBD-93D9-8298E3AA8C5C}" name="Fixed/Variable" dataCellStyle="Table cell"/>
    <tableColumn id="2" xr3:uid="{83818C8B-F883-42B7-993F-A248AF1DD74B}" name="Unit" dataCellStyle="Table cell"/>
    <tableColumn id="5" xr3:uid="{768912C1-1664-4D27-8D20-D52821CA2B28}" name="Customer type" dataCellStyle="Table cell"/>
    <tableColumn id="6" xr3:uid="{04DDD5E9-508C-40C4-947C-1D357D975B8B}" name="Ausnet" dataDxfId="169" dataCellStyle="Table cell"/>
    <tableColumn id="7" xr3:uid="{CD0C679D-D835-4294-85E9-654B7B6E8BE3}" name="Citipower" dataDxfId="168" dataCellStyle="Table cell"/>
    <tableColumn id="8" xr3:uid="{02ABE665-7668-45F8-AD39-37CF4EF95002}" name="Jemena" dataDxfId="167" dataCellStyle="Table cell"/>
    <tableColumn id="9" xr3:uid="{79A5E329-7BA6-4A9F-8AC8-3B57AFA0DAD3}" name="Powercor" dataDxfId="166" dataCellStyle="Table cell"/>
    <tableColumn id="10" xr3:uid="{1C09CFC8-36A6-407C-B07B-AAF64193F92A}" name="United Energy" dataDxfId="165" dataCellStyle="Table cell"/>
  </tableColumns>
  <tableStyleInfo name="Default tab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2BD8368D-D2AA-4ABB-80C1-FE62922A7BBF}" name="Calc_TUV_Env_2" displayName="Calc_TUV_Env_2" ref="C234:O273" totalsRowShown="0" headerRowDxfId="164" headerRowBorderDxfId="163" tableBorderDxfId="162" headerRowCellStyle="Table col heading" dataCellStyle="Table cell">
  <tableColumns count="13">
    <tableColumn id="1" xr3:uid="{DEAB59F0-3313-48E1-848D-A0C5FC8C4A7D}" name="Cost item" dataCellStyle="Table cell"/>
    <tableColumn id="11" xr3:uid="{07468E5A-1C05-4869-8028-31B5FD6FE643}" name="VDO decision" dataCellStyle="Table cell"/>
    <tableColumn id="12" xr3:uid="{E0CA252D-08A0-47E0-AE7D-A94CDBF23AEB}" name="Decision/Actual" dataCellStyle="Table cell"/>
    <tableColumn id="13" xr3:uid="{8E626171-48B0-4F76-8FBA-CD121EEF8146}" name="Decision ref" dataCellStyle="Table cell"/>
    <tableColumn id="4" xr3:uid="{90758148-81F3-46AE-977E-3B565EE1655E}" name="Pass through (Yes/No)" dataCellStyle="Table cell"/>
    <tableColumn id="3" xr3:uid="{F3E9F982-5696-4FC0-9018-6739485A8E32}" name="Fixed/Variable" dataCellStyle="Table cell"/>
    <tableColumn id="2" xr3:uid="{E2711737-C5E5-4DFE-B4D7-6C39AB9F3BBA}" name="Unit" dataCellStyle="Table cell"/>
    <tableColumn id="5" xr3:uid="{F1CEFF4A-CFB0-4FB8-B8F7-00ACC7559123}" name="Customer type" dataCellStyle="Table cell"/>
    <tableColumn id="6" xr3:uid="{19C836A4-81F0-4E02-8F62-124FF79FB078}" name="Ausnet" dataDxfId="161" dataCellStyle="Table cell"/>
    <tableColumn id="7" xr3:uid="{AEE24C25-A8BC-420E-B521-18899E5AA37E}" name="Citipower" dataDxfId="160" dataCellStyle="Table cell"/>
    <tableColumn id="8" xr3:uid="{AEB8CFC9-76A8-427E-A724-08B3A335C7AF}" name="Jemena" dataDxfId="159" dataCellStyle="Table cell"/>
    <tableColumn id="9" xr3:uid="{96BC78E1-488C-466C-AC22-9843F217394B}" name="Powercor" dataDxfId="158" dataCellStyle="Table cell"/>
    <tableColumn id="10" xr3:uid="{745E68ED-8623-427C-AE81-7FDF8DAA9F5A}" name="United Energy" dataDxfId="157" dataCellStyle="Table cell"/>
  </tableColumns>
  <tableStyleInfo name="Default tab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6B3887C2-F913-4ADF-BCE5-B4DB6FECDE42}" name="Calc_TUV_Net_1" displayName="Calc_TUV_Net_1" ref="C100:O219" totalsRowShown="0" headerRowDxfId="156" headerRowBorderDxfId="155" tableBorderDxfId="154" headerRowCellStyle="Table col heading" dataCellStyle="Table cell">
  <tableColumns count="13">
    <tableColumn id="1" xr3:uid="{C8BD7E1E-1DD8-46D7-A978-1371F62E5C22}" name="Cost item" dataCellStyle="Table cell"/>
    <tableColumn id="3" xr3:uid="{BB851345-3385-4E9C-BBF0-1BB75D6986E3}" name="VDO decision" dataCellStyle="Table cell"/>
    <tableColumn id="11" xr3:uid="{2B5E42B7-64E5-4CF9-903A-7E0F07472F89}" name="Decision/Actual" dataDxfId="153" dataCellStyle="Table cell"/>
    <tableColumn id="13" xr3:uid="{97AFA7C6-4729-480D-A539-A29F6733B180}" name="Decision ref" dataDxfId="152" dataCellStyle="Table cell"/>
    <tableColumn id="4" xr3:uid="{6C80B2D3-AB24-44F7-9DCD-E09360E88A84}" name="Pass through (Yes/No)" dataCellStyle="Table cell"/>
    <tableColumn id="12" xr3:uid="{FAF72939-7F43-4CA3-84B9-7001023E887A}" name="Fixed/Variable" dataCellStyle="Table cell"/>
    <tableColumn id="2" xr3:uid="{2B3E2C74-E92B-4B9B-BB93-24F7CEA69A4D}" name="Unit" dataCellStyle="Table cell"/>
    <tableColumn id="5" xr3:uid="{4C99CA6A-B8ED-4428-9001-5AF3B5520E55}" name="Customer type" dataCellStyle="Table cell"/>
    <tableColumn id="6" xr3:uid="{CF828979-524A-4DF9-B9B9-A6566CC50F44}" name="Ausnet" dataDxfId="151" dataCellStyle="Table cell">
      <calculatedColumnFormula>INDEX(Input_ForRateCalc[],MATCH($C101&amp;" - "&amp;K$100,Input_ForRateCalc[Cost item],0),MATCH(#REF!,Inputs!$C$15:$Q$15,0))</calculatedColumnFormula>
    </tableColumn>
    <tableColumn id="7" xr3:uid="{E72609C9-3164-4E3F-A82E-30ED89F2C915}" name="Citipower" dataDxfId="150" dataCellStyle="Table cell"/>
    <tableColumn id="8" xr3:uid="{ACFA6199-47C9-4850-BA0D-492483CB2DEB}" name="Jemena" dataDxfId="149" dataCellStyle="Table cell"/>
    <tableColumn id="9" xr3:uid="{0CCEDAC3-4F03-43F7-BBA9-1A2EBDE5BE72}" name="Powercor" dataDxfId="148" dataCellStyle="Table cell"/>
    <tableColumn id="10" xr3:uid="{AAB1F354-BEAF-414F-BA5C-28182E45CA95}" name="United Energy" dataDxfId="147" dataCellStyle="Table cell"/>
  </tableColumns>
  <tableStyleInfo name="Default tab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F98EC66F-AA68-4EDB-80C0-49E40603808F}" name="Calc_TUV_Net_2" displayName="Calc_TUV_Net_2" ref="C320:O438" totalsRowShown="0" headerRowDxfId="146" headerRowBorderDxfId="145" tableBorderDxfId="144" headerRowCellStyle="Table col heading" dataCellStyle="Table cell">
  <tableColumns count="13">
    <tableColumn id="1" xr3:uid="{802AF59F-8604-4B66-B903-49ADFE4E3CCF}" name="Cost item" dataCellStyle="Table cell"/>
    <tableColumn id="3" xr3:uid="{8EB27DDD-18AE-433F-A5B3-E76F9D20AD45}" name="VDO decision" dataCellStyle="Table cell"/>
    <tableColumn id="11" xr3:uid="{054988D7-4073-41D7-B3ED-090DF14BF35A}" name="Decision/Actual" dataDxfId="143" dataCellStyle="Table cell"/>
    <tableColumn id="13" xr3:uid="{BA0352E2-EB7C-493C-8993-65E9EE06C836}" name="Decision ref" dataDxfId="142" dataCellStyle="Table cell"/>
    <tableColumn id="4" xr3:uid="{B8CE70A9-6CC9-4624-8AEC-7C8BCC92192C}" name="Pass through (Yes/No)" dataCellStyle="Table cell"/>
    <tableColumn id="12" xr3:uid="{FEDE33B8-16DB-4276-A069-90785447428F}" name="Fixed/Variable" dataCellStyle="Table cell"/>
    <tableColumn id="2" xr3:uid="{ACF285C0-BF63-4F73-AB4F-234265ED90CC}" name="Unit" dataCellStyle="Table cell"/>
    <tableColumn id="5" xr3:uid="{ADAC2617-D3E7-4BB8-A4F4-61EC5A4F109C}" name="Customer type" dataCellStyle="Table cell"/>
    <tableColumn id="6" xr3:uid="{DA662F0E-03DC-4EB7-A888-9EACD0EA6005}" name="Ausnet" dataDxfId="141" dataCellStyle="Table cell">
      <calculatedColumnFormula>INDEX(Input_ForRateCalc[],MATCH($C321&amp;" - "&amp;K$100,Input_ForRateCalc[Cost item],0),MATCH(#REF!,Inputs!$C$15:$Q$15,0))</calculatedColumnFormula>
    </tableColumn>
    <tableColumn id="7" xr3:uid="{7DB7A116-3678-474F-83C5-D1168C6C71C3}" name="Citipower" dataDxfId="140" dataCellStyle="Table cell"/>
    <tableColumn id="8" xr3:uid="{B5696C6B-ABCE-4541-B404-66A016EC8947}" name="Jemena" dataDxfId="139" dataCellStyle="Table cell"/>
    <tableColumn id="9" xr3:uid="{D039B53D-61BC-47A9-9CFB-2D46DD3B9A03}" name="Powercor" dataDxfId="138" dataCellStyle="Table cell"/>
    <tableColumn id="10" xr3:uid="{EF8C0228-0A1F-40C9-B385-AB92F6CA0C3C}" name="United Energy" dataDxfId="137" dataCellStyle="Table cell"/>
  </tableColumns>
  <tableStyleInfo name="Default tab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D055C5D-D1CA-45B7-8D3A-DEFFFED99BA7}" name="TUNet_Usage_Actual_2" displayName="TUNet_Usage_Actual_2" ref="C301:F308" totalsRowShown="0" headerRowDxfId="136" headerRowBorderDxfId="135" tableBorderDxfId="134" totalsRowBorderDxfId="133" headerRowCellStyle="Table col heading">
  <tableColumns count="4">
    <tableColumn id="1" xr3:uid="{28874C8A-C156-40BF-A055-DDB875FFA0D4}" name="Description"/>
    <tableColumn id="4" xr3:uid="{1B4BDA76-AE03-4FF7-9CFC-38F17C7DF6E4}" name="VDO decision"/>
    <tableColumn id="2" xr3:uid="{17A7A0D3-28A8-4CE6-936E-F72D83CD961B}" name="Customer type" dataDxfId="132" dataCellStyle="Table cell"/>
    <tableColumn id="3" xr3:uid="{7E3A8B2D-4674-4822-AF6C-48930867276F}" name="Value" dataDxfId="131" dataCellStyle="Table cell"/>
  </tableColumns>
  <tableStyleInfo name="Default tab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D4EB641-0DAC-4188-BFB1-262EBF68F214}" name="TUNet_Usage_Actual_1" displayName="TUNet_Usage_Actual_1" ref="C81:F88" totalsRowShown="0" headerRowDxfId="130" headerRowBorderDxfId="129" tableBorderDxfId="128" totalsRowBorderDxfId="127" headerRowCellStyle="Table col heading">
  <tableColumns count="4">
    <tableColumn id="1" xr3:uid="{DF878388-1FA3-415B-AEDD-161C1919B838}" name="Description"/>
    <tableColumn id="4" xr3:uid="{84EADD7B-F51E-412C-8E94-AC0CBC19B57F}" name="VDO decision" dataDxfId="126" dataCellStyle="Auto-populated">
      <calculatedColumnFormula>INDEX(Inputs!$H$17:$Q$17,1,MATCH($D$5,Inputs!$H$15:$Q$15,0))</calculatedColumnFormula>
    </tableColumn>
    <tableColumn id="2" xr3:uid="{425C28FB-44A3-4B7F-9A78-0A22116B43DA}" name="Customer type" dataDxfId="125" dataCellStyle="Table cell"/>
    <tableColumn id="3" xr3:uid="{E37F2044-12A9-4467-A63A-24B0657C5167}" name="Value" dataDxfId="124" dataCellStyle="Table cell"/>
  </tableColumns>
  <tableStyleInfo name="Default tab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45BCF77-CD47-4788-AE60-2582F6BED31B}" name="TUNet_Usage_PerRate_2" displayName="TUNet_Usage_PerRate_2" ref="C311:J317" totalsRowShown="0" headerRowDxfId="123" dataDxfId="121" headerRowBorderDxfId="122" tableBorderDxfId="120" headerRowCellStyle="Table col heading" dataCellStyle="Table cell">
  <tableColumns count="8">
    <tableColumn id="1" xr3:uid="{E8C7C3E9-1B26-46E0-A663-1DE39AE4D2C0}" name="Description" dataDxfId="119" dataCellStyle="Table cell"/>
    <tableColumn id="2" xr3:uid="{DF74788D-B1C9-4A01-B1A6-5EAF60A5F171}" name="VDO decision" dataDxfId="118" dataCellStyle="Auto-populated">
      <calculatedColumnFormula>INDEX(Inputs!$H$17:$Q$17,1,MATCH($D$224,Inputs!$H$15:$Q$15,0))</calculatedColumnFormula>
    </tableColumn>
    <tableColumn id="3" xr3:uid="{83EEC5EB-CF34-4F33-8180-0BEEF7880743}" name="Customer type" dataDxfId="117" dataCellStyle="Table cell"/>
    <tableColumn id="4" xr3:uid="{C1263D2C-8A88-4BC9-BAA1-B9848AFA365B}" name="Ausnet" dataDxfId="116" dataCellStyle="Table cell"/>
    <tableColumn id="5" xr3:uid="{3CF3B8DA-29D3-4ECD-9F95-B43381124E67}" name="Citipower" dataDxfId="115" dataCellStyle="Table cell"/>
    <tableColumn id="6" xr3:uid="{8443C700-E09C-4871-8A19-F1CF5F7F18C5}" name="Jemena" dataDxfId="114" dataCellStyle="Table cell"/>
    <tableColumn id="7" xr3:uid="{C0C7F693-766A-44F0-9355-01AF25816965}" name="Powercor" dataDxfId="113" dataCellStyle="Table cell"/>
    <tableColumn id="8" xr3:uid="{164E8A61-7E00-4646-A499-3A3CF12C6416}" name="United Energy" dataDxfId="112" dataCellStyle="Table cell"/>
  </tableColumns>
  <tableStyleInfo name="Default tab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290D667-A4D7-4671-9874-2284EC2678F4}" name="TUNet_Usage_PerRate_1" displayName="TUNet_Usage_PerRate_1" ref="C91:J97" totalsRowShown="0" headerRowDxfId="111" dataDxfId="109" headerRowBorderDxfId="110" tableBorderDxfId="108" headerRowCellStyle="Table col heading" dataCellStyle="Table cell">
  <tableColumns count="8">
    <tableColumn id="1" xr3:uid="{6A8EE9E9-FD7F-4BAE-9667-4BEE14FBF643}" name="Description" dataDxfId="107" dataCellStyle="Table cell"/>
    <tableColumn id="2" xr3:uid="{71F24345-BDE3-4B02-B60B-052DAE341DAA}" name="VDO decision" dataDxfId="106" dataCellStyle="Auto-populated">
      <calculatedColumnFormula>INDEX(Inputs!$H$17:$Q$17,1,MATCH($D$5,Inputs!$H$15:$Q$15,0))</calculatedColumnFormula>
    </tableColumn>
    <tableColumn id="3" xr3:uid="{2DE31F73-71D0-4149-8C55-8C6CB0899630}" name="Customer type" dataDxfId="105" dataCellStyle="Table cell"/>
    <tableColumn id="4" xr3:uid="{559B296F-1ED7-477A-9A22-F41F2956040E}" name="Ausnet" dataDxfId="104" dataCellStyle="Table cell"/>
    <tableColumn id="5" xr3:uid="{9E6DF55C-DF9C-470F-87BB-1DE64F2879D3}" name="Citipower" dataDxfId="103" dataCellStyle="Table cell"/>
    <tableColumn id="6" xr3:uid="{DEB90EB0-CBB8-48EC-ACA0-948C53D65573}" name="Jemena" dataDxfId="102" dataCellStyle="Table cell"/>
    <tableColumn id="7" xr3:uid="{BCB28824-5A3E-47B5-B8F4-1BDD7B8F06D3}" name="Powercor" dataDxfId="101" dataCellStyle="Table cell"/>
    <tableColumn id="8" xr3:uid="{08441778-95AA-43DA-B706-B90571C5C6CA}" name="United Energy" dataDxfId="100" dataCellStyle="Table cell"/>
  </tableColumns>
  <tableStyleInfo name="Default tab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4D2CFF59-1E5D-4A47-96A5-64C9EA3C528A}" name="Calc_TUV_NetGroup_1" displayName="Calc_TUV_NetGroup_1" ref="C10:L19" totalsRowShown="0" headerRowDxfId="99" headerRowBorderDxfId="98" tableBorderDxfId="97" totalsRowBorderDxfId="96" headerRowCellStyle="Table col heading" dataCellStyle="Table cell">
  <tableColumns count="10">
    <tableColumn id="1" xr3:uid="{8EF54E5A-D91D-4298-89FD-EFC67CFE0DD4}" name="Cost item" dataCellStyle="Table cell"/>
    <tableColumn id="2" xr3:uid="{84190791-6BFC-4A79-B93B-C4866579D043}" name="Fixed/Variable" dataCellStyle="Table cell"/>
    <tableColumn id="3" xr3:uid="{769CC324-A856-4800-B91F-1A2F23BCF882}" name="Unit" dataDxfId="95" dataCellStyle="Table cell"/>
    <tableColumn id="4" xr3:uid="{0869432B-AD12-48DC-AA94-60F2AF283928}" name="Customer type" dataCellStyle="Table cell"/>
    <tableColumn id="10" xr3:uid="{2D9A4D99-6B97-45E1-BFC0-B4B5F1A63637}" name="Cost element" dataCellStyle="Table cell"/>
    <tableColumn id="5" xr3:uid="{633ADCA7-E47D-4FBF-B95A-08C92B09A782}" name="Ausnet" dataCellStyle="Table cell">
      <calculatedColumnFormula array="1">IFERROR(SUMIFS(INDEX(Calc_TUV_Net_1[[Ausnet]:[United Energy]],0,MATCH(Calc_TUV_NetGroup_1[[#Headers],[Ausnet]],Calc_TUV_Net_1[[#Headers],[Ausnet]:[United Energy]],0)),
Calc_TUV_Net_1[Cost item],Calc_TUV_NetGroup_1[[#This Row],[Cost item]]&amp;" cost true up",
Calc_TUV_Net_1[Customer type],Calc_TUV_NetGroup_1[[#This Row],[Customer type]]),"-")</calculatedColumnFormula>
    </tableColumn>
    <tableColumn id="6" xr3:uid="{F041680C-4CA3-4784-93F1-6F2393CEA3D1}" name="Citipower" dataCellStyle="Table cell">
      <calculatedColumnFormula array="1">IFERROR(SUMIFS(INDEX(Calc_TUV_Net_1[[Ausnet]:[United Energy]],0,MATCH(Calc_TUV_NetGroup_1[[#Headers],[Citipower]],Calc_TUV_Net_1[[#Headers],[Ausnet]:[United Energy]],0)),
Calc_TUV_Net_1[Cost item],Calc_TUV_NetGroup_1[[#This Row],[Cost item]]&amp;" cost true up",
Calc_TUV_Net_1[Customer type],Calc_TUV_NetGroup_1[[#This Row],[Customer type]]),"-")</calculatedColumnFormula>
    </tableColumn>
    <tableColumn id="7" xr3:uid="{EAEA72E6-8228-47AC-A1B7-9E9AD032E3C2}" name="Jemena" dataCellStyle="Table cell">
      <calculatedColumnFormula array="1">IFERROR(SUMIFS(INDEX(Calc_TUV_Net_1[[Ausnet]:[United Energy]],0,MATCH(Calc_TUV_NetGroup_1[[#Headers],[Jemena]],Calc_TUV_Net_1[[#Headers],[Ausnet]:[United Energy]],0)),
Calc_TUV_Net_1[Cost item],Calc_TUV_NetGroup_1[[#This Row],[Cost item]]&amp;" cost true up",
Calc_TUV_Net_1[Customer type],Calc_TUV_NetGroup_1[[#This Row],[Customer type]]),"-")</calculatedColumnFormula>
    </tableColumn>
    <tableColumn id="8" xr3:uid="{4375E2F2-823F-43AA-9CF8-D2D45DCDED3C}" name="Powercor" dataCellStyle="Table cell">
      <calculatedColumnFormula array="1">IFERROR(SUMIFS(INDEX(Calc_TUV_Net_1[[Ausnet]:[United Energy]],0,MATCH(Calc_TUV_NetGroup_1[[#Headers],[Powercor]],Calc_TUV_Net_1[[#Headers],[Ausnet]:[United Energy]],0)),
Calc_TUV_Net_1[Cost item],Calc_TUV_NetGroup_1[[#This Row],[Cost item]]&amp;" cost true up",
Calc_TUV_Net_1[Customer type],Calc_TUV_NetGroup_1[[#This Row],[Customer type]]),"-")</calculatedColumnFormula>
    </tableColumn>
    <tableColumn id="9" xr3:uid="{CEE57B37-3775-45C1-98C7-DD7F7D8E2BA0}" name="United Energy" dataDxfId="94" dataCellStyle="Internal link/lookup">
      <calculatedColumnFormula array="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calculatedColumnFormula>
    </tableColumn>
  </tableColumns>
  <tableStyleInfo name="Default tab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1D5CE5C-A7FD-4197-8202-4CC5CB5898FF}" name="Calc_TUR_Net_1" displayName="Calc_TUR_Net_1" ref="C27:L31" totalsRowShown="0" headerRowDxfId="93" headerRowBorderDxfId="92" tableBorderDxfId="91" totalsRowBorderDxfId="90" headerRowCellStyle="Table col heading" dataCellStyle="Table cell">
  <tableColumns count="10">
    <tableColumn id="1" xr3:uid="{96F69DDD-7037-4C9B-A249-9FA4BE31F052}" name="Rate type" dataCellStyle="Table cell"/>
    <tableColumn id="2" xr3:uid="{51C955C3-5452-4093-B916-4551E0C3E040}" name="Fixed/Variable" dataCellStyle="Table cell"/>
    <tableColumn id="3" xr3:uid="{E1277D1F-56B0-47A1-9F4F-B169635AF99E}" name="Unit" dataDxfId="89" dataCellStyle="Table cell"/>
    <tableColumn id="4" xr3:uid="{3E7740D7-E476-4509-87CD-7D23F9E3747F}" name="Customer type" dataCellStyle="Table cell"/>
    <tableColumn id="10" xr3:uid="{15876CB1-BDA5-40C1-AC3B-33A0F20AAC93}" name="Cost element" dataCellStyle="Table cell"/>
    <tableColumn id="5" xr3:uid="{7F803B0D-7C22-4C4A-9B48-AA4986ED7D5F}" name="Ausnet" dataDxfId="88" dataCellStyle="Table cell">
      <calculatedColumnFormula array="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6" xr3:uid="{AA7550F8-9E8A-49A7-9D44-4F718B588574}" name="Citipower" dataCellStyle="Table cell">
      <calculatedColumnFormula array="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7" xr3:uid="{39C8AE9E-CD64-486E-A690-2982460B8CBA}" name="Jemena" dataCellStyle="Table cell">
      <calculatedColumnFormula array="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8" xr3:uid="{F9ECED3E-FBA7-4474-85E3-046AD064484D}" name="Powercor" dataCellStyle="Table cell">
      <calculatedColumnFormula array="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 id="9" xr3:uid="{3F3EEF4C-7BBA-4E7C-BF35-6557F7A4646C}" name="United Energy" dataCellStyle="Table cell">
      <calculatedColumnFormula array="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calculatedColumnFormula>
    </tableColumn>
  </tableColumns>
  <tableStyleInfo name="Default tab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F52C258-3781-49C1-93FF-ED4580772ABC}" name="Calc_TUV_NetGroup_2" displayName="Calc_TUV_NetGroup_2" ref="C140:L149" totalsRowShown="0" headerRowDxfId="87" headerRowBorderDxfId="86" tableBorderDxfId="85" totalsRowBorderDxfId="84" headerRowCellStyle="Table col heading" dataCellStyle="Table cell">
  <tableColumns count="10">
    <tableColumn id="1" xr3:uid="{96D57AE1-EAFB-4AE0-9A16-5641BF28AB88}" name="Cost item" dataCellStyle="Table cell"/>
    <tableColumn id="2" xr3:uid="{45E5DC47-42D8-4C19-A53B-34F01C430921}" name="Fixed/Variable" dataCellStyle="Table cell"/>
    <tableColumn id="3" xr3:uid="{8A839F41-6127-4498-BB74-2A33BD70C444}" name="Unit" dataDxfId="83" dataCellStyle="Table cell"/>
    <tableColumn id="4" xr3:uid="{4AA6621C-AD01-4FA5-A52D-3B9C375567E2}" name="Customer type" dataCellStyle="Table cell"/>
    <tableColumn id="10" xr3:uid="{895BEAC1-AD7F-4A6E-97EF-2E1519C868CA}" name="Cost element" dataCellStyle="Table cell"/>
    <tableColumn id="5" xr3:uid="{74F5D4C2-2436-4C64-B88E-48412B7FA8CF}" name="Ausnet" dataDxfId="82" dataCellStyle="Internal link/lookup">
      <calculatedColumnFormula array="1">IFERROR(SUMIFS(INDEX(Calc_TUV_Net_2[[Ausnet]:[United Energy]],0,MATCH(Calc_TUV_NetGroup_2[[#Headers],[Ausnet]],Calc_TUV_Net_2[[#Headers],[Ausnet]:[United Energy]],0)),
Calc_TUV_Net_2[Cost item],Calc_TUV_NetGroup_2[[#This Row],[Cost item]]&amp;" cost true up",
Calc_TUV_Net_2[Customer type],Calc_TUV_NetGroup_2[[#This Row],[Customer type]]),"-")</calculatedColumnFormula>
    </tableColumn>
    <tableColumn id="6" xr3:uid="{74FFEFDF-9C46-4F0B-8874-6F37BD69D5B7}" name="Citipower" dataCellStyle="Table cell">
      <calculatedColumnFormula array="1">IFERROR(SUMIFS(INDEX(Calc_TUV_Net_2[[Ausnet]:[United Energy]],0,MATCH(Calc_TUV_NetGroup_2[[#Headers],[Citipower]],Calc_TUV_Net_2[[#Headers],[Ausnet]:[United Energy]],0)),
Calc_TUV_Net_2[Cost item],Calc_TUV_NetGroup_2[[#This Row],[Cost item]]&amp;" cost true up",
Calc_TUV_Net_2[Customer type],Calc_TUV_NetGroup_2[[#This Row],[Customer type]]),"-")</calculatedColumnFormula>
    </tableColumn>
    <tableColumn id="7" xr3:uid="{0FDAD0C1-BE4E-41E2-BF53-BA901AB1B2F3}" name="Jemena" dataCellStyle="Table cell">
      <calculatedColumnFormula array="1">IFERROR(SUMIFS(INDEX(Calc_TUV_Net_2[[Ausnet]:[United Energy]],0,MATCH(Calc_TUV_NetGroup_2[[#Headers],[Jemena]],Calc_TUV_Net_2[[#Headers],[Ausnet]:[United Energy]],0)),
Calc_TUV_Net_2[Cost item],Calc_TUV_NetGroup_2[[#This Row],[Cost item]]&amp;" cost true up",
Calc_TUV_Net_2[Customer type],Calc_TUV_NetGroup_2[[#This Row],[Customer type]]),"-")</calculatedColumnFormula>
    </tableColumn>
    <tableColumn id="8" xr3:uid="{B1FD8009-9B3A-4206-977D-C65BF274EDE2}" name="Powercor" dataCellStyle="Table cell">
      <calculatedColumnFormula array="1">IFERROR(SUMIFS(INDEX(Calc_TUV_Net_2[[Ausnet]:[United Energy]],0,MATCH(Calc_TUV_NetGroup_2[[#Headers],[Powercor]],Calc_TUV_Net_2[[#Headers],[Ausnet]:[United Energy]],0)),
Calc_TUV_Net_2[Cost item],Calc_TUV_NetGroup_2[[#This Row],[Cost item]]&amp;" cost true up",
Calc_TUV_Net_2[Customer type],Calc_TUV_NetGroup_2[[#This Row],[Customer type]]),"-")</calculatedColumnFormula>
    </tableColumn>
    <tableColumn id="9" xr3:uid="{72761EAB-764C-4B07-AEDE-D8BF0E5F5B5C}" name="United Energy" dataCellStyle="Table cell">
      <calculatedColumnFormula array="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calculatedColumnFormula>
    </tableColumn>
  </tableColumns>
  <tableStyleInfo name="Default tab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4DC4A019-850F-494F-98C1-0BFBD305CF6C}" name="Calc_TUR_Net_2" displayName="Calc_TUR_Net_2" ref="C157:L161" totalsRowShown="0" headerRowDxfId="81" headerRowBorderDxfId="80" tableBorderDxfId="79" totalsRowBorderDxfId="78" headerRowCellStyle="Table col heading" dataCellStyle="Table cell">
  <tableColumns count="10">
    <tableColumn id="1" xr3:uid="{508F5893-0986-4EA2-B925-B2EFB5554C3F}" name="Rate type" dataCellStyle="Table cell"/>
    <tableColumn id="2" xr3:uid="{B7A36EFE-FB09-4217-904A-912BBEC39451}" name="Fixed/Variable" dataCellStyle="Table cell"/>
    <tableColumn id="3" xr3:uid="{AA5BEA6C-3068-493A-9312-D43ED42985A2}" name="Unit" dataDxfId="77" dataCellStyle="Table cell"/>
    <tableColumn id="4" xr3:uid="{6849D791-ED42-40F6-88F6-33FD3B78900C}" name="Customer type" dataCellStyle="Table cell"/>
    <tableColumn id="10" xr3:uid="{CAFC397D-BF7C-4BA6-BEFB-0F1D12042B14}" name="Cost element" dataCellStyle="Table cell"/>
    <tableColumn id="5" xr3:uid="{1A63BAF3-86BD-4481-AB28-EA4C2604DE32}" name="Ausnet" dataDxfId="76" dataCellStyle="Table cell">
      <calculatedColumnFormula array="1">IFERROR(
IF(OR(
AND(Calc_TUR_Net_2[[#Headers],[Ausnet]]="Ausnet",Calc_TUR_Net_2[[#This Row],[Rate type]]="Single rate"),
AND(Calc_TUR_Net_2[[#Headers],[Ausnet]]&lt;&gt;"Ausnet",OR(Calc_TUR_Net_2[[#This Row],[Rate type]]="Block 1",Calc_TUR_Net_2[[#This Row],[Rate type]]="Balance"))),"-",
IF(Calc_TUR_Net_2[[#This Row],[Fixed/Variable]]="Fixed",
SUMIFS(Calc_TUV_NetGroup_2[Ausnet],
Calc_TUV_NetGroup_2[Cost item],Calc_TUR_Net_2[[#This Row],[Rate type]],
Calc_TUV_NetGroup_2[Customer type],Calc_TUR_Net_2[[#This Row],[Customer type]],
Calc_TUV_NetGroup_2[Cost element],Calc_TUR_Net_2[[#This Row],[Cost element]])/_xlfn.DAYS(TUR_EndDate,TUR_StartDate),
(SUMIFS(Calc_TUV_NetGroup_2[Ausnet],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type]],Input_Usage[Ref],0),MATCH(Calc_TU_rates!$D$135,Inputs!$H$147:$L$147,0))*
(TU_NET_RateMths/MiY)))*INDEX(#REF!,MATCH(Calc_TUR_Net_2[[#This Row],[Rate type]],#REF!,0),MATCH(Calc_TUR_Net_2[[#This Row],[Customer type]],#REF!,0)))),"-")</calculatedColumnFormula>
    </tableColumn>
    <tableColumn id="6" xr3:uid="{AD72CD18-01CA-4969-807E-1EF3C8B94066}" name="Citipower" dataCellStyle="Table cell">
      <calculatedColumnFormula array="1">IFERROR(
IF(OR(
AND(Calc_TUR_Net_2[[#Headers],[Citipower]]="Ausnet",Calc_TUR_Net_2[[#This Row],[Rate type]]="Single rate"),
AND(Calc_TUR_Net_2[[#Headers],[Citipower]]&lt;&gt;"Ausnet",OR(Calc_TUR_Net_2[[#This Row],[Rate type]]="Block 1",Calc_TUR_Net_2[[#This Row],[Rate type]]="Balance"))),"-",
IF(Calc_TUR_Net_2[[#This Row],[Fixed/Variable]]="Fixed",
SUMIFS(Calc_TUV_NetGroup_2[Citipower],
Calc_TUV_NetGroup_2[Cost item],Calc_TUR_Net_2[[#This Row],[Rate type]],
Calc_TUV_NetGroup_2[Customer type],Calc_TUR_Net_2[[#This Row],[Customer type]],
Calc_TUV_NetGroup_2[Cost element],Calc_TUR_Net_2[[#This Row],[Cost element]])/_xlfn.DAYS(TUR_EndDate,TUR_StartDate),
(SUMIFS(Calc_TUV_NetGroup_2[Citipower],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type]],Input_Usage[Ref],0),MATCH(Calc_TU_rates!$D$135,Inputs!$H$147:$L$147,0))*
(TU_NET_RateMths/MiY)))*INDEX(#REF!,MATCH(Calc_TUR_Net_2[[#This Row],[Rate type]],#REF!,0),MATCH(Calc_TUR_Net_2[[#This Row],[Customer type]],#REF!,0)))),"-")</calculatedColumnFormula>
    </tableColumn>
    <tableColumn id="7" xr3:uid="{BDACC691-E68C-4508-B968-4DA4567D6FDC}" name="Jemena" dataCellStyle="Table cell">
      <calculatedColumnFormula array="1">IFERROR(
IF(OR(
AND(Calc_TUR_Net_2[[#Headers],[Jemena]]="Ausnet",Calc_TUR_Net_2[[#This Row],[Rate type]]="Single rate"),
AND(Calc_TUR_Net_2[[#Headers],[Jemena]]&lt;&gt;"Ausnet",OR(Calc_TUR_Net_2[[#This Row],[Rate type]]="Block 1",Calc_TUR_Net_2[[#This Row],[Rate type]]="Balance"))),"-",
IF(Calc_TUR_Net_2[[#This Row],[Fixed/Variable]]="Fixed",
SUMIFS(Calc_TUV_NetGroup_2[Jemena],
Calc_TUV_NetGroup_2[Cost item],Calc_TUR_Net_2[[#This Row],[Rate type]],
Calc_TUV_NetGroup_2[Customer type],Calc_TUR_Net_2[[#This Row],[Customer type]],
Calc_TUV_NetGroup_2[Cost element],Calc_TUR_Net_2[[#This Row],[Cost element]])/_xlfn.DAYS(TUR_EndDate,TUR_StartDate),
(SUMIFS(Calc_TUV_NetGroup_2[Jemena],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type]],Input_Usage[Ref],0),MATCH(Calc_TU_rates!$D$135,Inputs!$H$147:$L$147,0))*
(TU_NET_RateMths/MiY)))*INDEX(#REF!,MATCH(Calc_TUR_Net_2[[#This Row],[Rate type]],#REF!,0),MATCH(Calc_TUR_Net_2[[#This Row],[Customer type]],#REF!,0)))),"-")</calculatedColumnFormula>
    </tableColumn>
    <tableColumn id="8" xr3:uid="{DFE8DC4B-790A-4026-BDAA-688FB431C951}" name="Powercor" dataCellStyle="Table cell">
      <calculatedColumnFormula array="1">IFERROR(
IF(OR(
AND(Calc_TUR_Net_2[[#Headers],[Powercor]]="Ausnet",Calc_TUR_Net_2[[#This Row],[Rate type]]="Single rate"),
AND(Calc_TUR_Net_2[[#Headers],[Powercor]]&lt;&gt;"Ausnet",OR(Calc_TUR_Net_2[[#This Row],[Rate type]]="Block 1",Calc_TUR_Net_2[[#This Row],[Rate type]]="Balance"))),"-",
IF(Calc_TUR_Net_2[[#This Row],[Fixed/Variable]]="Fixed",
SUMIFS(Calc_TUV_NetGroup_2[Powercor],
Calc_TUV_NetGroup_2[Cost item],Calc_TUR_Net_2[[#This Row],[Rate type]],
Calc_TUV_NetGroup_2[Customer type],Calc_TUR_Net_2[[#This Row],[Customer type]],
Calc_TUV_NetGroup_2[Cost element],Calc_TUR_Net_2[[#This Row],[Cost element]])/_xlfn.DAYS(TUR_EndDate,TUR_StartDate),
(SUMIFS(Calc_TUV_NetGroup_2[Powercor],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type]],Input_Usage[Ref],0),MATCH(Calc_TU_rates!$D$135,Inputs!$H$147:$L$147,0))*
(TU_NET_RateMths/MiY)))*INDEX(#REF!,MATCH(Calc_TUR_Net_2[[#This Row],[Rate type]],#REF!,0),MATCH(Calc_TUR_Net_2[[#This Row],[Customer type]],#REF!,0)))),"-")</calculatedColumnFormula>
    </tableColumn>
    <tableColumn id="9" xr3:uid="{116286F6-B1EA-474F-919D-97933C9FFD8E}" name="United Energy" dataCellStyle="Table cell">
      <calculatedColumnFormula array="1">IFERROR(
IF(OR(
AND(Calc_TUR_Net_2[[#Headers],[United Energy]]="Ausnet",Calc_TUR_Net_2[[#This Row],[Rate type]]="Single rate"),
AND(Calc_TUR_Net_2[[#Headers],[United Energy]]&lt;&gt;"Ausnet",OR(Calc_TUR_Net_2[[#This Row],[Rate type]]="Block 1",Calc_TUR_Net_2[[#This Row],[Rate type]]="Balance"))),"-",
IF(Calc_TUR_Net_2[[#This Row],[Fixed/Variable]]="Fixed",
SUMIFS(Calc_TUV_NetGroup_2[United Energy],
Calc_TUV_NetGroup_2[Cost item],Calc_TUR_Net_2[[#This Row],[Rate type]],
Calc_TUV_NetGroup_2[Customer type],Calc_TUR_Net_2[[#This Row],[Customer type]],
Calc_TUV_NetGroup_2[Cost element],Calc_TUR_Net_2[[#This Row],[Cost element]])/_xlfn.DAYS(TUR_EndDate,TUR_StartDate),
(SUMIFS(Calc_TUV_NetGroup_2[United Energy],
Calc_TUV_NetGroup_2[Cost item],IF(OR(Calc_TUR_Net_2[[#This Row],[Rate type]]="Single rate",Calc_TUR_Net_2[[#This Row],[Rate type]]="Block 1",Calc_TUR_Net_2[[#This Row],[Rate type]]="Balance"),"Anytime - usage","TOU - usage"),
Calc_TUV_NetGroup_2[Customer type],Calc_TUR_Net_2[[#This Row],[Customer type]],
Calc_TUV_NetGroup_2[Cost element],Calc_TUR_Net_2[[#This Row],[Cost element]])/
(INDEX(Input_Usage[[F-PreviousVDO_Input]:[F-PreviousVDO_Input2]],MATCH(Calc_TUR_Net_2[[#This Row],[Customer type]]&amp;" - medium - "&amp;Calc_TUR_Net_2[[#This Row],[Rate type]],Input_Usage[Ref],0),MATCH(Calc_TU_rates!$D$135,Inputs!$H$147:$L$147,0))*
(TU_NET_RateMths/MiY)))*INDEX(#REF!,MATCH(Calc_TUR_Net_2[[#This Row],[Rate type]],#REF!,0),MATCH(Calc_TUR_Net_2[[#This Row],[Customer type]],#REF!,0)))),"-")</calculatedColumnFormula>
    </tableColumn>
  </tableColumns>
  <tableStyleInfo name="Default tab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6098B90B-1344-4E60-B447-B890077F8628}" name="Calc_TUR_Env_1" displayName="Calc_TUR_Env_1" ref="C63:L96" totalsRowShown="0" headerRowDxfId="75" headerRowBorderDxfId="74" tableBorderDxfId="73" totalsRowBorderDxfId="72" headerRowCellStyle="Table col heading" dataCellStyle="Table cell">
  <autoFilter ref="C63:L96" xr:uid="{6098B90B-1344-4E60-B447-B890077F8628}"/>
  <tableColumns count="10">
    <tableColumn id="1" xr3:uid="{E332C2D4-CE8D-433A-9ADC-D8857F562942}" name="Rate type" dataCellStyle="Table cell"/>
    <tableColumn id="2" xr3:uid="{FD1AF85E-E765-4BB5-8EC8-A06734719E82}" name="True up" dataCellStyle="Table cell"/>
    <tableColumn id="3" xr3:uid="{66195402-7784-4DD6-BFD4-6D91BEEDF8B0}" name="Unit" dataDxfId="71" dataCellStyle="Table cell"/>
    <tableColumn id="4" xr3:uid="{EAE4A069-891C-411F-9742-DF18ADDA3EA8}" name="Customer type" dataCellStyle="Table cell"/>
    <tableColumn id="5" xr3:uid="{ACC8F195-ADA3-40DC-919D-25E00F5290C5}" name="Cost element" dataDxfId="70" dataCellStyle="Table cell"/>
    <tableColumn id="6" xr3:uid="{A72E99F3-93C6-4BF6-B455-BB551880D6F9}" name="Ausnet" dataDxfId="69" dataCellStyle="Table cell">
      <calculatedColumnFormula array="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calculatedColumnFormula>
    </tableColumn>
    <tableColumn id="7" xr3:uid="{5A3D3D9B-379A-4FAE-B0D3-6769ACEE354F}" name="Citipower" dataDxfId="68" dataCellStyle="Table cell">
      <calculatedColumnFormula array="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calculatedColumnFormula>
    </tableColumn>
    <tableColumn id="8" xr3:uid="{3AA2F046-55C7-4C97-8768-89AA876C4F26}" name="Jemena" dataDxfId="67" dataCellStyle="Table cell">
      <calculatedColumnFormula array="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calculatedColumnFormula>
    </tableColumn>
    <tableColumn id="9" xr3:uid="{892CB232-15D1-4FBB-B203-B4FB00635D8D}" name="Powercor" dataDxfId="66" dataCellStyle="Table cell">
      <calculatedColumnFormula array="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calculatedColumnFormula>
    </tableColumn>
    <tableColumn id="10" xr3:uid="{3A2D3832-2CE2-4857-A3A9-52809919DD21}" name="United Energy" dataDxfId="65" dataCellStyle="Table cell">
      <calculatedColumnFormula array="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calculatedColumnFormula>
    </tableColumn>
  </tableColumns>
  <tableStyleInfo name="Default tab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BD8EC13-7FD6-4873-9A8A-AF27A1752654}" name="Calc_TUR_ENV_2" displayName="Calc_TUR_ENV_2" ref="C193:L226" totalsRowShown="0" headerRowDxfId="64" headerRowBorderDxfId="63" tableBorderDxfId="62" totalsRowBorderDxfId="61" headerRowCellStyle="Table col heading" dataCellStyle="Table cell">
  <tableColumns count="10">
    <tableColumn id="1" xr3:uid="{D7402472-7D51-45A2-9F7E-32054A9C2AD1}" name="Rate type" dataCellStyle="Table cell"/>
    <tableColumn id="2" xr3:uid="{F4F50483-5EB8-47B9-8D7E-627214C0558E}" name="True up" dataCellStyle="Table cell"/>
    <tableColumn id="3" xr3:uid="{07E06059-0FC6-4AB4-8825-B95E8D18E5B8}" name="Unit" dataDxfId="60" dataCellStyle="Table cell"/>
    <tableColumn id="4" xr3:uid="{EAD4F5E9-2E38-4436-A301-DED41D02DFE3}" name="Customer type" dataCellStyle="Table cell"/>
    <tableColumn id="5" xr3:uid="{0DC1F14F-359A-46F9-BCA5-E770B1F92F26}" name="Cost element" dataDxfId="59" dataCellStyle="Table cell"/>
    <tableColumn id="6" xr3:uid="{29A716A7-E637-4169-A549-5FF4D3815C70}" name="Ausnet" dataDxfId="58" dataCellStyle="Table cell">
      <calculatedColumnFormula array="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calculatedColumnFormula>
    </tableColumn>
    <tableColumn id="7" xr3:uid="{BB0FA067-EEAA-48E9-BA9B-E23C98706BA6}" name="Citipower" dataDxfId="57" dataCellStyle="Table cell">
      <calculatedColumnFormula array="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calculatedColumnFormula>
    </tableColumn>
    <tableColumn id="8" xr3:uid="{F79E3A5D-B4CB-4D5B-B931-80D771F44DFA}" name="Jemena" dataDxfId="56" dataCellStyle="Table cell">
      <calculatedColumnFormula array="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calculatedColumnFormula>
    </tableColumn>
    <tableColumn id="9" xr3:uid="{7C67EE55-D28A-4FC5-ADEA-A4209390FD33}" name="Powercor" dataDxfId="55" dataCellStyle="Table cell">
      <calculatedColumnFormula array="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calculatedColumnFormula>
    </tableColumn>
    <tableColumn id="10" xr3:uid="{B4D050EC-0A71-4081-81A2-AFA078DCC264}" name="United Energy" dataDxfId="54" dataCellStyle="Table cell">
      <calculatedColumnFormula array="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calculatedColumnFormula>
    </tableColumn>
  </tableColumns>
  <tableStyleInfo name="Default tab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48CEC897-179F-44BD-825C-BF0EE47BDAFA}" name="Calc_TUV_EnvGroup_1" displayName="Calc_TUV_EnvGroup_1" ref="C53:L56" totalsRowShown="0" headerRowDxfId="53" headerRowBorderDxfId="52" tableBorderDxfId="51" totalsRowBorderDxfId="50" headerRowCellStyle="Table col heading" dataCellStyle="Table cell">
  <tableColumns count="10">
    <tableColumn id="1" xr3:uid="{771BEA51-0FCE-4793-A637-2E8F5130E753}" name="Cost item" dataCellStyle="Table cell"/>
    <tableColumn id="2" xr3:uid="{3C34CCF2-954E-4687-8C99-E8D7D3C7ED75}" name="Fixed/Variable" dataCellStyle="Table cell"/>
    <tableColumn id="3" xr3:uid="{3C619B4E-BAC1-47C4-8ECC-6C46384996FD}" name="Unit" dataDxfId="49" dataCellStyle="Table cell"/>
    <tableColumn id="4" xr3:uid="{1503A5BC-F78F-4CF2-8C21-4A9FDC822142}" name="Customer type" dataCellStyle="Table cell"/>
    <tableColumn id="10" xr3:uid="{DE17B893-52B8-4859-B65F-88EF53883407}" name="Cost element" dataDxfId="48" dataCellStyle="Table cell"/>
    <tableColumn id="5" xr3:uid="{629ABBA2-7FF9-4A02-9450-29C885B8A013}" name="Ausnet" dataDxfId="47" dataCellStyle="Table cell"/>
    <tableColumn id="6" xr3:uid="{A7018C6B-64E8-46E4-8B26-2CC338AA6532}" name="Citipower" dataDxfId="46" dataCellStyle="Table cell"/>
    <tableColumn id="7" xr3:uid="{94C35522-202F-48D0-8FA8-A1D7265F3B2F}" name="Jemena" dataDxfId="45" dataCellStyle="Table cell"/>
    <tableColumn id="8" xr3:uid="{FEB8FEBC-4FE0-4AB3-97D0-522C200D0F26}" name="Powercor" dataDxfId="44" dataCellStyle="Table cell"/>
    <tableColumn id="9" xr3:uid="{0B954CA1-2B1F-466E-85CC-83463172A299}" name="United Energy" dataDxfId="43" dataCellStyle="Internal link/lookup"/>
  </tableColumns>
  <tableStyleInfo name="Default tab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86494F6-C76D-4BC0-9178-C720B04554FE}" name="Calc_TUV_ENVGroup_2" displayName="Calc_TUV_ENVGroup_2" ref="C183:L186" totalsRowShown="0" headerRowDxfId="42" headerRowBorderDxfId="41" tableBorderDxfId="40" totalsRowBorderDxfId="39" headerRowCellStyle="Table col heading" dataCellStyle="Table cell">
  <tableColumns count="10">
    <tableColumn id="1" xr3:uid="{F0BC8329-99A3-492E-B008-C6618C682212}" name="Cost item" dataCellStyle="Table cell"/>
    <tableColumn id="2" xr3:uid="{261548EE-86CB-4D51-A270-6FBA44A0057A}" name="Fixed/Variable" dataCellStyle="Table cell"/>
    <tableColumn id="3" xr3:uid="{2124D95F-7020-4F59-A852-6176E8CC21B4}" name="Unit" dataDxfId="38" dataCellStyle="Table cell"/>
    <tableColumn id="4" xr3:uid="{71CD4922-C40D-4E7C-9EA0-A9982C2437A5}" name="Customer type" dataCellStyle="Table cell"/>
    <tableColumn id="10" xr3:uid="{435000DE-70B4-4E67-9743-C7CF9651578E}" name="Cost element" dataDxfId="37" dataCellStyle="Table cell"/>
    <tableColumn id="5" xr3:uid="{E6640A9F-DA07-42FE-9755-14B74DDFEF89}" name="Ausnet" dataDxfId="36" dataCellStyle="Table cell"/>
    <tableColumn id="6" xr3:uid="{A0AEEBC5-C581-4732-B8E1-39B16BDC01CD}" name="Citipower" dataDxfId="35" dataCellStyle="Table cell">
      <calculatedColumnFormula array="1">IFERROR(SUMIFS(INDEX(Calc_TUV_Net_2[[Ausnet]:[United Energy]],0,MATCH(Calc_TUV_ENVGroup_2[[#Headers],[Citipower]],Calc_TUV_Net_2[[#Headers],[Ausnet]:[United Energy]],0)),
Calc_TUV_Net_2[Cost item],Calc_TUV_ENVGroup_2[[#This Row],[Cost item]]&amp;" cost true up",
Calc_TUV_Net_2[Customer type],Calc_TUV_ENVGroup_2[[#This Row],[Customer type]]),"-")</calculatedColumnFormula>
    </tableColumn>
    <tableColumn id="7" xr3:uid="{6686C12D-E8CE-44B6-86AA-D3D4B4EEC21A}" name="Jemena" dataDxfId="34" dataCellStyle="Table cell">
      <calculatedColumnFormula array="1">IFERROR(SUMIFS(INDEX(Calc_TUV_Net_2[[Ausnet]:[United Energy]],0,MATCH(Calc_TUV_ENVGroup_2[[#Headers],[Jemena]],Calc_TUV_Net_2[[#Headers],[Ausnet]:[United Energy]],0)),
Calc_TUV_Net_2[Cost item],Calc_TUV_ENVGroup_2[[#This Row],[Cost item]]&amp;" cost true up",
Calc_TUV_Net_2[Customer type],Calc_TUV_ENVGroup_2[[#This Row],[Customer type]]),"-")</calculatedColumnFormula>
    </tableColumn>
    <tableColumn id="8" xr3:uid="{2B48CA0E-7C6A-447D-84BC-7C8DC5D8197A}" name="Powercor" dataDxfId="33" dataCellStyle="Table cell">
      <calculatedColumnFormula array="1">IFERROR(SUMIFS(INDEX(Calc_TUV_Net_2[[Ausnet]:[United Energy]],0,MATCH(Calc_TUV_ENVGroup_2[[#Headers],[Powercor]],Calc_TUV_Net_2[[#Headers],[Ausnet]:[United Energy]],0)),
Calc_TUV_Net_2[Cost item],Calc_TUV_ENVGroup_2[[#This Row],[Cost item]]&amp;" cost true up",
Calc_TUV_Net_2[Customer type],Calc_TUV_ENVGroup_2[[#This Row],[Customer type]]),"-")</calculatedColumnFormula>
    </tableColumn>
    <tableColumn id="9" xr3:uid="{D5759CE0-CE25-4D79-9B28-831164F69512}" name="United Energy" dataDxfId="32" dataCellStyle="Table cell">
      <calculatedColumnFormula array="1">IFERROR(SUMIFS(INDEX(Calc_TUV_Net_2[[Ausnet]:[United Energy]],0,MATCH(Calc_TUV_ENVGroup_2[[#Headers],[United Energy]],Calc_TUV_Net_2[[#Headers],[Ausnet]:[United Energy]],0)),
Calc_TUV_Net_2[Cost item],Calc_TUV_ENVGroup_2[[#This Row],[Cost item]]&amp;" cost true up",
Calc_TUV_Net_2[Customer type],Calc_TUV_ENVGroup_2[[#This Row],[Customer type]]),"-")</calculatedColumnFormula>
    </tableColumn>
  </tableColumns>
  <tableStyleInfo name="Default tab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2119432-BFD7-410E-AC02-B994D7186C74}" name="Calc_TUR_NetCL_2" displayName="Calc_TUR_NetCL_2" ref="C169:L170" totalsRowShown="0" headerRowDxfId="31" headerRowBorderDxfId="30" tableBorderDxfId="29" totalsRowBorderDxfId="28" headerRowCellStyle="Table col heading" dataCellStyle="Table cell">
  <tableColumns count="10">
    <tableColumn id="1" xr3:uid="{250CD9E3-6609-471C-9E86-99C77F0D99AD}" name="Rate type" dataCellStyle="Table cell"/>
    <tableColumn id="2" xr3:uid="{F56014D6-7A66-4938-9EA2-05BCBE838096}" name="Fixed/Variable" dataCellStyle="Table cell"/>
    <tableColumn id="3" xr3:uid="{27488AE4-DCA7-4E26-AC06-EA3AC43E6F02}" name="Unit" dataDxfId="27" dataCellStyle="Table cell"/>
    <tableColumn id="4" xr3:uid="{E6C5C828-5404-4056-A7FF-A47AAAE4C1FA}" name="Customer type" dataCellStyle="Table cell"/>
    <tableColumn id="10" xr3:uid="{352754BD-2E48-49B6-B8BC-35ECD0C11618}" name="Cost element" dataCellStyle="Table cell"/>
    <tableColumn id="5" xr3:uid="{C89509F0-7280-48A9-9C33-75CABE27E750}" name="Ausnet" dataDxfId="26" dataCellStyle="Table cell">
      <calculatedColumnFormula array="1">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calculatedColumnFormula>
    </tableColumn>
    <tableColumn id="6" xr3:uid="{EF042FEE-7E15-4F68-AC3F-9FD7707A4D9B}" name="Citipower" dataCellStyle="Table cell"/>
    <tableColumn id="7" xr3:uid="{06249A30-F6F3-4247-93BB-2C86EEC6DEC5}" name="Jemena" dataCellStyle="Table cell"/>
    <tableColumn id="8" xr3:uid="{ADFB6444-F462-4C6B-9C8C-5540AFAAD687}" name="Powercor" dataCellStyle="Table cell"/>
    <tableColumn id="9" xr3:uid="{A7722DF8-138B-4745-8DD1-C510A66F4E73}" name="United Energy" dataCellStyle="Table cell"/>
  </tableColumns>
  <tableStyleInfo name="Default tab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6227F24C-42F8-4AE0-9A70-1BD0C12EA8EE}" name="Calc_TUR_NetCL_1" displayName="Calc_TUR_NetCL_1" ref="C39:L40" totalsRowShown="0" headerRowDxfId="25" headerRowBorderDxfId="24" tableBorderDxfId="23" totalsRowBorderDxfId="22" headerRowCellStyle="Table col heading" dataCellStyle="Table cell">
  <tableColumns count="10">
    <tableColumn id="1" xr3:uid="{DA6CC4AC-9652-47ED-82AB-B9B19FD9C7F5}" name="Rate type" dataCellStyle="Table cell"/>
    <tableColumn id="2" xr3:uid="{6D1E7D9E-190F-45ED-9632-337B0D472194}" name="Fixed/Variable" dataCellStyle="Table cell"/>
    <tableColumn id="3" xr3:uid="{ED7F7BCC-3930-4637-8921-40D1E00C361C}" name="Unit" dataDxfId="21" dataCellStyle="Table cell"/>
    <tableColumn id="4" xr3:uid="{7A785ECA-F808-441B-9B5D-1B9DEA6F34D7}" name="Customer type" dataCellStyle="Table cell"/>
    <tableColumn id="10" xr3:uid="{B9966583-1E1A-492D-9408-6C4009A57E6A}" name="Cost element" dataCellStyle="Table cell"/>
    <tableColumn id="5" xr3:uid="{EA04CD4D-68AC-48C2-B0BF-3ECC0EE5787D}" name="Ausnet" dataDxfId="20" dataCellStyle="Table cell">
      <calculatedColumnFormula array="1">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6" xr3:uid="{46821881-310C-4951-A3CF-F7A6C66F0869}" name="Citipower" dataCellStyle="Table cell">
      <calculatedColumnFormula array="1">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7" xr3:uid="{31D12BC3-067D-425E-BF1D-6123D7808287}" name="Jemena" dataCellStyle="Table cell">
      <calculatedColumnFormula array="1">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8" xr3:uid="{64F8C960-1857-4A7B-8766-D9D6EF3483A6}" name="Powercor" dataCellStyle="Table cell">
      <calculatedColumnFormula array="1">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 id="9" xr3:uid="{C652B29B-6227-4922-92CB-9F9FA949DA57}" name="United Energy" dataCellStyle="Table cell">
      <calculatedColumnFormula array="1">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calculatedColumnFormula>
    </tableColumn>
  </tableColumns>
  <tableStyleInfo name="Default tab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8509A4-B85B-4A8D-AF40-29DFBA0E9DBD}" name="LU_Units" displayName="LU_Units" ref="E7:E20" totalsRowShown="0" dataDxfId="18" headerRowBorderDxfId="19" tableBorderDxfId="17" totalsRowBorderDxfId="16" headerRowCellStyle="Table col heading" dataCellStyle="Hard-coded">
  <tableColumns count="1">
    <tableColumn id="1" xr3:uid="{9C6E56E0-72A9-4D72-9F61-583216BE24AD}" name="Units" dataDxfId="15" dataCellStyle="Hard-coded"/>
  </tableColumns>
  <tableStyleInfo name="Default tab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1C4FA7-4A02-4FE2-8E4B-E86988411993}" name="LU_FixedVariable" displayName="LU_FixedVariable" ref="C7:C10" totalsRowShown="0" dataDxfId="13" headerRowBorderDxfId="14" tableBorderDxfId="12" totalsRowBorderDxfId="11" headerRowCellStyle="Table col heading" dataCellStyle="Hard-coded">
  <tableColumns count="1">
    <tableColumn id="1" xr3:uid="{6E304742-6DCB-4D36-AA6E-D41E67A17680}" name="Fixed/Variable" dataDxfId="10" dataCellStyle="Hard-coded"/>
  </tableColumns>
  <tableStyleInfo name="Default tab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6E1678C-13B5-41F4-9732-B8998A6F29D0}" name="LU_CustType" displayName="LU_CustType" ref="G7:G10" totalsRowShown="0" dataDxfId="8" headerRowBorderDxfId="9" tableBorderDxfId="7" totalsRowBorderDxfId="6" headerRowCellStyle="Table col heading" dataCellStyle="Hard-coded">
  <tableColumns count="1">
    <tableColumn id="1" xr3:uid="{E4257759-0421-4BCD-A015-75722E8DBCF3}" name="Customer type" dataDxfId="5" dataCellStyle="Hard-coded"/>
  </tableColumns>
  <tableStyleInfo name="Default tab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DA846E-6B6E-42E3-B6E6-BFA08ECB3EFE}" name="LU_UsageProfiles" displayName="LU_UsageProfiles" ref="I7:I13" totalsRowShown="0" dataDxfId="3" headerRowBorderDxfId="4" tableBorderDxfId="2" totalsRowBorderDxfId="1" headerRowCellStyle="Table col heading" dataCellStyle="Hard-coded">
  <autoFilter ref="I7:I13" xr:uid="{C360791E-1C8C-48A7-B83A-F08229D11B5E}"/>
  <tableColumns count="1">
    <tableColumn id="1" xr3:uid="{D93DFBC2-B77B-456C-A30C-DC8C8723D2BF}" name="Usage profiles" dataDxfId="0" dataCellStyle="Hard-coded"/>
  </tableColumns>
  <tableStyleInfo name="Default table"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5.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6.bin"/><Relationship Id="rId5" Type="http://schemas.openxmlformats.org/officeDocument/2006/relationships/table" Target="../tables/table16.xml"/><Relationship Id="rId4"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table" Target="../tables/table1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table" Target="../tables/table20.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table" Target="../tables/table22.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9.xml"/><Relationship Id="rId3" Type="http://schemas.openxmlformats.org/officeDocument/2006/relationships/table" Target="../tables/table24.xml"/><Relationship Id="rId7" Type="http://schemas.openxmlformats.org/officeDocument/2006/relationships/table" Target="../tables/table28.xml"/><Relationship Id="rId2" Type="http://schemas.openxmlformats.org/officeDocument/2006/relationships/table" Target="../tables/table23.xml"/><Relationship Id="rId1" Type="http://schemas.openxmlformats.org/officeDocument/2006/relationships/printerSettings" Target="../printerSettings/printerSettings10.bin"/><Relationship Id="rId6" Type="http://schemas.openxmlformats.org/officeDocument/2006/relationships/table" Target="../tables/table27.xml"/><Relationship Id="rId5" Type="http://schemas.openxmlformats.org/officeDocument/2006/relationships/table" Target="../tables/table26.xml"/><Relationship Id="rId4" Type="http://schemas.openxmlformats.org/officeDocument/2006/relationships/table" Target="../tables/table2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2.bin"/><Relationship Id="rId4" Type="http://schemas.openxmlformats.org/officeDocument/2006/relationships/table" Target="../tables/table33.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0.xml"/><Relationship Id="rId13" Type="http://schemas.openxmlformats.org/officeDocument/2006/relationships/table" Target="../tables/table45.xml"/><Relationship Id="rId18" Type="http://schemas.openxmlformats.org/officeDocument/2006/relationships/table" Target="../tables/table50.xml"/><Relationship Id="rId26" Type="http://schemas.openxmlformats.org/officeDocument/2006/relationships/table" Target="../tables/table58.xml"/><Relationship Id="rId3" Type="http://schemas.openxmlformats.org/officeDocument/2006/relationships/table" Target="../tables/table35.xml"/><Relationship Id="rId21" Type="http://schemas.openxmlformats.org/officeDocument/2006/relationships/table" Target="../tables/table53.xml"/><Relationship Id="rId7" Type="http://schemas.openxmlformats.org/officeDocument/2006/relationships/table" Target="../tables/table39.xml"/><Relationship Id="rId12" Type="http://schemas.openxmlformats.org/officeDocument/2006/relationships/table" Target="../tables/table44.xml"/><Relationship Id="rId17" Type="http://schemas.openxmlformats.org/officeDocument/2006/relationships/table" Target="../tables/table49.xml"/><Relationship Id="rId25" Type="http://schemas.openxmlformats.org/officeDocument/2006/relationships/table" Target="../tables/table57.xml"/><Relationship Id="rId2" Type="http://schemas.openxmlformats.org/officeDocument/2006/relationships/table" Target="../tables/table34.xml"/><Relationship Id="rId16" Type="http://schemas.openxmlformats.org/officeDocument/2006/relationships/table" Target="../tables/table48.xml"/><Relationship Id="rId20" Type="http://schemas.openxmlformats.org/officeDocument/2006/relationships/table" Target="../tables/table52.xml"/><Relationship Id="rId29" Type="http://schemas.openxmlformats.org/officeDocument/2006/relationships/table" Target="../tables/table61.xml"/><Relationship Id="rId1" Type="http://schemas.openxmlformats.org/officeDocument/2006/relationships/printerSettings" Target="../printerSettings/printerSettings13.bin"/><Relationship Id="rId6" Type="http://schemas.openxmlformats.org/officeDocument/2006/relationships/table" Target="../tables/table38.xml"/><Relationship Id="rId11" Type="http://schemas.openxmlformats.org/officeDocument/2006/relationships/table" Target="../tables/table43.xml"/><Relationship Id="rId24" Type="http://schemas.openxmlformats.org/officeDocument/2006/relationships/table" Target="../tables/table56.xml"/><Relationship Id="rId5" Type="http://schemas.openxmlformats.org/officeDocument/2006/relationships/table" Target="../tables/table37.xml"/><Relationship Id="rId15" Type="http://schemas.openxmlformats.org/officeDocument/2006/relationships/table" Target="../tables/table47.xml"/><Relationship Id="rId23" Type="http://schemas.openxmlformats.org/officeDocument/2006/relationships/table" Target="../tables/table55.xml"/><Relationship Id="rId28" Type="http://schemas.openxmlformats.org/officeDocument/2006/relationships/table" Target="../tables/table60.xml"/><Relationship Id="rId10" Type="http://schemas.openxmlformats.org/officeDocument/2006/relationships/table" Target="../tables/table42.xml"/><Relationship Id="rId19" Type="http://schemas.openxmlformats.org/officeDocument/2006/relationships/table" Target="../tables/table51.xml"/><Relationship Id="rId31" Type="http://schemas.openxmlformats.org/officeDocument/2006/relationships/table" Target="../tables/table63.xml"/><Relationship Id="rId4" Type="http://schemas.openxmlformats.org/officeDocument/2006/relationships/table" Target="../tables/table36.xml"/><Relationship Id="rId9" Type="http://schemas.openxmlformats.org/officeDocument/2006/relationships/table" Target="../tables/table41.xml"/><Relationship Id="rId14" Type="http://schemas.openxmlformats.org/officeDocument/2006/relationships/table" Target="../tables/table46.xml"/><Relationship Id="rId22" Type="http://schemas.openxmlformats.org/officeDocument/2006/relationships/table" Target="../tables/table54.xml"/><Relationship Id="rId27" Type="http://schemas.openxmlformats.org/officeDocument/2006/relationships/table" Target="../tables/table59.xml"/><Relationship Id="rId30" Type="http://schemas.openxmlformats.org/officeDocument/2006/relationships/table" Target="../tables/table62.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70.xml"/><Relationship Id="rId3" Type="http://schemas.openxmlformats.org/officeDocument/2006/relationships/table" Target="../tables/table65.xml"/><Relationship Id="rId7" Type="http://schemas.openxmlformats.org/officeDocument/2006/relationships/table" Target="../tables/table69.xml"/><Relationship Id="rId2" Type="http://schemas.openxmlformats.org/officeDocument/2006/relationships/table" Target="../tables/table64.xml"/><Relationship Id="rId1" Type="http://schemas.openxmlformats.org/officeDocument/2006/relationships/printerSettings" Target="../printerSettings/printerSettings14.bin"/><Relationship Id="rId6" Type="http://schemas.openxmlformats.org/officeDocument/2006/relationships/table" Target="../tables/table68.xml"/><Relationship Id="rId5" Type="http://schemas.openxmlformats.org/officeDocument/2006/relationships/table" Target="../tables/table67.xml"/><Relationship Id="rId4" Type="http://schemas.openxmlformats.org/officeDocument/2006/relationships/table" Target="../tables/table66.xml"/><Relationship Id="rId9" Type="http://schemas.openxmlformats.org/officeDocument/2006/relationships/table" Target="../tables/table71.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78.xml"/><Relationship Id="rId3" Type="http://schemas.openxmlformats.org/officeDocument/2006/relationships/table" Target="../tables/table73.xml"/><Relationship Id="rId7" Type="http://schemas.openxmlformats.org/officeDocument/2006/relationships/table" Target="../tables/table77.xml"/><Relationship Id="rId2" Type="http://schemas.openxmlformats.org/officeDocument/2006/relationships/table" Target="../tables/table72.xml"/><Relationship Id="rId1" Type="http://schemas.openxmlformats.org/officeDocument/2006/relationships/printerSettings" Target="../printerSettings/printerSettings15.bin"/><Relationship Id="rId6" Type="http://schemas.openxmlformats.org/officeDocument/2006/relationships/table" Target="../tables/table76.xml"/><Relationship Id="rId11" Type="http://schemas.openxmlformats.org/officeDocument/2006/relationships/table" Target="../tables/table81.xml"/><Relationship Id="rId5" Type="http://schemas.openxmlformats.org/officeDocument/2006/relationships/table" Target="../tables/table75.xml"/><Relationship Id="rId10" Type="http://schemas.openxmlformats.org/officeDocument/2006/relationships/table" Target="../tables/table80.xml"/><Relationship Id="rId4" Type="http://schemas.openxmlformats.org/officeDocument/2006/relationships/table" Target="../tables/table74.xml"/><Relationship Id="rId9" Type="http://schemas.openxmlformats.org/officeDocument/2006/relationships/table" Target="../tables/table7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printerSettings" Target="../printerSettings/printerSettings17.bin"/><Relationship Id="rId5" Type="http://schemas.openxmlformats.org/officeDocument/2006/relationships/table" Target="../tables/table85.xml"/><Relationship Id="rId4" Type="http://schemas.openxmlformats.org/officeDocument/2006/relationships/table" Target="../tables/table8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A4734-09F3-4CCE-8A5E-5CCFBB5FA602}">
  <sheetPr>
    <tabColor theme="0" tint="-0.499984740745262"/>
    <pageSetUpPr autoPageBreaks="0"/>
  </sheetPr>
  <dimension ref="B7:B11"/>
  <sheetViews>
    <sheetView showGridLines="0" tabSelected="1" workbookViewId="0"/>
  </sheetViews>
  <sheetFormatPr defaultColWidth="9.140625" defaultRowHeight="15" x14ac:dyDescent="0.25"/>
  <cols>
    <col min="2" max="2" width="85.42578125" customWidth="1"/>
  </cols>
  <sheetData>
    <row r="7" spans="2:2" ht="97.5" x14ac:dyDescent="0.25">
      <c r="B7" s="150" t="s">
        <v>0</v>
      </c>
    </row>
    <row r="8" spans="2:2" ht="48.75" x14ac:dyDescent="0.25">
      <c r="B8" s="150"/>
    </row>
    <row r="9" spans="2:2" ht="23.25" x14ac:dyDescent="0.25">
      <c r="B9" s="148" t="s">
        <v>1</v>
      </c>
    </row>
    <row r="11" spans="2:2" ht="31.5" x14ac:dyDescent="0.25">
      <c r="B11" s="149" t="s">
        <v>2</v>
      </c>
    </row>
  </sheetData>
  <sheetProtection algorithmName="SHA-512" hashValue="tpx4GHMafGiFpbhi7qol25yBPLH7Mb0Ss82vSF4igEn5FZrDB2umMhnMNViFdm1vvhLyN4/7uQlkgRxN6qNmzQ==" saltValue="hEw9w3d0H+yPWaxewQ22nQ==" spinCount="100000" sheet="1" objects="1" scenarios="1"/>
  <pageMargins left="0.7" right="0.7" top="0.75" bottom="0.75" header="0.3" footer="0.3"/>
  <pageSetup paperSize="9" orientation="portrait"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BC9E0-BE5F-4892-896D-1BCD09BCAA16}">
  <sheetPr>
    <tabColor theme="0" tint="-0.499984740745262"/>
    <pageSetUpPr autoPageBreaks="0"/>
  </sheetPr>
  <dimension ref="B1:B29"/>
  <sheetViews>
    <sheetView showGridLines="0" workbookViewId="0"/>
  </sheetViews>
  <sheetFormatPr defaultRowHeight="15" x14ac:dyDescent="0.25"/>
  <cols>
    <col min="2" max="2" width="200.5703125" customWidth="1"/>
  </cols>
  <sheetData>
    <row r="1" spans="2:2" ht="28.5" x14ac:dyDescent="0.25">
      <c r="B1" s="26" t="s">
        <v>3</v>
      </c>
    </row>
    <row r="3" spans="2:2" ht="28.5" x14ac:dyDescent="0.25">
      <c r="B3" s="26" t="s">
        <v>4</v>
      </c>
    </row>
    <row r="5" spans="2:2" x14ac:dyDescent="0.25">
      <c r="B5" s="252" t="s">
        <v>5</v>
      </c>
    </row>
    <row r="6" spans="2:2" x14ac:dyDescent="0.25">
      <c r="B6" s="252"/>
    </row>
    <row r="7" spans="2:2" x14ac:dyDescent="0.25">
      <c r="B7" s="252"/>
    </row>
    <row r="8" spans="2:2" x14ac:dyDescent="0.25">
      <c r="B8" s="252"/>
    </row>
    <row r="9" spans="2:2" x14ac:dyDescent="0.25">
      <c r="B9" s="252"/>
    </row>
    <row r="10" spans="2:2" x14ac:dyDescent="0.25">
      <c r="B10" s="252"/>
    </row>
    <row r="11" spans="2:2" x14ac:dyDescent="0.25">
      <c r="B11" s="252"/>
    </row>
    <row r="12" spans="2:2" x14ac:dyDescent="0.25">
      <c r="B12" s="252"/>
    </row>
    <row r="13" spans="2:2" x14ac:dyDescent="0.25">
      <c r="B13" s="252"/>
    </row>
    <row r="14" spans="2:2" x14ac:dyDescent="0.25">
      <c r="B14" s="252"/>
    </row>
    <row r="15" spans="2:2" x14ac:dyDescent="0.25">
      <c r="B15" s="252"/>
    </row>
    <row r="16" spans="2:2" x14ac:dyDescent="0.25">
      <c r="B16" s="252"/>
    </row>
    <row r="17" spans="2:2" x14ac:dyDescent="0.25">
      <c r="B17" s="252"/>
    </row>
    <row r="18" spans="2:2" x14ac:dyDescent="0.25">
      <c r="B18" s="252"/>
    </row>
    <row r="19" spans="2:2" x14ac:dyDescent="0.25">
      <c r="B19" s="252"/>
    </row>
    <row r="20" spans="2:2" x14ac:dyDescent="0.25">
      <c r="B20" s="252"/>
    </row>
    <row r="21" spans="2:2" x14ac:dyDescent="0.25">
      <c r="B21" s="252"/>
    </row>
    <row r="22" spans="2:2" x14ac:dyDescent="0.25">
      <c r="B22" s="252"/>
    </row>
    <row r="23" spans="2:2" x14ac:dyDescent="0.25">
      <c r="B23" s="252"/>
    </row>
    <row r="24" spans="2:2" x14ac:dyDescent="0.25">
      <c r="B24" s="252"/>
    </row>
    <row r="25" spans="2:2" x14ac:dyDescent="0.25">
      <c r="B25" s="252"/>
    </row>
    <row r="26" spans="2:2" x14ac:dyDescent="0.25">
      <c r="B26" s="252"/>
    </row>
    <row r="27" spans="2:2" x14ac:dyDescent="0.25">
      <c r="B27" s="252"/>
    </row>
    <row r="28" spans="2:2" x14ac:dyDescent="0.25">
      <c r="B28" s="252"/>
    </row>
    <row r="29" spans="2:2" x14ac:dyDescent="0.25">
      <c r="B29" s="252"/>
    </row>
  </sheetData>
  <sheetProtection algorithmName="SHA-512" hashValue="lcb1EbMGkDVnzyq01dBKAn+gELY67q9EDG6++WG5RR3MWqczFecZhjXdid7TywdQ94uQuWEFK0YsbY1xWbhmyg==" saltValue="mLeGOEzdIHQPcIEEv84mXQ==" spinCount="100000" sheet="1" objects="1" scenarios="1"/>
  <mergeCells count="1">
    <mergeCell ref="B5:B29"/>
  </mergeCells>
  <pageMargins left="0.7" right="0.7" top="0.75" bottom="0.75" header="0.3" footer="0.3"/>
  <pageSetup paperSize="9" orientation="portrait" r:id="rId1"/>
  <headerFooter>
    <oddHeader>&amp;C&amp;B&amp;"Arial"&amp;12&amp;Kff0000​‌OFFICIAL‌​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0480C-27A2-4B3E-9741-0B6D9B41C818}">
  <sheetPr codeName="Sheet4">
    <tabColor rgb="FF7F7F7F"/>
    <pageSetUpPr autoPageBreaks="0"/>
  </sheetPr>
  <dimension ref="A1:FV32"/>
  <sheetViews>
    <sheetView showGridLines="0" zoomScaleNormal="100" workbookViewId="0">
      <pane xSplit="5" topLeftCell="F1" activePane="topRight" state="frozen"/>
      <selection activeCell="B33" sqref="B33"/>
      <selection pane="topRight"/>
    </sheetView>
  </sheetViews>
  <sheetFormatPr defaultColWidth="9.42578125" defaultRowHeight="15" zeroHeight="1" x14ac:dyDescent="0.25"/>
  <cols>
    <col min="1" max="1" width="5.5703125" style="11" customWidth="1"/>
    <col min="2" max="2" width="25.5703125" style="3" customWidth="1"/>
    <col min="3" max="3" width="50.5703125" style="3" customWidth="1"/>
    <col min="4" max="4" width="25.5703125" style="3" customWidth="1"/>
    <col min="5" max="5" width="75.5703125" style="3" customWidth="1"/>
    <col min="6" max="178" width="5.5703125" style="3" customWidth="1"/>
  </cols>
  <sheetData>
    <row r="1" spans="1:178" ht="25.35" customHeight="1" x14ac:dyDescent="0.25">
      <c r="A1" s="21"/>
      <c r="B1" s="16" t="str">
        <f>Disclaimer!$B$1</f>
        <v>VDO calculation model</v>
      </c>
      <c r="C1" s="16"/>
      <c r="D1" s="16"/>
      <c r="E1" s="16"/>
    </row>
    <row r="2" spans="1:178" ht="25.35" customHeight="1" x14ac:dyDescent="0.25">
      <c r="A2" s="18">
        <f ca="1">_xlfn.SHEET()</f>
        <v>3</v>
      </c>
      <c r="B2" s="17" t="s">
        <v>6</v>
      </c>
      <c r="C2" s="17"/>
      <c r="D2" s="17"/>
      <c r="E2" s="17"/>
    </row>
    <row r="3" spans="1:178" ht="25.35" customHeight="1" x14ac:dyDescent="0.25">
      <c r="A3" s="22"/>
      <c r="B3" s="2" t="s">
        <v>7</v>
      </c>
      <c r="C3" s="2" t="s">
        <v>8</v>
      </c>
      <c r="D3" s="2" t="s">
        <v>9</v>
      </c>
      <c r="E3" s="2" t="s">
        <v>10</v>
      </c>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row>
    <row r="4" spans="1:178" ht="30" customHeight="1" x14ac:dyDescent="0.25">
      <c r="A4" s="23"/>
      <c r="B4" s="8" t="s">
        <v>11</v>
      </c>
      <c r="C4" s="8" t="s">
        <v>12</v>
      </c>
      <c r="D4" s="248" t="s">
        <v>12</v>
      </c>
      <c r="E4" s="8" t="s">
        <v>13</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row>
    <row r="5" spans="1:178" ht="30" customHeight="1" x14ac:dyDescent="0.25">
      <c r="A5" s="23"/>
      <c r="B5" s="8" t="s">
        <v>11</v>
      </c>
      <c r="C5" s="8" t="s">
        <v>17</v>
      </c>
      <c r="D5" s="248" t="s">
        <v>17</v>
      </c>
      <c r="E5" s="8" t="s">
        <v>18</v>
      </c>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row>
    <row r="6" spans="1:178" ht="30" customHeight="1" x14ac:dyDescent="0.25">
      <c r="A6" s="23"/>
      <c r="B6" s="8" t="s">
        <v>11</v>
      </c>
      <c r="C6" s="8" t="s">
        <v>19</v>
      </c>
      <c r="D6" s="248" t="s">
        <v>19</v>
      </c>
      <c r="E6" s="8" t="s">
        <v>20</v>
      </c>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row>
    <row r="7" spans="1:178" ht="30" customHeight="1" x14ac:dyDescent="0.25">
      <c r="A7" s="23"/>
      <c r="B7" s="8" t="s">
        <v>11</v>
      </c>
      <c r="C7" s="8" t="s">
        <v>565</v>
      </c>
      <c r="D7" s="248" t="s">
        <v>565</v>
      </c>
      <c r="E7" s="8" t="s">
        <v>566</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row>
    <row r="8" spans="1:178" ht="30" customHeight="1" x14ac:dyDescent="0.25">
      <c r="A8" s="23"/>
      <c r="B8" s="8" t="s">
        <v>11</v>
      </c>
      <c r="C8" s="8" t="s">
        <v>567</v>
      </c>
      <c r="D8" s="248" t="s">
        <v>567</v>
      </c>
      <c r="E8" s="8" t="s">
        <v>568</v>
      </c>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row>
    <row r="9" spans="1:178" ht="30" customHeight="1" x14ac:dyDescent="0.25">
      <c r="A9" s="23"/>
      <c r="B9" s="8" t="s">
        <v>11</v>
      </c>
      <c r="C9" s="8" t="s">
        <v>569</v>
      </c>
      <c r="D9" s="248" t="s">
        <v>569</v>
      </c>
      <c r="E9" s="8" t="s">
        <v>570</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row>
    <row r="10" spans="1:178" ht="30" customHeight="1" x14ac:dyDescent="0.25">
      <c r="A10" s="23"/>
      <c r="B10" s="8" t="s">
        <v>11</v>
      </c>
      <c r="C10" s="8" t="s">
        <v>27</v>
      </c>
      <c r="D10" s="248" t="s">
        <v>27</v>
      </c>
      <c r="E10" s="8" t="s">
        <v>28</v>
      </c>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row>
    <row r="11" spans="1:178" ht="30" customHeight="1" x14ac:dyDescent="0.25">
      <c r="A11" s="23"/>
      <c r="B11" s="8" t="s">
        <v>11</v>
      </c>
      <c r="C11" s="8" t="s">
        <v>29</v>
      </c>
      <c r="D11" s="248" t="s">
        <v>29</v>
      </c>
      <c r="E11" s="8" t="s">
        <v>30</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row>
    <row r="12" spans="1:178" ht="30" customHeight="1" x14ac:dyDescent="0.25">
      <c r="A12" s="23"/>
      <c r="B12" s="8" t="s">
        <v>11</v>
      </c>
      <c r="C12" s="8" t="s">
        <v>31</v>
      </c>
      <c r="D12" s="248" t="s">
        <v>31</v>
      </c>
      <c r="E12" s="8" t="s">
        <v>32</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row>
    <row r="13" spans="1:178" ht="30" customHeight="1" x14ac:dyDescent="0.25">
      <c r="A13" s="23"/>
      <c r="B13" s="8" t="s">
        <v>11</v>
      </c>
      <c r="C13" s="8" t="s">
        <v>21</v>
      </c>
      <c r="D13" s="248" t="s">
        <v>21</v>
      </c>
      <c r="E13" s="8" t="s">
        <v>22</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row>
    <row r="14" spans="1:178" ht="30" customHeight="1" x14ac:dyDescent="0.25">
      <c r="A14" s="23"/>
      <c r="B14" s="8" t="s">
        <v>11</v>
      </c>
      <c r="C14" s="8" t="s">
        <v>23</v>
      </c>
      <c r="D14" s="248" t="s">
        <v>23</v>
      </c>
      <c r="E14" s="8" t="s">
        <v>24</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row>
    <row r="15" spans="1:178" ht="30" customHeight="1" x14ac:dyDescent="0.25">
      <c r="A15" s="23"/>
      <c r="B15" s="8" t="s">
        <v>11</v>
      </c>
      <c r="C15" s="8" t="s">
        <v>25</v>
      </c>
      <c r="D15" s="248" t="s">
        <v>25</v>
      </c>
      <c r="E15" s="8" t="s">
        <v>26</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row>
    <row r="16" spans="1:178" ht="30" customHeight="1" x14ac:dyDescent="0.25">
      <c r="A16" s="23"/>
      <c r="B16" s="8" t="s">
        <v>11</v>
      </c>
      <c r="C16" s="8" t="s">
        <v>15</v>
      </c>
      <c r="D16" s="248" t="s">
        <v>15</v>
      </c>
      <c r="E16" s="8" t="s">
        <v>571</v>
      </c>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row>
    <row r="17" spans="1:178" ht="30" customHeight="1" x14ac:dyDescent="0.25">
      <c r="A17" s="23"/>
      <c r="B17" s="8"/>
      <c r="C17" s="8"/>
      <c r="D17" s="141"/>
      <c r="E17" s="8"/>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row>
    <row r="18" spans="1:178" ht="30" customHeight="1" x14ac:dyDescent="0.25">
      <c r="A18" s="23"/>
      <c r="B18" s="8"/>
      <c r="C18" s="8"/>
      <c r="D18" s="141"/>
      <c r="E18" s="8"/>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row>
    <row r="19" spans="1:178" x14ac:dyDescent="0.25"/>
    <row r="20" spans="1:178" x14ac:dyDescent="0.25"/>
    <row r="21" spans="1:178" x14ac:dyDescent="0.25"/>
    <row r="22" spans="1:178" x14ac:dyDescent="0.25"/>
    <row r="23" spans="1:178" x14ac:dyDescent="0.25"/>
    <row r="24" spans="1:178" x14ac:dyDescent="0.25"/>
    <row r="25" spans="1:178" x14ac:dyDescent="0.25"/>
    <row r="26" spans="1:178" x14ac:dyDescent="0.25"/>
    <row r="27" spans="1:178" x14ac:dyDescent="0.25"/>
    <row r="28" spans="1:178" x14ac:dyDescent="0.25"/>
    <row r="29" spans="1:178" x14ac:dyDescent="0.25"/>
    <row r="30" spans="1:178" x14ac:dyDescent="0.25"/>
    <row r="31" spans="1:178" x14ac:dyDescent="0.25"/>
    <row r="32" spans="1:178" x14ac:dyDescent="0.25"/>
  </sheetData>
  <sheetProtection algorithmName="SHA-512" hashValue="BHzS/UmDuacJPTVH256erXvpKiOJxEXZ4fxuMMAFNuD/CGjSLoJsa4afcCFWbOKudlvVqe/J+avyxmUc4yX2mw==" saltValue="XcKGf9ILrIjomq0bt0aazg==" spinCount="100000" sheet="1" objects="1" scenarios="1"/>
  <hyperlinks>
    <hyperlink ref="D11:D15" location="Disclaimer!A1" display="Disclaimer!A1" xr:uid="{75BBEA0B-2293-4584-BA6D-54AD11BB8864}"/>
    <hyperlink ref="D10:D11" location="Disclaimer!A1" display="Disclaimer!A1" xr:uid="{6824296D-19F2-459F-B729-A5B0C9D72F5C}"/>
    <hyperlink ref="D10" location="Inputs!A1" display="Inputs" xr:uid="{B29A1D43-55A4-41FE-8F51-A796A93F8571}"/>
    <hyperlink ref="D10:D12" location="Disclaimer!A1" display="Disclaimer!A1" xr:uid="{608DDDF3-2986-46BC-A30C-9EC7178B32F1}"/>
    <hyperlink ref="D16" location="Sources!A1" display="Sources" xr:uid="{C28D6A46-D36E-4998-8BB7-C0293E11702B}"/>
    <hyperlink ref="D4" location="'User Guide'!A1" display="'User Guide'" xr:uid="{E3E983E4-3F86-472A-AA12-47943C2659FF}"/>
    <hyperlink ref="D5" location="OP_Rates!A1" display="OP_Rates" xr:uid="{30ECBAE7-EED2-4F75-87C4-203CD200057C}"/>
    <hyperlink ref="D6" location="OP_CMAB!A1" display="OP_CMAB" xr:uid="{49AE0C4F-2129-4648-95F5-35EA012F140F}"/>
    <hyperlink ref="D7" location="CH_CostStack_RES!A1" display="CH_CostStack_RES" xr:uid="{64E8E58B-76E7-415B-B0AA-8C29CAE75145}"/>
    <hyperlink ref="D8" location="CH_CostStack_SME!A1" display="CH_CostStack_SME" xr:uid="{AE210C7B-4A87-4D3A-8641-60D2B1C1D7CC}"/>
    <hyperlink ref="D9" location="'CH_CostStack_SME 10k'!A1" display="CH_CostStack_SME_10k" xr:uid="{F7D31E89-F2D2-487C-AEC1-9211009337FE}"/>
    <hyperlink ref="D11" location="'General Assumptions'!A1" display="General assumptions" xr:uid="{963423B0-3D0F-4A6C-B2E5-DE0B5570B8C4}"/>
    <hyperlink ref="D12" location="'CPI'!A1" display="CPI" xr:uid="{1FD4B4C1-9AE1-4890-BDDC-4E8BBC963015}"/>
    <hyperlink ref="D13" location="Calc_Rates!A1" display="Calc_Rates" xr:uid="{8897767D-CED3-4EC9-A07D-B464E8086236}"/>
    <hyperlink ref="D14" location="Calc_TU_values!A1" display="Calc_TU_values" xr:uid="{C0AD2DDC-6780-4D5B-A4EF-2F9C5A147379}"/>
    <hyperlink ref="D15" location="Calc_TU_rates!A1" display="Calc_TU_rates" xr:uid="{3E56DA62-D7EA-4ED0-A7D7-881DA088DEA8}"/>
  </hyperlinks>
  <pageMargins left="0.7" right="0.7" top="0.75" bottom="0.75" header="0.3" footer="0.3"/>
  <pageSetup paperSize="9" orientation="portrait" r:id="rId1"/>
  <headerFooter>
    <oddHeader>&amp;C&amp;B&amp;"Arial"&amp;12&amp;Kff0000​‌OFFICIAL‌​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59B9C-54D8-4CA7-9EA5-3139E3BA5210}">
  <sheetPr codeName="Sheet14">
    <tabColor rgb="FF7F7F7F"/>
    <pageSetUpPr autoPageBreaks="0"/>
  </sheetPr>
  <dimension ref="A1:Z113"/>
  <sheetViews>
    <sheetView showGridLines="0" topLeftCell="B1" zoomScaleNormal="100" workbookViewId="0">
      <pane ySplit="3" topLeftCell="A45" activePane="bottomLeft" state="frozen"/>
      <selection activeCell="B33" sqref="B33"/>
      <selection pane="bottomLeft" activeCell="E42" sqref="E42"/>
    </sheetView>
  </sheetViews>
  <sheetFormatPr defaultColWidth="9.42578125" defaultRowHeight="15" outlineLevelCol="1" x14ac:dyDescent="0.25"/>
  <cols>
    <col min="1" max="1" width="100.5703125" hidden="1" customWidth="1" outlineLevel="1"/>
    <col min="2" max="2" width="10.5703125" style="5" customWidth="1" collapsed="1"/>
    <col min="3" max="3" width="50.5703125" customWidth="1"/>
    <col min="4" max="26" width="25.5703125" customWidth="1"/>
  </cols>
  <sheetData>
    <row r="1" spans="1:26" ht="15" customHeight="1" x14ac:dyDescent="0.25">
      <c r="A1" s="1" t="s">
        <v>33</v>
      </c>
      <c r="B1" s="12"/>
      <c r="C1" s="249" t="s">
        <v>576</v>
      </c>
      <c r="D1" s="13"/>
      <c r="E1" s="13"/>
      <c r="F1" s="13"/>
      <c r="G1" s="13"/>
      <c r="H1" s="13"/>
      <c r="I1" s="13"/>
      <c r="J1" s="13"/>
      <c r="K1" s="13"/>
      <c r="L1" s="13"/>
      <c r="M1" s="13"/>
      <c r="N1" s="13"/>
      <c r="O1" s="13"/>
      <c r="P1" s="13"/>
      <c r="Q1" s="13"/>
      <c r="R1" s="13"/>
      <c r="S1" s="13"/>
      <c r="T1" s="13"/>
      <c r="U1" s="13"/>
      <c r="V1" s="13"/>
      <c r="W1" s="13"/>
      <c r="X1" s="13"/>
      <c r="Y1" s="13"/>
      <c r="Z1" s="13"/>
    </row>
    <row r="2" spans="1:26" s="3" customFormat="1" ht="50.1" customHeight="1" x14ac:dyDescent="0.25">
      <c r="A2" s="253" t="s">
        <v>34</v>
      </c>
      <c r="B2" s="16"/>
      <c r="C2" s="16" t="str">
        <f>Disclaimer!$B$1</f>
        <v>VDO calculation model</v>
      </c>
      <c r="D2" s="16"/>
      <c r="E2" s="16"/>
      <c r="F2" s="16"/>
      <c r="G2" s="16"/>
      <c r="H2" s="16"/>
      <c r="I2" s="16"/>
      <c r="J2" s="16"/>
      <c r="K2" s="16"/>
      <c r="L2" s="16"/>
      <c r="M2" s="16"/>
      <c r="N2" s="16"/>
      <c r="O2" s="16"/>
      <c r="P2" s="16"/>
      <c r="Q2" s="16"/>
      <c r="R2" s="16"/>
      <c r="S2" s="16"/>
      <c r="T2" s="16"/>
      <c r="U2" s="16"/>
      <c r="V2" s="16"/>
      <c r="W2" s="16"/>
      <c r="X2" s="16"/>
      <c r="Y2" s="16"/>
      <c r="Z2" s="16"/>
    </row>
    <row r="3" spans="1:26" s="3" customFormat="1" ht="30" customHeight="1" x14ac:dyDescent="0.25">
      <c r="A3" s="253"/>
      <c r="B3" s="18">
        <f ca="1">_xlfn.SHEET()</f>
        <v>4</v>
      </c>
      <c r="C3" s="17" t="s">
        <v>35</v>
      </c>
      <c r="D3" s="17"/>
      <c r="E3" s="17"/>
      <c r="F3" s="17"/>
      <c r="G3" s="17"/>
      <c r="H3" s="17"/>
      <c r="I3" s="17"/>
      <c r="J3" s="17"/>
      <c r="K3" s="17"/>
      <c r="L3" s="17"/>
      <c r="M3" s="17"/>
      <c r="N3" s="17"/>
      <c r="O3" s="17"/>
      <c r="P3" s="17"/>
      <c r="Q3" s="17"/>
      <c r="R3" s="17"/>
      <c r="S3" s="17"/>
      <c r="T3" s="17"/>
      <c r="U3" s="17"/>
      <c r="V3" s="17"/>
      <c r="W3" s="17"/>
      <c r="X3" s="17"/>
      <c r="Y3" s="17"/>
      <c r="Z3" s="17"/>
    </row>
    <row r="4" spans="1:26" x14ac:dyDescent="0.25">
      <c r="B4"/>
    </row>
    <row r="5" spans="1:26" ht="16.5" thickBot="1" x14ac:dyDescent="0.3">
      <c r="A5" s="1" t="s">
        <v>36</v>
      </c>
      <c r="B5" s="155">
        <f ca="1">MAX(B$3:B4)+0.01</f>
        <v>4.01</v>
      </c>
      <c r="C5" s="19" t="s">
        <v>37</v>
      </c>
      <c r="D5" s="19"/>
      <c r="E5" s="19"/>
      <c r="F5" s="19"/>
      <c r="G5" s="19"/>
      <c r="H5" s="19"/>
      <c r="I5" s="19"/>
      <c r="J5" s="19"/>
      <c r="K5" s="19"/>
      <c r="L5" s="19"/>
      <c r="M5" s="19"/>
      <c r="N5" s="19"/>
      <c r="O5" s="19"/>
      <c r="P5" s="19"/>
      <c r="Q5" s="19"/>
      <c r="R5" s="19"/>
      <c r="S5" s="19"/>
      <c r="T5" s="19"/>
      <c r="U5" s="19"/>
      <c r="V5" s="19"/>
      <c r="W5" s="19"/>
      <c r="X5" s="19"/>
      <c r="Y5" s="19"/>
      <c r="Z5" s="19"/>
    </row>
    <row r="6" spans="1:26" x14ac:dyDescent="0.25">
      <c r="B6"/>
    </row>
    <row r="7" spans="1:26" x14ac:dyDescent="0.25">
      <c r="B7"/>
    </row>
    <row r="8" spans="1:26" x14ac:dyDescent="0.25">
      <c r="B8"/>
    </row>
    <row r="9" spans="1:26" x14ac:dyDescent="0.25">
      <c r="B9"/>
    </row>
    <row r="10" spans="1:26" x14ac:dyDescent="0.25">
      <c r="B10"/>
    </row>
    <row r="11" spans="1:26" x14ac:dyDescent="0.25">
      <c r="B11"/>
    </row>
    <row r="12" spans="1:26" x14ac:dyDescent="0.25">
      <c r="B12"/>
    </row>
    <row r="13" spans="1:26" x14ac:dyDescent="0.25">
      <c r="B13"/>
    </row>
    <row r="14" spans="1:26" x14ac:dyDescent="0.25">
      <c r="B14"/>
    </row>
    <row r="15" spans="1:26" x14ac:dyDescent="0.25">
      <c r="B15"/>
    </row>
    <row r="16" spans="1:26" x14ac:dyDescent="0.25">
      <c r="B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spans="1:26" x14ac:dyDescent="0.25">
      <c r="B33"/>
    </row>
    <row r="34" spans="1:26" x14ac:dyDescent="0.25">
      <c r="B34"/>
    </row>
    <row r="35" spans="1:26" x14ac:dyDescent="0.25">
      <c r="B35"/>
    </row>
    <row r="36" spans="1:26" x14ac:dyDescent="0.25">
      <c r="B36"/>
    </row>
    <row r="37" spans="1:26" x14ac:dyDescent="0.25">
      <c r="B37"/>
    </row>
    <row r="38" spans="1:26" x14ac:dyDescent="0.25">
      <c r="B38"/>
    </row>
    <row r="39" spans="1:26" ht="16.5" thickBot="1" x14ac:dyDescent="0.3">
      <c r="A39" s="1" t="s">
        <v>36</v>
      </c>
      <c r="B39" s="155">
        <f ca="1">MAX(B$3:B38)+0.01</f>
        <v>4.0199999999999996</v>
      </c>
      <c r="C39" s="19" t="s">
        <v>38</v>
      </c>
      <c r="D39" s="19"/>
      <c r="E39" s="19"/>
      <c r="F39" s="19"/>
      <c r="G39" s="19"/>
      <c r="H39" s="19"/>
      <c r="I39" s="19"/>
      <c r="J39" s="19"/>
      <c r="K39" s="19"/>
      <c r="L39" s="19"/>
      <c r="M39" s="19"/>
      <c r="N39" s="19"/>
      <c r="O39" s="19"/>
      <c r="P39" s="19"/>
      <c r="Q39" s="19"/>
      <c r="R39" s="19"/>
      <c r="S39" s="19"/>
      <c r="T39" s="19"/>
      <c r="U39" s="19"/>
      <c r="V39" s="19"/>
      <c r="W39" s="19"/>
      <c r="X39" s="19"/>
      <c r="Y39" s="19"/>
      <c r="Z39" s="19"/>
    </row>
    <row r="40" spans="1:26" x14ac:dyDescent="0.25">
      <c r="B40"/>
    </row>
    <row r="41" spans="1:26" x14ac:dyDescent="0.25">
      <c r="B41"/>
    </row>
    <row r="42" spans="1:26" ht="15.75" x14ac:dyDescent="0.25">
      <c r="B42"/>
      <c r="C42" s="20" t="s">
        <v>39</v>
      </c>
    </row>
    <row r="43" spans="1:26" x14ac:dyDescent="0.25">
      <c r="B43"/>
    </row>
    <row r="44" spans="1:26" x14ac:dyDescent="0.25">
      <c r="B44"/>
    </row>
    <row r="45" spans="1:26" x14ac:dyDescent="0.25">
      <c r="B45"/>
    </row>
    <row r="46" spans="1:26" x14ac:dyDescent="0.25">
      <c r="B46"/>
    </row>
    <row r="47" spans="1:26" x14ac:dyDescent="0.25">
      <c r="B47"/>
    </row>
    <row r="48" spans="1:26" x14ac:dyDescent="0.25">
      <c r="B48"/>
    </row>
    <row r="49" spans="2:3" x14ac:dyDescent="0.25">
      <c r="B49"/>
    </row>
    <row r="50" spans="2:3" x14ac:dyDescent="0.25">
      <c r="B50"/>
    </row>
    <row r="51" spans="2:3" x14ac:dyDescent="0.25">
      <c r="B51"/>
    </row>
    <row r="52" spans="2:3" x14ac:dyDescent="0.25">
      <c r="B52"/>
    </row>
    <row r="53" spans="2:3" x14ac:dyDescent="0.25">
      <c r="B53"/>
    </row>
    <row r="54" spans="2:3" x14ac:dyDescent="0.25">
      <c r="B54"/>
    </row>
    <row r="55" spans="2:3" x14ac:dyDescent="0.25">
      <c r="B55"/>
    </row>
    <row r="56" spans="2:3" x14ac:dyDescent="0.25">
      <c r="B56"/>
    </row>
    <row r="57" spans="2:3" x14ac:dyDescent="0.25">
      <c r="B57"/>
    </row>
    <row r="58" spans="2:3" x14ac:dyDescent="0.25">
      <c r="B58"/>
    </row>
    <row r="59" spans="2:3" x14ac:dyDescent="0.25">
      <c r="B59"/>
    </row>
    <row r="60" spans="2:3" x14ac:dyDescent="0.25">
      <c r="B60"/>
    </row>
    <row r="61" spans="2:3" ht="15.75" x14ac:dyDescent="0.25">
      <c r="B61"/>
      <c r="C61" s="20" t="s">
        <v>40</v>
      </c>
    </row>
    <row r="62" spans="2:3" x14ac:dyDescent="0.25">
      <c r="B62"/>
    </row>
    <row r="63" spans="2:3" x14ac:dyDescent="0.25">
      <c r="B63"/>
    </row>
    <row r="64" spans="2:3"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hidden="1" x14ac:dyDescent="0.25">
      <c r="B78"/>
    </row>
    <row r="79" spans="2:2" hidden="1" x14ac:dyDescent="0.25">
      <c r="B79"/>
    </row>
    <row r="80" spans="2:2" hidden="1" x14ac:dyDescent="0.25">
      <c r="B80"/>
    </row>
    <row r="81" spans="2:3" hidden="1" x14ac:dyDescent="0.25">
      <c r="B81"/>
    </row>
    <row r="82" spans="2:3" hidden="1" x14ac:dyDescent="0.25">
      <c r="B82"/>
    </row>
    <row r="83" spans="2:3" hidden="1" x14ac:dyDescent="0.25">
      <c r="B83"/>
    </row>
    <row r="84" spans="2:3" hidden="1" x14ac:dyDescent="0.25">
      <c r="B84"/>
    </row>
    <row r="85" spans="2:3" hidden="1" x14ac:dyDescent="0.25">
      <c r="B85"/>
    </row>
    <row r="86" spans="2:3" hidden="1" x14ac:dyDescent="0.25">
      <c r="B86"/>
    </row>
    <row r="87" spans="2:3" hidden="1" x14ac:dyDescent="0.25">
      <c r="B87"/>
    </row>
    <row r="88" spans="2:3" hidden="1" x14ac:dyDescent="0.25">
      <c r="B88"/>
    </row>
    <row r="89" spans="2:3" hidden="1" x14ac:dyDescent="0.25">
      <c r="B89"/>
    </row>
    <row r="90" spans="2:3" hidden="1" x14ac:dyDescent="0.25">
      <c r="B90"/>
    </row>
    <row r="91" spans="2:3" hidden="1" x14ac:dyDescent="0.25">
      <c r="B91"/>
    </row>
    <row r="92" spans="2:3" hidden="1" x14ac:dyDescent="0.25">
      <c r="B92"/>
    </row>
    <row r="93" spans="2:3" hidden="1" x14ac:dyDescent="0.25">
      <c r="B93"/>
    </row>
    <row r="94" spans="2:3" hidden="1" x14ac:dyDescent="0.25">
      <c r="B94"/>
    </row>
    <row r="95" spans="2:3" hidden="1" x14ac:dyDescent="0.25">
      <c r="B95"/>
    </row>
    <row r="96" spans="2:3" ht="15.75" x14ac:dyDescent="0.25">
      <c r="B96"/>
      <c r="C96" s="20" t="s">
        <v>41</v>
      </c>
    </row>
    <row r="97" spans="1:26" ht="15.75" x14ac:dyDescent="0.25">
      <c r="B97"/>
      <c r="C97" s="20"/>
    </row>
    <row r="98" spans="1:26" x14ac:dyDescent="0.25">
      <c r="B98"/>
    </row>
    <row r="99" spans="1:26" x14ac:dyDescent="0.25">
      <c r="B99"/>
    </row>
    <row r="100" spans="1:26" x14ac:dyDescent="0.25">
      <c r="B100"/>
    </row>
    <row r="101" spans="1:26" x14ac:dyDescent="0.25">
      <c r="B101"/>
    </row>
    <row r="102" spans="1:26" x14ac:dyDescent="0.25">
      <c r="B102"/>
    </row>
    <row r="103" spans="1:26" x14ac:dyDescent="0.25">
      <c r="B103"/>
    </row>
    <row r="104" spans="1:26" x14ac:dyDescent="0.25">
      <c r="B104"/>
    </row>
    <row r="105" spans="1:26" x14ac:dyDescent="0.25">
      <c r="B105"/>
    </row>
    <row r="106" spans="1:26" ht="16.5" thickBot="1" x14ac:dyDescent="0.3">
      <c r="A106" s="1" t="s">
        <v>36</v>
      </c>
      <c r="B106" s="155">
        <f ca="1">MAX(B$3:B105)+0.01</f>
        <v>4.0299999999999994</v>
      </c>
      <c r="C106" s="19" t="s">
        <v>42</v>
      </c>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8" spans="1:26" ht="25.35" customHeight="1" x14ac:dyDescent="0.25">
      <c r="C108" s="63" t="s">
        <v>14</v>
      </c>
    </row>
    <row r="109" spans="1:26" ht="25.35" customHeight="1" x14ac:dyDescent="0.25">
      <c r="C109" s="62" t="s">
        <v>43</v>
      </c>
    </row>
    <row r="110" spans="1:26" ht="25.35" customHeight="1" x14ac:dyDescent="0.25">
      <c r="C110" s="64" t="s">
        <v>44</v>
      </c>
    </row>
    <row r="111" spans="1:26" ht="25.35" customHeight="1" x14ac:dyDescent="0.25">
      <c r="C111" s="65" t="s">
        <v>45</v>
      </c>
    </row>
    <row r="112" spans="1:26" ht="25.35" customHeight="1" x14ac:dyDescent="0.25">
      <c r="C112" s="66" t="s">
        <v>46</v>
      </c>
    </row>
    <row r="113" spans="3:3" ht="22.5" customHeight="1" x14ac:dyDescent="0.25">
      <c r="C113" s="250" t="s">
        <v>577</v>
      </c>
    </row>
  </sheetData>
  <sheetProtection algorithmName="SHA-512" hashValue="YRpoeCfPz/UO7/wd82ozU13lvmM+GrWUPohwXuwt6jrwa95Ngfsn3uSIsM/5zG99SmeoQg+lA9byLuDr/myidw==" saltValue="Uj8n54ylQO+VH5hnBvKevQ==" spinCount="100000" sheet="1" objects="1" scenarios="1"/>
  <mergeCells count="1">
    <mergeCell ref="A2:A3"/>
  </mergeCells>
  <hyperlinks>
    <hyperlink ref="C1" location="Contents!A1" display="&lt;&lt; Back to Contents" xr:uid="{B469646B-72BF-4E99-B8D3-5DA533C4D1AF}"/>
  </hyperlinks>
  <pageMargins left="0.7" right="0.7" top="0.75" bottom="0.75" header="0.3" footer="0.3"/>
  <pageSetup paperSize="9" orientation="portrait" r:id="rId1"/>
  <headerFooter>
    <oddHeader>&amp;C&amp;B&amp;"Arial"&amp;12&amp;Kff0000​‌OFFICIAL‌​</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736FE-7522-432C-9E07-B6421590DE6E}">
  <sheetPr>
    <tabColor rgb="FFCE0058"/>
    <pageSetUpPr autoPageBreaks="0"/>
  </sheetPr>
  <dimension ref="A1:X173"/>
  <sheetViews>
    <sheetView showGridLines="0" topLeftCell="B1" zoomScale="80" zoomScaleNormal="80" workbookViewId="0">
      <pane ySplit="3" topLeftCell="A4" activePane="bottomLeft" state="frozen"/>
      <selection activeCell="B33" sqref="B33"/>
      <selection pane="bottomLeft" activeCell="L19" sqref="L19"/>
    </sheetView>
  </sheetViews>
  <sheetFormatPr defaultColWidth="9.42578125" defaultRowHeight="15" outlineLevelRow="2" outlineLevelCol="1" x14ac:dyDescent="0.25"/>
  <cols>
    <col min="1" max="1" width="100.5703125" hidden="1" customWidth="1" outlineLevel="1"/>
    <col min="2" max="2" width="10.5703125" style="5" customWidth="1" collapsed="1"/>
    <col min="3" max="3" width="22.5703125" customWidth="1"/>
    <col min="4" max="4" width="15.5703125" customWidth="1"/>
    <col min="5" max="5" width="16.42578125" customWidth="1"/>
    <col min="6" max="6" width="14.7109375" customWidth="1"/>
    <col min="7" max="12" width="15.5703125" customWidth="1"/>
    <col min="13" max="13" width="30.5703125" customWidth="1"/>
    <col min="14" max="14" width="15.5703125" customWidth="1"/>
    <col min="15" max="15" width="16.42578125" customWidth="1"/>
    <col min="16" max="22" width="15.5703125" customWidth="1"/>
  </cols>
  <sheetData>
    <row r="1" spans="1:22" ht="15" customHeight="1" x14ac:dyDescent="0.25">
      <c r="A1" s="1" t="s">
        <v>33</v>
      </c>
      <c r="B1" s="249" t="s">
        <v>576</v>
      </c>
      <c r="C1" s="13"/>
      <c r="D1" s="13"/>
      <c r="E1" s="13"/>
      <c r="F1" s="85" t="s">
        <v>58</v>
      </c>
      <c r="G1" s="70"/>
      <c r="H1" s="13"/>
      <c r="I1" s="13"/>
      <c r="J1" s="13"/>
      <c r="K1" s="13"/>
      <c r="L1" s="13"/>
      <c r="M1" s="13"/>
      <c r="N1" s="13"/>
      <c r="O1" s="13"/>
      <c r="P1" s="13"/>
      <c r="Q1" s="13"/>
      <c r="R1" s="13"/>
      <c r="S1" s="13"/>
      <c r="T1" s="13"/>
      <c r="U1" s="13"/>
      <c r="V1" s="13"/>
    </row>
    <row r="2" spans="1:22" s="3" customFormat="1" ht="50.1" customHeight="1" x14ac:dyDescent="0.25">
      <c r="A2" s="253" t="s">
        <v>34</v>
      </c>
      <c r="B2" s="16"/>
      <c r="C2" s="16" t="str">
        <f>Disclaimer!$B$1</f>
        <v>VDO calculation model</v>
      </c>
      <c r="D2" s="16"/>
      <c r="E2" s="16"/>
      <c r="F2" s="124" t="str">
        <f>Calc_Rates!$D$5</f>
        <v>VDO 2024-25 - Final</v>
      </c>
      <c r="G2" s="124" t="str">
        <f>Calc_Rates!$D$267</f>
        <v>VDO 2023-24 - Final</v>
      </c>
      <c r="H2" s="16"/>
      <c r="I2" s="16"/>
      <c r="J2" s="16"/>
      <c r="K2" s="16"/>
      <c r="L2" s="16"/>
      <c r="M2" s="16"/>
      <c r="N2" s="16"/>
      <c r="O2" s="16"/>
      <c r="P2" s="16"/>
      <c r="Q2" s="16"/>
      <c r="R2" s="16"/>
      <c r="S2" s="16"/>
      <c r="T2" s="16"/>
      <c r="U2" s="16"/>
      <c r="V2" s="16"/>
    </row>
    <row r="3" spans="1:22" s="3" customFormat="1" ht="30" customHeight="1" x14ac:dyDescent="0.25">
      <c r="A3" s="253"/>
      <c r="B3" s="18">
        <f ca="1">_xlfn.SHEET()</f>
        <v>5</v>
      </c>
      <c r="C3" s="17" t="str">
        <f>"VDO rates"</f>
        <v>VDO rates</v>
      </c>
      <c r="D3" s="17"/>
      <c r="E3" s="17"/>
      <c r="F3" s="69">
        <f>SUM(G55:K62,Q55:U62,G44:K51,Q44:U51,G66:K74,Q66:U74)</f>
        <v>0</v>
      </c>
      <c r="G3" s="69">
        <f>SUM(G128:K135,Q128:U135,G117:K124,Q117:U124,G139:K147,Q139:U147)</f>
        <v>0</v>
      </c>
      <c r="H3" s="17"/>
      <c r="I3" s="17"/>
      <c r="J3" s="17"/>
      <c r="K3" s="17"/>
      <c r="L3" s="17"/>
      <c r="M3" s="17"/>
      <c r="N3" s="17"/>
      <c r="O3" s="17"/>
      <c r="P3" s="17"/>
      <c r="Q3" s="17"/>
      <c r="R3" s="17"/>
      <c r="S3" s="17"/>
      <c r="T3" s="17"/>
      <c r="U3" s="17"/>
      <c r="V3" s="17"/>
    </row>
    <row r="4" spans="1:22" x14ac:dyDescent="0.25">
      <c r="B4"/>
    </row>
    <row r="5" spans="1:22" ht="16.5" thickBot="1" x14ac:dyDescent="0.3">
      <c r="A5" s="1" t="s">
        <v>36</v>
      </c>
      <c r="B5" s="155">
        <f ca="1">MAX(B$3:B4)+0.01</f>
        <v>5.01</v>
      </c>
      <c r="C5" s="19" t="str">
        <f>"VDO rates - "&amp;Calc_Rates!$D$5</f>
        <v>VDO rates - VDO 2024-25 - Final</v>
      </c>
      <c r="D5" s="19"/>
      <c r="E5" s="19"/>
      <c r="F5" s="19"/>
      <c r="G5" s="19"/>
      <c r="H5" s="19"/>
      <c r="I5" s="19"/>
      <c r="J5" s="19"/>
      <c r="K5" s="19"/>
      <c r="L5" s="19"/>
      <c r="M5" s="19"/>
      <c r="N5" s="19"/>
      <c r="O5" s="19"/>
      <c r="P5" s="19"/>
      <c r="Q5" s="19"/>
      <c r="R5" s="19"/>
      <c r="S5" s="19"/>
      <c r="T5" s="19"/>
      <c r="U5" s="19"/>
      <c r="V5" s="19"/>
    </row>
    <row r="6" spans="1:22" outlineLevel="1" x14ac:dyDescent="0.25"/>
    <row r="7" spans="1:22" ht="15.75" outlineLevel="1" x14ac:dyDescent="0.25">
      <c r="C7" s="20" t="s">
        <v>59</v>
      </c>
      <c r="M7" s="20" t="s">
        <v>60</v>
      </c>
      <c r="P7" s="61"/>
      <c r="Q7" s="61"/>
      <c r="R7" s="61"/>
    </row>
    <row r="8" spans="1:22" ht="15.75" outlineLevel="1" x14ac:dyDescent="0.25">
      <c r="C8" s="90" t="s">
        <v>61</v>
      </c>
      <c r="D8" s="90" t="s">
        <v>62</v>
      </c>
      <c r="E8" s="90" t="s">
        <v>63</v>
      </c>
      <c r="F8" s="90" t="s">
        <v>64</v>
      </c>
      <c r="G8" s="40" t="s">
        <v>65</v>
      </c>
      <c r="H8" s="40" t="s">
        <v>66</v>
      </c>
      <c r="I8" s="40" t="s">
        <v>67</v>
      </c>
      <c r="J8" s="40" t="s">
        <v>68</v>
      </c>
      <c r="K8" s="40" t="s">
        <v>69</v>
      </c>
      <c r="M8" s="90" t="s">
        <v>61</v>
      </c>
      <c r="N8" s="90" t="s">
        <v>62</v>
      </c>
      <c r="O8" s="90" t="s">
        <v>63</v>
      </c>
      <c r="P8" s="90" t="s">
        <v>64</v>
      </c>
      <c r="Q8" s="40" t="s">
        <v>65</v>
      </c>
      <c r="R8" s="40" t="s">
        <v>66</v>
      </c>
      <c r="S8" s="40" t="s">
        <v>67</v>
      </c>
      <c r="T8" s="40" t="s">
        <v>68</v>
      </c>
      <c r="U8" s="40" t="s">
        <v>69</v>
      </c>
    </row>
    <row r="9" spans="1:22" outlineLevel="1" x14ac:dyDescent="0.25">
      <c r="C9" s="14" t="s">
        <v>70</v>
      </c>
      <c r="D9" s="14" t="s">
        <v>71</v>
      </c>
      <c r="E9" s="14" t="s">
        <v>72</v>
      </c>
      <c r="F9" s="14" t="s">
        <v>64</v>
      </c>
      <c r="G9" s="112" cm="1">
        <f t="array" ref="G9">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1.3353999999999999</v>
      </c>
      <c r="H9" s="112" cm="1">
        <f t="array" ref="H9">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1.1673</v>
      </c>
      <c r="I9" s="112" cm="1">
        <f t="array" ref="I9">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1.2104999999999999</v>
      </c>
      <c r="J9" s="112" cm="1">
        <f t="array" ref="J9">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1.3163</v>
      </c>
      <c r="K9" s="112" cm="1">
        <f t="array" ref="K9">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1.0954999999999999</v>
      </c>
      <c r="M9" s="14" t="s">
        <v>70</v>
      </c>
      <c r="N9" s="14" t="s">
        <v>71</v>
      </c>
      <c r="O9" s="14" t="s">
        <v>73</v>
      </c>
      <c r="P9" s="14" t="s">
        <v>64</v>
      </c>
      <c r="Q9" s="112" cm="1">
        <f t="array" ref="Q9">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1.3353999999999999</v>
      </c>
      <c r="R9" s="112" cm="1">
        <f t="array" ref="R9">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1.3583000000000001</v>
      </c>
      <c r="S9" s="112" cm="1">
        <f t="array" ref="S9">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1.4055</v>
      </c>
      <c r="T9" s="112" cm="1">
        <f t="array" ref="T9">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1.4594</v>
      </c>
      <c r="U9" s="112" cm="1">
        <f t="array" ref="U9">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1.2865</v>
      </c>
    </row>
    <row r="10" spans="1:22" outlineLevel="1" x14ac:dyDescent="0.25">
      <c r="C10" s="14" t="s">
        <v>74</v>
      </c>
      <c r="D10" s="14" t="s">
        <v>75</v>
      </c>
      <c r="E10" s="14" t="s">
        <v>72</v>
      </c>
      <c r="F10" s="14" t="s">
        <v>64</v>
      </c>
      <c r="G10" s="112" cm="1">
        <f t="array" ref="G10">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0.35360000000000003</v>
      </c>
      <c r="H10" s="112" cm="1">
        <f t="array" ref="H10">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0" s="112" cm="1">
        <f t="array" ref="I10">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0" s="112" cm="1">
        <f t="array" ref="J10">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0" s="112" cm="1">
        <f t="array" ref="K10">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0" s="14" t="s">
        <v>74</v>
      </c>
      <c r="N10" s="14" t="s">
        <v>75</v>
      </c>
      <c r="O10" s="14" t="s">
        <v>73</v>
      </c>
      <c r="P10" s="14" t="s">
        <v>64</v>
      </c>
      <c r="Q10" s="112" cm="1">
        <f t="array" ref="Q10">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0.38369999999999999</v>
      </c>
      <c r="R10" s="112" cm="1">
        <f t="array" ref="R10">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0" s="112" cm="1">
        <f t="array" ref="S10">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0" s="112" cm="1">
        <f t="array" ref="T10">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0" s="112" cm="1">
        <f t="array" ref="U10">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1" spans="1:22" outlineLevel="1" x14ac:dyDescent="0.25">
      <c r="C11" s="14" t="s">
        <v>76</v>
      </c>
      <c r="D11" s="14" t="s">
        <v>75</v>
      </c>
      <c r="E11" s="14" t="s">
        <v>72</v>
      </c>
      <c r="F11" s="14" t="s">
        <v>64</v>
      </c>
      <c r="G11" s="112" cm="1">
        <f t="array" ref="G11">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0.36170000000000002</v>
      </c>
      <c r="H11" s="112" cm="1">
        <f t="array" ref="H11">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I11" s="112" cm="1">
        <f t="array" ref="I11">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J11" s="112" cm="1">
        <f t="array" ref="J11">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K11" s="112" cm="1">
        <f t="array" ref="K11">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M11" s="14" t="s">
        <v>76</v>
      </c>
      <c r="N11" s="14" t="s">
        <v>75</v>
      </c>
      <c r="O11" s="14" t="s">
        <v>73</v>
      </c>
      <c r="P11" s="14" t="s">
        <v>64</v>
      </c>
      <c r="Q11" s="112" cm="1">
        <f t="array" ref="Q11">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0.39450000000000002</v>
      </c>
      <c r="R11" s="112" cm="1">
        <f t="array" ref="R11">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1" s="112" cm="1">
        <f t="array" ref="S11">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1" s="112" cm="1">
        <f t="array" ref="T11">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1" s="112" cm="1">
        <f t="array" ref="U11">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2" spans="1:22" outlineLevel="1" x14ac:dyDescent="0.25">
      <c r="C12" s="14" t="s">
        <v>77</v>
      </c>
      <c r="D12" s="14" t="s">
        <v>75</v>
      </c>
      <c r="E12" s="14" t="s">
        <v>72</v>
      </c>
      <c r="F12" s="14" t="s">
        <v>64</v>
      </c>
      <c r="G12" s="112" cm="1">
        <f t="array" ref="G12">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v>
      </c>
      <c r="H12" s="112" cm="1">
        <f t="array" ref="H12">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0.25750000000000001</v>
      </c>
      <c r="I12" s="112" cm="1">
        <f t="array" ref="I12">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0.3054</v>
      </c>
      <c r="J12" s="112" cm="1">
        <f t="array" ref="J12">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0.30449999999999999</v>
      </c>
      <c r="K12" s="112" cm="1">
        <f t="array" ref="K12">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0.28839999999999999</v>
      </c>
      <c r="M12" s="14" t="s">
        <v>77</v>
      </c>
      <c r="N12" s="14" t="s">
        <v>75</v>
      </c>
      <c r="O12" s="14" t="s">
        <v>73</v>
      </c>
      <c r="P12" s="14" t="s">
        <v>64</v>
      </c>
      <c r="Q12" s="112" cm="1">
        <f t="array" ref="Q12">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2" s="112" cm="1">
        <f t="array" ref="R12">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0.25290000000000001</v>
      </c>
      <c r="S12" s="112" cm="1">
        <f t="array" ref="S12">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0.31819999999999998</v>
      </c>
      <c r="T12" s="112" cm="1">
        <f t="array" ref="T12">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0.2797</v>
      </c>
      <c r="U12" s="112" cm="1">
        <f t="array" ref="U12">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0.2742</v>
      </c>
    </row>
    <row r="13" spans="1:22" outlineLevel="1" x14ac:dyDescent="0.25">
      <c r="C13" s="14" t="s">
        <v>78</v>
      </c>
      <c r="D13" s="14" t="s">
        <v>71</v>
      </c>
      <c r="E13" s="14" t="s">
        <v>72</v>
      </c>
      <c r="F13" s="14" t="s">
        <v>64</v>
      </c>
      <c r="G13" s="112" cm="1">
        <f t="array" ref="G13">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1.3353999999999999</v>
      </c>
      <c r="H13" s="112" cm="1">
        <f t="array" ref="H13">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1.1673</v>
      </c>
      <c r="I13" s="112" cm="1">
        <f t="array" ref="I13">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1.2104999999999999</v>
      </c>
      <c r="J13" s="112" cm="1">
        <f t="array" ref="J13">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1.3163</v>
      </c>
      <c r="K13" s="112" cm="1">
        <f t="array" ref="K13">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1.0954999999999999</v>
      </c>
      <c r="M13" s="14" t="s">
        <v>78</v>
      </c>
      <c r="N13" s="14" t="s">
        <v>71</v>
      </c>
      <c r="O13" s="14" t="s">
        <v>73</v>
      </c>
      <c r="P13" s="14" t="s">
        <v>64</v>
      </c>
      <c r="Q13" s="112" cm="1">
        <f t="array" ref="Q13">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1.3353999999999999</v>
      </c>
      <c r="R13" s="112" cm="1">
        <f t="array" ref="R13">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1.3583000000000001</v>
      </c>
      <c r="S13" s="112" cm="1">
        <f t="array" ref="S13">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1.7271000000000001</v>
      </c>
      <c r="T13" s="112" cm="1">
        <f t="array" ref="T13">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1.4594</v>
      </c>
      <c r="U13" s="112" cm="1">
        <f t="array" ref="U13">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1.2865</v>
      </c>
    </row>
    <row r="14" spans="1:22" outlineLevel="1" x14ac:dyDescent="0.25">
      <c r="C14" s="14" t="s">
        <v>79</v>
      </c>
      <c r="D14" s="14" t="s">
        <v>75</v>
      </c>
      <c r="E14" s="14" t="s">
        <v>72</v>
      </c>
      <c r="F14" s="14" t="s">
        <v>64</v>
      </c>
      <c r="G14" s="112" cm="1">
        <f t="array" ref="G14">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0.47160000000000002</v>
      </c>
      <c r="H14" s="112" cm="1">
        <f t="array" ref="H14">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0.34460000000000002</v>
      </c>
      <c r="I14" s="112" cm="1">
        <f t="array" ref="I14">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0.38700000000000001</v>
      </c>
      <c r="J14" s="112" cm="1">
        <f t="array" ref="J14">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0.4052</v>
      </c>
      <c r="K14" s="112" cm="1">
        <f t="array" ref="K14">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0.38300000000000001</v>
      </c>
      <c r="M14" s="14" t="s">
        <v>79</v>
      </c>
      <c r="N14" s="14" t="s">
        <v>75</v>
      </c>
      <c r="O14" s="14" t="s">
        <v>73</v>
      </c>
      <c r="P14" s="14" t="s">
        <v>64</v>
      </c>
      <c r="Q14" s="112" cm="1">
        <f t="array" ref="Q14">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0.39529999999999998</v>
      </c>
      <c r="R14" s="112" cm="1">
        <f t="array" ref="R14">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0.3145</v>
      </c>
      <c r="S14" s="112" cm="1">
        <f t="array" ref="S14">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0.36499999999999999</v>
      </c>
      <c r="T14" s="112" cm="1">
        <f t="array" ref="T14">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0.37390000000000001</v>
      </c>
      <c r="U14" s="112" cm="1">
        <f t="array" ref="U14">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0.3453</v>
      </c>
    </row>
    <row r="15" spans="1:22" outlineLevel="1" x14ac:dyDescent="0.25">
      <c r="C15" s="14" t="s">
        <v>80</v>
      </c>
      <c r="D15" s="14" t="s">
        <v>75</v>
      </c>
      <c r="E15" s="14" t="s">
        <v>72</v>
      </c>
      <c r="F15" s="14" t="s">
        <v>64</v>
      </c>
      <c r="G15" s="112" cm="1">
        <f t="array" ref="G15">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0.25119999999999998</v>
      </c>
      <c r="H15" s="112" cm="1">
        <f t="array" ref="H15">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0.2087</v>
      </c>
      <c r="I15" s="112" cm="1">
        <f t="array" ref="I15">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0.24199999999999999</v>
      </c>
      <c r="J15" s="112" cm="1">
        <f t="array" ref="J15">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0.2457</v>
      </c>
      <c r="K15" s="112" cm="1">
        <f t="array" ref="K15">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0.23130000000000001</v>
      </c>
      <c r="M15" s="14" t="s">
        <v>80</v>
      </c>
      <c r="N15" s="14" t="s">
        <v>75</v>
      </c>
      <c r="O15" s="14" t="s">
        <v>73</v>
      </c>
      <c r="P15" s="14" t="s">
        <v>64</v>
      </c>
      <c r="Q15" s="112" cm="1">
        <f t="array" ref="Q15">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0.21529999999999999</v>
      </c>
      <c r="R15" s="112" cm="1">
        <f t="array" ref="R15">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0.1857</v>
      </c>
      <c r="S15" s="112" cm="1">
        <f t="array" ref="S15">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0.2009</v>
      </c>
      <c r="T15" s="112" cm="1">
        <f t="array" ref="T15">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0.20469999999999999</v>
      </c>
      <c r="U15" s="112" cm="1">
        <f t="array" ref="U15">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0.19689999999999999</v>
      </c>
    </row>
    <row r="16" spans="1:22" outlineLevel="1" x14ac:dyDescent="0.25">
      <c r="C16" s="14" t="s">
        <v>81</v>
      </c>
      <c r="D16" s="14" t="s">
        <v>75</v>
      </c>
      <c r="E16" s="14" t="s">
        <v>72</v>
      </c>
      <c r="F16" s="14" t="s">
        <v>64</v>
      </c>
      <c r="G16" s="112" cm="1">
        <f t="array" ref="G16">ROUND(
SUMIFS(OP_Rates_RES_1[Ausnet],OP_Rates_RES_1[[Rate name]:[Rate name]],OP_TotalRates_RES_1[[#This Row],[Rate name]:[Rate name]])+
SUMIFS(OP_RatesTU_RES_1[Ausnet],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0.25119999999999998</v>
      </c>
      <c r="H16" s="112" cm="1">
        <f t="array" ref="H16">ROUND(
SUMIFS(OP_Rates_RES_1[Citipower],OP_Rates_RES_1[[Rate name]:[Rate name]],OP_TotalRates_RES_1[[#This Row],[Rate name]:[Rate name]])+
SUMIFS(OP_RatesTU_RES_1[Citipower],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0.19009999999999999</v>
      </c>
      <c r="I16" s="112" cm="1">
        <f t="array" ref="I16">ROUND(
SUMIFS(OP_Rates_RES_1[Jemena],OP_Rates_RES_1[[Rate name]:[Rate name]],OP_TotalRates_RES_1[[#This Row],[Rate name]:[Rate name]])+
SUMIFS(OP_RatesTU_RES_1[Jemena],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0.23619999999999999</v>
      </c>
      <c r="J16" s="112" cm="1">
        <f t="array" ref="J16">ROUND(
SUMIFS(OP_Rates_RES_1[Powercor],OP_Rates_RES_1[[Rate name]:[Rate name]],OP_TotalRates_RES_1[[#This Row],[Rate name]:[Rate name]])+
SUMIFS(OP_RatesTU_RES_1[Powercor],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0.22259999999999999</v>
      </c>
      <c r="K16" s="112" cm="1">
        <f t="array" ref="K16">ROUND(
SUMIFS(OP_Rates_RES_1[United Energy],OP_Rates_RES_1[[Rate name]:[Rate name]],OP_TotalRates_RES_1[[#This Row],[Rate name]:[Rate name]])+
SUMIFS(OP_RatesTU_RES_1[United Energy],
OP_RatesTU_RES_1[[Rate name]:[Rate name]],IF(OP_TotalRates_RES_1[[#This Row],[Unit]:[Unit]]&lt;&gt;"$",OP_TotalRates_RES_1[[#This Row],[Rate name]:[Rate name]],LEFT(OP_TotalRates_RES_1[[#This Row],[Rate name]:[Rate name]],LEN(OP_TotalRates_RES_1[[#This Row],[Rate name]:[Rate name]])-FIND(" - supply",OP_TotalRates_RES_1[[#This Row],[Rate name]:[Rate name]])-1))),4)</f>
        <v>0.21049999999999999</v>
      </c>
      <c r="M16" s="31"/>
      <c r="N16" s="31"/>
      <c r="O16" s="14"/>
      <c r="P16" s="39" t="s">
        <v>64</v>
      </c>
      <c r="Q16" s="112" cm="1">
        <f t="array" ref="Q16">ROUND(
SUMIFS(OP_Rates_SME_1[Ausnet],OP_Rates_SME_1[[Rate name]:[Rate name]],OP_TotalRates_SME_1[[#This Row],[Rate name]:[Rate name]])+
SUMIFS(OP_RatesTU_SME_1[Ausnet],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R16" s="112" cm="1">
        <f t="array" ref="R16">ROUND(
SUMIFS(OP_Rates_SME_1[Citipower],OP_Rates_SME_1[[Rate name]:[Rate name]],OP_TotalRates_SME_1[[#This Row],[Rate name]:[Rate name]])+
SUMIFS(OP_RatesTU_SME_1[Citipower],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S16" s="112" cm="1">
        <f t="array" ref="S16">ROUND(
SUMIFS(OP_Rates_SME_1[Jemena],OP_Rates_SME_1[[Rate name]:[Rate name]],OP_TotalRates_SME_1[[#This Row],[Rate name]:[Rate name]])+
SUMIFS(OP_RatesTU_SME_1[Jemena],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T16" s="112" cm="1">
        <f t="array" ref="T16">ROUND(
SUMIFS(OP_Rates_SME_1[Powercor],OP_Rates_SME_1[[Rate name]:[Rate name]],OP_TotalRates_SME_1[[#This Row],[Rate name]:[Rate name]])+
SUMIFS(OP_RatesTU_SME_1[Powercor],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c r="U16" s="112" cm="1">
        <f t="array" ref="U16">ROUND(
SUMIFS(OP_Rates_SME_1[United Energy],OP_Rates_SME_1[[Rate name]:[Rate name]],OP_TotalRates_SME_1[[#This Row],[Rate name]:[Rate name]])+
SUMIFS(OP_RatesTU_SME_1[United Energy],
OP_RatesTU_SME_1[[Rate name]:[Rate name]],IF(OP_TotalRates_SME_1[[#This Row],[Unit]:[Unit]]&lt;&gt;"$",OP_TotalRates_SME_1[[#This Row],[Rate name]:[Rate name]],LEFT(OP_TotalRates_SME_1[[#This Row],[Rate name]:[Rate name]],LEN(OP_TotalRates_SME_1[[#This Row],[Rate name]:[Rate name]])-FIND(" - supply",OP_TotalRates_SME_1[[#This Row],[Rate name]:[Rate name]])-1))),4)</f>
        <v>0</v>
      </c>
    </row>
    <row r="17" spans="3:21" outlineLevel="1" x14ac:dyDescent="0.25"/>
    <row r="18" spans="3:21" ht="15.75" outlineLevel="1" x14ac:dyDescent="0.25">
      <c r="C18" s="20" t="s">
        <v>82</v>
      </c>
      <c r="H18" s="61"/>
      <c r="M18" s="20" t="s">
        <v>83</v>
      </c>
      <c r="R18" s="61"/>
      <c r="S18" s="154"/>
    </row>
    <row r="19" spans="3:21" ht="15.75" outlineLevel="2" x14ac:dyDescent="0.25">
      <c r="C19" s="30" t="s">
        <v>61</v>
      </c>
      <c r="D19" s="30" t="s">
        <v>62</v>
      </c>
      <c r="E19" s="30" t="s">
        <v>63</v>
      </c>
      <c r="F19" s="30" t="s">
        <v>64</v>
      </c>
      <c r="G19" s="40" t="s">
        <v>65</v>
      </c>
      <c r="H19" s="40" t="s">
        <v>66</v>
      </c>
      <c r="I19" s="40" t="s">
        <v>67</v>
      </c>
      <c r="J19" s="40" t="s">
        <v>68</v>
      </c>
      <c r="K19" s="59" t="s">
        <v>69</v>
      </c>
      <c r="M19" s="30" t="s">
        <v>61</v>
      </c>
      <c r="N19" s="30" t="s">
        <v>62</v>
      </c>
      <c r="O19" s="30" t="s">
        <v>63</v>
      </c>
      <c r="P19" s="30" t="s">
        <v>64</v>
      </c>
      <c r="Q19" s="40" t="s">
        <v>65</v>
      </c>
      <c r="R19" s="40" t="s">
        <v>66</v>
      </c>
      <c r="S19" s="40" t="s">
        <v>67</v>
      </c>
      <c r="T19" s="40" t="s">
        <v>68</v>
      </c>
      <c r="U19" s="59" t="s">
        <v>69</v>
      </c>
    </row>
    <row r="20" spans="3:21" outlineLevel="2" x14ac:dyDescent="0.25">
      <c r="C20" s="14" t="s">
        <v>70</v>
      </c>
      <c r="D20" s="14" t="s">
        <v>71</v>
      </c>
      <c r="E20" s="14" t="s">
        <v>72</v>
      </c>
      <c r="F20" s="39" t="s">
        <v>64</v>
      </c>
      <c r="G20" s="42">
        <f>SUMIFS(Calc_Rates!G$17:G$47,Calc_Rates!$C$17:$C$47,OP_Rates!$C20,Calc_Rates!$F$17:$F$47,OP_Rates!$E20)</f>
        <v>1.3354033941276167</v>
      </c>
      <c r="H20" s="42">
        <f>SUMIFS(Calc_Rates!H$17:H$47,Calc_Rates!$C$17:$C$47,OP_Rates!$C20,Calc_Rates!$F$17:$F$47,OP_Rates!$E20)</f>
        <v>1.167291716085721</v>
      </c>
      <c r="I20" s="42">
        <f>SUMIFS(Calc_Rates!I$17:I$47,Calc_Rates!$C$17:$C$47,OP_Rates!$C20,Calc_Rates!$F$17:$F$47,OP_Rates!$E20)</f>
        <v>1.2104555065189555</v>
      </c>
      <c r="J20" s="42">
        <f>SUMIFS(Calc_Rates!J$17:J$47,Calc_Rates!$C$17:$C$47,OP_Rates!$C20,Calc_Rates!$F$17:$F$47,OP_Rates!$E20)</f>
        <v>1.3162736533726007</v>
      </c>
      <c r="K20" s="68">
        <f>SUMIFS(Calc_Rates!K$17:K$47,Calc_Rates!$C$17:$C$47,OP_Rates!$C20,Calc_Rates!$F$17:$F$47,OP_Rates!$E20)</f>
        <v>1.0954980519455504</v>
      </c>
      <c r="M20" s="14" t="s">
        <v>70</v>
      </c>
      <c r="N20" s="14" t="s">
        <v>71</v>
      </c>
      <c r="O20" s="14" t="s">
        <v>73</v>
      </c>
      <c r="P20" s="39" t="s">
        <v>64</v>
      </c>
      <c r="Q20" s="42">
        <f>IF(SUMIFS(Calc_Rates!G$17:G$47,Calc_Rates!$C$17:$C$47,OP_Rates!$M20,Calc_Rates!$F$17:$F$47,OP_Rates!$O20)=0,"-",SUMIFS(Calc_Rates!G$17:G$47,Calc_Rates!$C$17:$C$47,OP_Rates!$M20,Calc_Rates!$F$17:$F$47,OP_Rates!$O20))</f>
        <v>1.3354033941276167</v>
      </c>
      <c r="R20" s="42">
        <f>IF(SUMIFS(Calc_Rates!H$17:H$47,Calc_Rates!$C$17:$C$47,OP_Rates!$M20,Calc_Rates!$F$17:$F$47,OP_Rates!$O20)=0,"-",SUMIFS(Calc_Rates!H$17:H$47,Calc_Rates!$C$17:$C$47,OP_Rates!$M20,Calc_Rates!$F$17:$F$47,OP_Rates!$O20))</f>
        <v>1.3582587560857209</v>
      </c>
      <c r="S20" s="42">
        <f>IF(SUMIFS(Calc_Rates!I$17:I$47,Calc_Rates!$C$17:$C$47,OP_Rates!$M20,Calc_Rates!$F$17:$F$47,OP_Rates!$O20)=0,"-",SUMIFS(Calc_Rates!I$17:I$47,Calc_Rates!$C$17:$C$47,OP_Rates!$M20,Calc_Rates!$F$17:$F$47,OP_Rates!$O20))</f>
        <v>1.4055215624093667</v>
      </c>
      <c r="T20" s="42">
        <f>IF(SUMIFS(Calc_Rates!J$17:J$47,Calc_Rates!$C$17:$C$47,OP_Rates!$M20,Calc_Rates!$F$17:$F$47,OP_Rates!$O20)=0,"-",SUMIFS(Calc_Rates!J$17:J$47,Calc_Rates!$C$17:$C$47,OP_Rates!$M20,Calc_Rates!$F$17:$F$47,OP_Rates!$O20))</f>
        <v>1.4593827733726006</v>
      </c>
      <c r="U20" s="42">
        <f>IF(SUMIFS(Calc_Rates!K$17:K$47,Calc_Rates!$C$17:$C$47,OP_Rates!$M20,Calc_Rates!$F$17:$F$47,OP_Rates!$O20)=0,"-",SUMIFS(Calc_Rates!K$17:K$47,Calc_Rates!$C$17:$C$47,OP_Rates!$M20,Calc_Rates!$F$17:$F$47,OP_Rates!$O20))</f>
        <v>1.2864650919455505</v>
      </c>
    </row>
    <row r="21" spans="3:21" outlineLevel="2" x14ac:dyDescent="0.25">
      <c r="C21" s="14" t="s">
        <v>74</v>
      </c>
      <c r="D21" s="14" t="s">
        <v>75</v>
      </c>
      <c r="E21" s="14" t="s">
        <v>72</v>
      </c>
      <c r="F21" s="39" t="s">
        <v>64</v>
      </c>
      <c r="G21" s="42">
        <f>IF(SUMIFS(Calc_Rates!G$62:G$140,Calc_Rates!$C$62:$C$140,OP_Rates!$C21&amp;" charge",Calc_Rates!$F$62:$F$140,OP_Rates!$E21)=0,"-",SUMIFS(Calc_Rates!G$62:G$140,Calc_Rates!$C$62:$C$140,OP_Rates!$C21&amp;" charge",Calc_Rates!$F$62:$F$140,OP_Rates!$E21))</f>
        <v>0.35296712806939362</v>
      </c>
      <c r="H21" s="42" t="str">
        <f>IF(SUMIFS(Calc_Rates!H$62:H$140,Calc_Rates!$C$62:$C$140,OP_Rates!$C21&amp;" charge",Calc_Rates!$F$62:$F$140,OP_Rates!$E21)=0,"-",SUMIFS(Calc_Rates!H$62:H$140,Calc_Rates!$C$62:$C$140,OP_Rates!$C21&amp;" charge",Calc_Rates!$F$62:$F$140,OP_Rates!$E21))</f>
        <v>-</v>
      </c>
      <c r="I21" s="42" t="str">
        <f>IF(SUMIFS(Calc_Rates!I$62:I$140,Calc_Rates!$C$62:$C$140,OP_Rates!$C21&amp;" charge",Calc_Rates!$F$62:$F$140,OP_Rates!$E21)=0,"-",SUMIFS(Calc_Rates!I$62:I$140,Calc_Rates!$C$62:$C$140,OP_Rates!$C21&amp;" charge",Calc_Rates!$F$62:$F$140,OP_Rates!$E21))</f>
        <v>-</v>
      </c>
      <c r="J21" s="42" t="str">
        <f>IF(SUMIFS(Calc_Rates!J$62:J$140,Calc_Rates!$C$62:$C$140,OP_Rates!$C21&amp;" charge",Calc_Rates!$F$62:$F$140,OP_Rates!$E21)=0,"-",SUMIFS(Calc_Rates!J$62:J$140,Calc_Rates!$C$62:$C$140,OP_Rates!$C21&amp;" charge",Calc_Rates!$F$62:$F$140,OP_Rates!$E21))</f>
        <v>-</v>
      </c>
      <c r="K21" s="42" t="str">
        <f>IF(SUMIFS(Calc_Rates!K$62:K$140,Calc_Rates!$C$62:$C$140,OP_Rates!$C21&amp;" charge",Calc_Rates!$F$62:$F$140,OP_Rates!$E21)=0,"-",SUMIFS(Calc_Rates!K$62:K$140,Calc_Rates!$C$62:$C$140,OP_Rates!$C21&amp;" charge",Calc_Rates!$F$62:$F$140,OP_Rates!$E21))</f>
        <v>-</v>
      </c>
      <c r="M21" s="14" t="s">
        <v>74</v>
      </c>
      <c r="N21" s="14" t="s">
        <v>75</v>
      </c>
      <c r="O21" s="14" t="s">
        <v>73</v>
      </c>
      <c r="P21" s="39" t="s">
        <v>64</v>
      </c>
      <c r="Q21" s="42">
        <f>IF(SUMIFS(Calc_Rates!G$62:G$140,Calc_Rates!$C$62:$C$140,OP_Rates!$M21&amp;" charge",Calc_Rates!$F$62:$F$140,OP_Rates!$O21)=0,"-",SUMIFS(Calc_Rates!G$62:G$140,Calc_Rates!$C$62:$C$140,OP_Rates!$M21&amp;" charge",Calc_Rates!$F$62:$F$140,OP_Rates!$O21))</f>
        <v>0.38299967590210771</v>
      </c>
      <c r="R21" s="42" t="str">
        <f>IF(SUMIFS(Calc_Rates!H$62:H$140,Calc_Rates!$C$62:$C$140,OP_Rates!$M21&amp;" charge",Calc_Rates!$F$62:$F$140,OP_Rates!$O21)=0,"-",SUMIFS(Calc_Rates!H$62:H$140,Calc_Rates!$C$62:$C$140,OP_Rates!$M21&amp;" charge",Calc_Rates!$F$62:$F$140,OP_Rates!$O21))</f>
        <v>-</v>
      </c>
      <c r="S21" s="42" t="str">
        <f>IF(SUMIFS(Calc_Rates!I$62:I$140,Calc_Rates!$C$62:$C$140,OP_Rates!$M21&amp;" charge",Calc_Rates!$F$62:$F$140,OP_Rates!$O21)=0,"-",SUMIFS(Calc_Rates!I$62:I$140,Calc_Rates!$C$62:$C$140,OP_Rates!$M21&amp;" charge",Calc_Rates!$F$62:$F$140,OP_Rates!$O21))</f>
        <v>-</v>
      </c>
      <c r="T21" s="42" t="str">
        <f>IF(SUMIFS(Calc_Rates!J$62:J$140,Calc_Rates!$C$62:$C$140,OP_Rates!$M21&amp;" charge",Calc_Rates!$F$62:$F$140,OP_Rates!$O21)=0,"-",SUMIFS(Calc_Rates!J$62:J$140,Calc_Rates!$C$62:$C$140,OP_Rates!$M21&amp;" charge",Calc_Rates!$F$62:$F$140,OP_Rates!$O21))</f>
        <v>-</v>
      </c>
      <c r="U21" s="42" t="str">
        <f>IF(SUMIFS(Calc_Rates!K$62:K$140,Calc_Rates!$C$62:$C$140,OP_Rates!$M21&amp;" charge",Calc_Rates!$F$62:$F$140,OP_Rates!$O21)=0,"-",SUMIFS(Calc_Rates!K$62:K$140,Calc_Rates!$C$62:$C$140,OP_Rates!$M21&amp;" charge",Calc_Rates!$F$62:$F$140,OP_Rates!$O21))</f>
        <v>-</v>
      </c>
    </row>
    <row r="22" spans="3:21" outlineLevel="2" x14ac:dyDescent="0.25">
      <c r="C22" s="14" t="s">
        <v>76</v>
      </c>
      <c r="D22" s="14" t="s">
        <v>75</v>
      </c>
      <c r="E22" s="14" t="s">
        <v>72</v>
      </c>
      <c r="F22" s="39" t="s">
        <v>64</v>
      </c>
      <c r="G22" s="42">
        <f>IF(SUMIFS(Calc_Rates!G$62:G$140,Calc_Rates!$C$62:$C$140,OP_Rates!$C22&amp;" charge",Calc_Rates!$F$62:$F$140,OP_Rates!$E22)=0,"-",SUMIFS(Calc_Rates!G$62:G$140,Calc_Rates!$C$62:$C$140,OP_Rates!$C22&amp;" charge",Calc_Rates!$F$62:$F$140,OP_Rates!$E22))</f>
        <v>0.36103293927709051</v>
      </c>
      <c r="H22" s="42" t="str">
        <f>IF(SUMIFS(Calc_Rates!H$62:H$140,Calc_Rates!$C$62:$C$140,OP_Rates!$C22&amp;" charge",Calc_Rates!$F$62:$F$140,OP_Rates!$E22)=0,"-",SUMIFS(Calc_Rates!H$62:H$140,Calc_Rates!$C$62:$C$140,OP_Rates!$C22&amp;" charge",Calc_Rates!$F$62:$F$140,OP_Rates!$E22))</f>
        <v>-</v>
      </c>
      <c r="I22" s="42" t="str">
        <f>IF(SUMIFS(Calc_Rates!I$62:I$140,Calc_Rates!$C$62:$C$140,OP_Rates!$C22&amp;" charge",Calc_Rates!$F$62:$F$140,OP_Rates!$E22)=0,"-",SUMIFS(Calc_Rates!I$62:I$140,Calc_Rates!$C$62:$C$140,OP_Rates!$C22&amp;" charge",Calc_Rates!$F$62:$F$140,OP_Rates!$E22))</f>
        <v>-</v>
      </c>
      <c r="J22" s="42" t="str">
        <f>IF(SUMIFS(Calc_Rates!J$62:J$140,Calc_Rates!$C$62:$C$140,OP_Rates!$C22&amp;" charge",Calc_Rates!$F$62:$F$140,OP_Rates!$E22)=0,"-",SUMIFS(Calc_Rates!J$62:J$140,Calc_Rates!$C$62:$C$140,OP_Rates!$C22&amp;" charge",Calc_Rates!$F$62:$F$140,OP_Rates!$E22))</f>
        <v>-</v>
      </c>
      <c r="K22" s="42" t="str">
        <f>IF(SUMIFS(Calc_Rates!K$62:K$140,Calc_Rates!$C$62:$C$140,OP_Rates!$C22&amp;" charge",Calc_Rates!$F$62:$F$140,OP_Rates!$E22)=0,"-",SUMIFS(Calc_Rates!K$62:K$140,Calc_Rates!$C$62:$C$140,OP_Rates!$C22&amp;" charge",Calc_Rates!$F$62:$F$140,OP_Rates!$E22))</f>
        <v>-</v>
      </c>
      <c r="M22" s="14" t="s">
        <v>76</v>
      </c>
      <c r="N22" s="14" t="s">
        <v>75</v>
      </c>
      <c r="O22" s="14" t="s">
        <v>73</v>
      </c>
      <c r="P22" s="39" t="s">
        <v>64</v>
      </c>
      <c r="Q22" s="42">
        <f>IF(SUMIFS(Calc_Rates!G$62:G$140,Calc_Rates!$C$62:$C$140,OP_Rates!$M22&amp;" charge",Calc_Rates!$F$62:$F$140,OP_Rates!$O22)=0,"-",SUMIFS(Calc_Rates!G$62:G$140,Calc_Rates!$C$62:$C$140,OP_Rates!$M22&amp;" charge",Calc_Rates!$F$62:$F$140,OP_Rates!$O22))</f>
        <v>0.39379068348098573</v>
      </c>
      <c r="R22" s="42" t="str">
        <f>IF(SUMIFS(Calc_Rates!H$62:H$140,Calc_Rates!$C$62:$C$140,OP_Rates!$M22&amp;" charge",Calc_Rates!$F$62:$F$140,OP_Rates!$O22)=0,"-",SUMIFS(Calc_Rates!H$62:H$140,Calc_Rates!$C$62:$C$140,OP_Rates!$M22&amp;" charge",Calc_Rates!$F$62:$F$140,OP_Rates!$O22))</f>
        <v>-</v>
      </c>
      <c r="S22" s="42" t="str">
        <f>IF(SUMIFS(Calc_Rates!I$62:I$140,Calc_Rates!$C$62:$C$140,OP_Rates!$M22&amp;" charge",Calc_Rates!$F$62:$F$140,OP_Rates!$O22)=0,"-",SUMIFS(Calc_Rates!I$62:I$140,Calc_Rates!$C$62:$C$140,OP_Rates!$M22&amp;" charge",Calc_Rates!$F$62:$F$140,OP_Rates!$O22))</f>
        <v>-</v>
      </c>
      <c r="T22" s="42" t="str">
        <f>IF(SUMIFS(Calc_Rates!J$62:J$140,Calc_Rates!$C$62:$C$140,OP_Rates!$M22&amp;" charge",Calc_Rates!$F$62:$F$140,OP_Rates!$O22)=0,"-",SUMIFS(Calc_Rates!J$62:J$140,Calc_Rates!$C$62:$C$140,OP_Rates!$M22&amp;" charge",Calc_Rates!$F$62:$F$140,OP_Rates!$O22))</f>
        <v>-</v>
      </c>
      <c r="U22" s="42" t="str">
        <f>IF(SUMIFS(Calc_Rates!K$62:K$140,Calc_Rates!$C$62:$C$140,OP_Rates!$M22&amp;" charge",Calc_Rates!$F$62:$F$140,OP_Rates!$O22)=0,"-",SUMIFS(Calc_Rates!K$62:K$140,Calc_Rates!$C$62:$C$140,OP_Rates!$M22&amp;" charge",Calc_Rates!$F$62:$F$140,OP_Rates!$O22))</f>
        <v>-</v>
      </c>
    </row>
    <row r="23" spans="3:21" outlineLevel="2" x14ac:dyDescent="0.25">
      <c r="C23" s="14" t="s">
        <v>77</v>
      </c>
      <c r="D23" s="14" t="s">
        <v>75</v>
      </c>
      <c r="E23" s="14" t="s">
        <v>72</v>
      </c>
      <c r="F23" s="39" t="s">
        <v>64</v>
      </c>
      <c r="G23" s="42" t="str">
        <f>IF(SUMIFS(Calc_Rates!G$62:G$140,Calc_Rates!$C$62:$C$140,OP_Rates!$C23&amp;" charge",Calc_Rates!$F$62:$F$140,OP_Rates!$E23)=0,"-",SUMIFS(Calc_Rates!G$62:G$140,Calc_Rates!$C$62:$C$140,OP_Rates!$C23&amp;" charge",Calc_Rates!$F$62:$F$140,OP_Rates!$E23))</f>
        <v>-</v>
      </c>
      <c r="H23" s="42">
        <f>IF(SUMIFS(Calc_Rates!H$62:H$140,Calc_Rates!$C$62:$C$140,OP_Rates!$C23&amp;" charge",Calc_Rates!$F$62:$F$140,OP_Rates!$E23)=0,"-",SUMIFS(Calc_Rates!H$62:H$140,Calc_Rates!$C$62:$C$140,OP_Rates!$C23&amp;" charge",Calc_Rates!$F$62:$F$140,OP_Rates!$E23))</f>
        <v>0.256824233451863</v>
      </c>
      <c r="I23" s="42">
        <f>IF(SUMIFS(Calc_Rates!I$62:I$140,Calc_Rates!$C$62:$C$140,OP_Rates!$C23&amp;" charge",Calc_Rates!$F$62:$F$140,OP_Rates!$E23)=0,"-",SUMIFS(Calc_Rates!I$62:I$140,Calc_Rates!$C$62:$C$140,OP_Rates!$C23&amp;" charge",Calc_Rates!$F$62:$F$140,OP_Rates!$E23))</f>
        <v>0.30480534986049757</v>
      </c>
      <c r="J23" s="42">
        <f>IF(SUMIFS(Calc_Rates!J$62:J$140,Calc_Rates!$C$62:$C$140,OP_Rates!$C23&amp;" charge",Calc_Rates!$F$62:$F$140,OP_Rates!$E23)=0,"-",SUMIFS(Calc_Rates!J$62:J$140,Calc_Rates!$C$62:$C$140,OP_Rates!$C23&amp;" charge",Calc_Rates!$F$62:$F$140,OP_Rates!$E23))</f>
        <v>0.30386923225803553</v>
      </c>
      <c r="K23" s="42">
        <f>IF(SUMIFS(Calc_Rates!K$62:K$140,Calc_Rates!$C$62:$C$140,OP_Rates!$C23&amp;" charge",Calc_Rates!$F$62:$F$140,OP_Rates!$E23)=0,"-",SUMIFS(Calc_Rates!K$62:K$140,Calc_Rates!$C$62:$C$140,OP_Rates!$C23&amp;" charge",Calc_Rates!$F$62:$F$140,OP_Rates!$E23))</f>
        <v>0.28776546446168838</v>
      </c>
      <c r="M23" s="14" t="s">
        <v>77</v>
      </c>
      <c r="N23" s="14" t="s">
        <v>75</v>
      </c>
      <c r="O23" s="14" t="s">
        <v>73</v>
      </c>
      <c r="P23" s="39" t="s">
        <v>64</v>
      </c>
      <c r="Q23" s="42" t="str">
        <f>IF(SUMIFS(Calc_Rates!G$62:G$140,Calc_Rates!$C$62:$C$140,OP_Rates!$M23&amp;" charge",Calc_Rates!$F$62:$F$140,OP_Rates!$O23)=0,"-",SUMIFS(Calc_Rates!G$62:G$140,Calc_Rates!$C$62:$C$140,OP_Rates!$M23&amp;" charge",Calc_Rates!$F$62:$F$140,OP_Rates!$O23))</f>
        <v>-</v>
      </c>
      <c r="R23" s="42">
        <f>IF(SUMIFS(Calc_Rates!H$62:H$140,Calc_Rates!$C$62:$C$140,OP_Rates!$M23&amp;" charge",Calc_Rates!$F$62:$F$140,OP_Rates!$O23)=0,"-",SUMIFS(Calc_Rates!H$62:H$140,Calc_Rates!$C$62:$C$140,OP_Rates!$M23&amp;" charge",Calc_Rates!$F$62:$F$140,OP_Rates!$O23))</f>
        <v>0.25227732541905218</v>
      </c>
      <c r="S23" s="42">
        <f>IF(SUMIFS(Calc_Rates!I$62:I$140,Calc_Rates!$C$62:$C$140,OP_Rates!$M23&amp;" charge",Calc_Rates!$F$62:$F$140,OP_Rates!$O23)=0,"-",SUMIFS(Calc_Rates!I$62:I$140,Calc_Rates!$C$62:$C$140,OP_Rates!$M23&amp;" charge",Calc_Rates!$F$62:$F$140,OP_Rates!$O23))</f>
        <v>0.31752827678683349</v>
      </c>
      <c r="T23" s="42">
        <f>IF(SUMIFS(Calc_Rates!J$62:J$140,Calc_Rates!$C$62:$C$140,OP_Rates!$M23&amp;" charge",Calc_Rates!$F$62:$F$140,OP_Rates!$O23)=0,"-",SUMIFS(Calc_Rates!J$62:J$140,Calc_Rates!$C$62:$C$140,OP_Rates!$M23&amp;" charge",Calc_Rates!$F$62:$F$140,OP_Rates!$O23))</f>
        <v>0.27909014792632242</v>
      </c>
      <c r="U23" s="42">
        <f>IF(SUMIFS(Calc_Rates!K$62:K$140,Calc_Rates!$C$62:$C$140,OP_Rates!$M23&amp;" charge",Calc_Rates!$F$62:$F$140,OP_Rates!$O23)=0,"-",SUMIFS(Calc_Rates!K$62:K$140,Calc_Rates!$C$62:$C$140,OP_Rates!$M23&amp;" charge",Calc_Rates!$F$62:$F$140,OP_Rates!$O23))</f>
        <v>0.27353024053491742</v>
      </c>
    </row>
    <row r="24" spans="3:21" outlineLevel="2" x14ac:dyDescent="0.25">
      <c r="C24" s="14" t="s">
        <v>78</v>
      </c>
      <c r="D24" s="14" t="s">
        <v>71</v>
      </c>
      <c r="E24" s="14" t="s">
        <v>72</v>
      </c>
      <c r="F24" s="39" t="s">
        <v>64</v>
      </c>
      <c r="G24" s="42">
        <f>IF(SUMIFS(Calc_Rates!G$17:G$47,Calc_Rates!$C$17:$C$47,OP_Rates!$C24,Calc_Rates!$F$17:$F$47,OP_Rates!$E24)=0,"-",SUMIFS(Calc_Rates!G$17:G$47,Calc_Rates!$C$17:$C$47,OP_Rates!$C24,Calc_Rates!$F$17:$F$47,OP_Rates!$E24))</f>
        <v>1.3354033941276167</v>
      </c>
      <c r="H24" s="42">
        <f>IF(SUMIFS(Calc_Rates!H$17:H$47,Calc_Rates!$C$17:$C$47,OP_Rates!$C24,Calc_Rates!$F$17:$F$47,OP_Rates!$E24)=0,"-",SUMIFS(Calc_Rates!H$17:H$47,Calc_Rates!$C$17:$C$47,OP_Rates!$C24,Calc_Rates!$F$17:$F$47,OP_Rates!$E24))</f>
        <v>1.167291716085721</v>
      </c>
      <c r="I24" s="42">
        <f>IF(SUMIFS(Calc_Rates!I$17:I$47,Calc_Rates!$C$17:$C$47,OP_Rates!$C24,Calc_Rates!$F$17:$F$47,OP_Rates!$E24)=0,"-",SUMIFS(Calc_Rates!I$17:I$47,Calc_Rates!$C$17:$C$47,OP_Rates!$C24,Calc_Rates!$F$17:$F$47,OP_Rates!$E24))</f>
        <v>1.2104555065189555</v>
      </c>
      <c r="J24" s="42">
        <f>IF(SUMIFS(Calc_Rates!J$17:J$47,Calc_Rates!$C$17:$C$47,OP_Rates!$C24,Calc_Rates!$F$17:$F$47,OP_Rates!$E24)=0,"-",SUMIFS(Calc_Rates!J$17:J$47,Calc_Rates!$C$17:$C$47,OP_Rates!$C24,Calc_Rates!$F$17:$F$47,OP_Rates!$E24))</f>
        <v>1.3162736533726007</v>
      </c>
      <c r="K24" s="42">
        <f>IF(SUMIFS(Calc_Rates!K$17:K$47,Calc_Rates!$C$17:$C$47,OP_Rates!$C24,Calc_Rates!$F$17:$F$47,OP_Rates!$E24)=0,"-",SUMIFS(Calc_Rates!K$17:K$47,Calc_Rates!$C$17:$C$47,OP_Rates!$C24,Calc_Rates!$F$17:$F$47,OP_Rates!$E24))</f>
        <v>1.0954980519455504</v>
      </c>
      <c r="M24" s="14" t="s">
        <v>78</v>
      </c>
      <c r="N24" s="14" t="s">
        <v>71</v>
      </c>
      <c r="O24" s="14" t="s">
        <v>73</v>
      </c>
      <c r="P24" s="39" t="s">
        <v>64</v>
      </c>
      <c r="Q24" s="42">
        <f>IF(SUMIFS(Calc_Rates!G$17:G$47,Calc_Rates!$C$17:$C$47,OP_Rates!$M24,Calc_Rates!$F$17:$F$47,OP_Rates!$O24)=0,"-",SUMIFS(Calc_Rates!G$17:G$47,Calc_Rates!$C$17:$C$47,OP_Rates!$M24,Calc_Rates!$F$17:$F$47,OP_Rates!$O24))</f>
        <v>1.3354033941276167</v>
      </c>
      <c r="R24" s="42">
        <f>IF(SUMIFS(Calc_Rates!H$17:H$47,Calc_Rates!$C$17:$C$47,OP_Rates!$M24,Calc_Rates!$F$17:$F$47,OP_Rates!$O24)=0,"-",SUMIFS(Calc_Rates!H$17:H$47,Calc_Rates!$C$17:$C$47,OP_Rates!$M24,Calc_Rates!$F$17:$F$47,OP_Rates!$O24))</f>
        <v>1.3582587560857209</v>
      </c>
      <c r="S24" s="42">
        <f>IF(SUMIFS(Calc_Rates!I$17:I$47,Calc_Rates!$C$17:$C$47,OP_Rates!$M24,Calc_Rates!$F$17:$F$47,OP_Rates!$O24)=0,"-",SUMIFS(Calc_Rates!I$17:I$47,Calc_Rates!$C$17:$C$47,OP_Rates!$M24,Calc_Rates!$F$17:$F$47,OP_Rates!$O24))</f>
        <v>1.7270556248751197</v>
      </c>
      <c r="T24" s="42">
        <f>IF(SUMIFS(Calc_Rates!J$17:J$47,Calc_Rates!$C$17:$C$47,OP_Rates!$M24,Calc_Rates!$F$17:$F$47,OP_Rates!$O24)=0,"-",SUMIFS(Calc_Rates!J$17:J$47,Calc_Rates!$C$17:$C$47,OP_Rates!$M24,Calc_Rates!$F$17:$F$47,OP_Rates!$O24))</f>
        <v>1.4593827733726006</v>
      </c>
      <c r="U24" s="42">
        <f>IF(SUMIFS(Calc_Rates!K$17:K$47,Calc_Rates!$C$17:$C$47,OP_Rates!$M24,Calc_Rates!$F$17:$F$47,OP_Rates!$O24)=0,"-",SUMIFS(Calc_Rates!K$17:K$47,Calc_Rates!$C$17:$C$47,OP_Rates!$M24,Calc_Rates!$F$17:$F$47,OP_Rates!$O24))</f>
        <v>1.2864650919455505</v>
      </c>
    </row>
    <row r="25" spans="3:21" outlineLevel="2" x14ac:dyDescent="0.25">
      <c r="C25" s="14" t="s">
        <v>79</v>
      </c>
      <c r="D25" s="14" t="s">
        <v>75</v>
      </c>
      <c r="E25" s="14" t="s">
        <v>72</v>
      </c>
      <c r="F25" s="39" t="s">
        <v>64</v>
      </c>
      <c r="G25" s="42">
        <f>IF(SUMIFS(Calc_Rates!G$62:G$140,Calc_Rates!$C$62:$C$140,OP_Rates!$C25&amp;" charge",Calc_Rates!$F$62:$F$140,OP_Rates!$E25)=0,"-",SUMIFS(Calc_Rates!G$62:G$140,Calc_Rates!$C$62:$C$140,OP_Rates!$C25&amp;" charge",Calc_Rates!$F$62:$F$140,OP_Rates!$E25))</f>
        <v>0.4709170131883692</v>
      </c>
      <c r="H25" s="42">
        <f>IF(SUMIFS(Calc_Rates!H$62:H$140,Calc_Rates!$C$62:$C$140,OP_Rates!$C25&amp;" charge",Calc_Rates!$F$62:$F$140,OP_Rates!$E25)=0,"-",SUMIFS(Calc_Rates!H$62:H$140,Calc_Rates!$C$62:$C$140,OP_Rates!$C25&amp;" charge",Calc_Rates!$F$62:$F$140,OP_Rates!$E25))</f>
        <v>0.34394423345186298</v>
      </c>
      <c r="I25" s="42">
        <f>IF(SUMIFS(Calc_Rates!I$62:I$140,Calc_Rates!$C$62:$C$140,OP_Rates!$C25&amp;" charge",Calc_Rates!$F$62:$F$140,OP_Rates!$E25)=0,"-",SUMIFS(Calc_Rates!I$62:I$140,Calc_Rates!$C$62:$C$140,OP_Rates!$C25&amp;" charge",Calc_Rates!$F$62:$F$140,OP_Rates!$E25))</f>
        <v>0.38637290186049755</v>
      </c>
      <c r="J25" s="42">
        <f>IF(SUMIFS(Calc_Rates!J$62:J$140,Calc_Rates!$C$62:$C$140,OP_Rates!$C25&amp;" charge",Calc_Rates!$F$62:$F$140,OP_Rates!$E25)=0,"-",SUMIFS(Calc_Rates!J$62:J$140,Calc_Rates!$C$62:$C$140,OP_Rates!$C25&amp;" charge",Calc_Rates!$F$62:$F$140,OP_Rates!$E25))</f>
        <v>0.40457995225803561</v>
      </c>
      <c r="K25" s="42">
        <f>IF(SUMIFS(Calc_Rates!K$62:K$140,Calc_Rates!$C$62:$C$140,OP_Rates!$C25&amp;" charge",Calc_Rates!$F$62:$F$140,OP_Rates!$E25)=0,"-",SUMIFS(Calc_Rates!K$62:K$140,Calc_Rates!$C$62:$C$140,OP_Rates!$C25&amp;" charge",Calc_Rates!$F$62:$F$140,OP_Rates!$E25))</f>
        <v>0.38231970446168834</v>
      </c>
      <c r="M25" s="14" t="s">
        <v>79</v>
      </c>
      <c r="N25" s="14" t="s">
        <v>75</v>
      </c>
      <c r="O25" s="14" t="s">
        <v>73</v>
      </c>
      <c r="P25" s="39" t="s">
        <v>64</v>
      </c>
      <c r="Q25" s="42">
        <f>IF(SUMIFS(Calc_Rates!G$62:G$140,Calc_Rates!$C$62:$C$140,OP_Rates!$M25&amp;" charge",Calc_Rates!$F$62:$F$140,OP_Rates!$O25)=0,"-",SUMIFS(Calc_Rates!G$62:G$140,Calc_Rates!$C$62:$C$140,OP_Rates!$M25&amp;" charge",Calc_Rates!$F$62:$F$140,OP_Rates!$O25))</f>
        <v>0.39462449617784889</v>
      </c>
      <c r="R25" s="42">
        <f>IF(SUMIFS(Calc_Rates!H$62:H$140,Calc_Rates!$C$62:$C$140,OP_Rates!$M25&amp;" charge",Calc_Rates!$F$62:$F$140,OP_Rates!$O25)=0,"-",SUMIFS(Calc_Rates!H$62:H$140,Calc_Rates!$C$62:$C$140,OP_Rates!$M25&amp;" charge",Calc_Rates!$F$62:$F$140,OP_Rates!$O25))</f>
        <v>0.3138421254190521</v>
      </c>
      <c r="S25" s="42">
        <f>IF(SUMIFS(Calc_Rates!I$62:I$140,Calc_Rates!$C$62:$C$140,OP_Rates!$M25&amp;" charge",Calc_Rates!$F$62:$F$140,OP_Rates!$O25)=0,"-",SUMIFS(Calc_Rates!I$62:I$140,Calc_Rates!$C$62:$C$140,OP_Rates!$M25&amp;" charge",Calc_Rates!$F$62:$F$140,OP_Rates!$O25))</f>
        <v>0.36435237278683358</v>
      </c>
      <c r="T25" s="42">
        <f>IF(SUMIFS(Calc_Rates!J$62:J$140,Calc_Rates!$C$62:$C$140,OP_Rates!$M25&amp;" charge",Calc_Rates!$F$62:$F$140,OP_Rates!$O25)=0,"-",SUMIFS(Calc_Rates!J$62:J$140,Calc_Rates!$C$62:$C$140,OP_Rates!$M25&amp;" charge",Calc_Rates!$F$62:$F$140,OP_Rates!$O25))</f>
        <v>0.3732959079263225</v>
      </c>
      <c r="U25" s="42">
        <f>IF(SUMIFS(Calc_Rates!K$62:K$140,Calc_Rates!$C$62:$C$140,OP_Rates!$M25&amp;" charge",Calc_Rates!$F$62:$F$140,OP_Rates!$O25)=0,"-",SUMIFS(Calc_Rates!K$62:K$140,Calc_Rates!$C$62:$C$140,OP_Rates!$M25&amp;" charge",Calc_Rates!$F$62:$F$140,OP_Rates!$O25))</f>
        <v>0.34462016053491745</v>
      </c>
    </row>
    <row r="26" spans="3:21" outlineLevel="2" x14ac:dyDescent="0.25">
      <c r="C26" s="14" t="s">
        <v>80</v>
      </c>
      <c r="D26" s="14" t="s">
        <v>75</v>
      </c>
      <c r="E26" s="14" t="s">
        <v>72</v>
      </c>
      <c r="F26" s="39" t="s">
        <v>64</v>
      </c>
      <c r="G26" s="42">
        <f>IF(SUMIFS(Calc_Rates!G$62:G$140,Calc_Rates!$C$62:$C$140,OP_Rates!$C26&amp;" charge",Calc_Rates!$F$62:$F$140,OP_Rates!$E26)=0,"-",SUMIFS(Calc_Rates!G$62:G$140,Calc_Rates!$C$62:$C$140,OP_Rates!$C26&amp;" charge",Calc_Rates!$F$62:$F$140,OP_Rates!$E26))</f>
        <v>0.25052329042780785</v>
      </c>
      <c r="H26" s="42">
        <f>IF(SUMIFS(Calc_Rates!H$62:H$140,Calc_Rates!$C$62:$C$140,OP_Rates!$C26&amp;" charge",Calc_Rates!$F$62:$F$140,OP_Rates!$E26)=0,"-",SUMIFS(Calc_Rates!H$62:H$140,Calc_Rates!$C$62:$C$140,OP_Rates!$C26&amp;" charge",Calc_Rates!$F$62:$F$140,OP_Rates!$E26))</f>
        <v>0.20803703345186303</v>
      </c>
      <c r="I26" s="42">
        <f>IF(SUMIFS(Calc_Rates!I$62:I$140,Calc_Rates!$C$62:$C$140,OP_Rates!$C26&amp;" charge",Calc_Rates!$F$62:$F$140,OP_Rates!$E26)=0,"-",SUMIFS(Calc_Rates!I$62:I$140,Calc_Rates!$C$62:$C$140,OP_Rates!$C26&amp;" charge",Calc_Rates!$F$62:$F$140,OP_Rates!$E26))</f>
        <v>0.24139360586049752</v>
      </c>
      <c r="J26" s="42">
        <f>IF(SUMIFS(Calc_Rates!J$62:J$140,Calc_Rates!$C$62:$C$140,OP_Rates!$C26&amp;" charge",Calc_Rates!$F$62:$F$140,OP_Rates!$E26)=0,"-",SUMIFS(Calc_Rates!J$62:J$140,Calc_Rates!$C$62:$C$140,OP_Rates!$C26&amp;" charge",Calc_Rates!$F$62:$F$140,OP_Rates!$E26))</f>
        <v>0.24509227225803557</v>
      </c>
      <c r="K26" s="42">
        <f>IF(SUMIFS(Calc_Rates!K$62:K$140,Calc_Rates!$C$62:$C$140,OP_Rates!$C26&amp;" charge",Calc_Rates!$F$62:$F$140,OP_Rates!$E26)=0,"-",SUMIFS(Calc_Rates!K$62:K$140,Calc_Rates!$C$62:$C$140,OP_Rates!$C26&amp;" charge",Calc_Rates!$F$62:$F$140,OP_Rates!$E26))</f>
        <v>0.23061474446168834</v>
      </c>
      <c r="M26" s="14" t="s">
        <v>80</v>
      </c>
      <c r="N26" s="14" t="s">
        <v>75</v>
      </c>
      <c r="O26" s="14" t="s">
        <v>73</v>
      </c>
      <c r="P26" s="39" t="s">
        <v>64</v>
      </c>
      <c r="Q26" s="42">
        <f>IF(SUMIFS(Calc_Rates!G$62:G$140,Calc_Rates!$C$62:$C$140,OP_Rates!$M26&amp;" charge",Calc_Rates!$F$62:$F$140,OP_Rates!$O26)=0,"-",SUMIFS(Calc_Rates!G$62:G$140,Calc_Rates!$C$62:$C$140,OP_Rates!$M26&amp;" charge",Calc_Rates!$F$62:$F$140,OP_Rates!$O26))</f>
        <v>0.21464908879412836</v>
      </c>
      <c r="R26" s="42">
        <f>IF(SUMIFS(Calc_Rates!H$62:H$140,Calc_Rates!$C$62:$C$140,OP_Rates!$M26&amp;" charge",Calc_Rates!$F$62:$F$140,OP_Rates!$O26)=0,"-",SUMIFS(Calc_Rates!H$62:H$140,Calc_Rates!$C$62:$C$140,OP_Rates!$M26&amp;" charge",Calc_Rates!$F$62:$F$140,OP_Rates!$O26))</f>
        <v>0.18502068541905214</v>
      </c>
      <c r="S26" s="42">
        <f>IF(SUMIFS(Calc_Rates!I$62:I$140,Calc_Rates!$C$62:$C$140,OP_Rates!$M26&amp;" charge",Calc_Rates!$F$62:$F$140,OP_Rates!$O26)=0,"-",SUMIFS(Calc_Rates!I$62:I$140,Calc_Rates!$C$62:$C$140,OP_Rates!$M26&amp;" charge",Calc_Rates!$F$62:$F$140,OP_Rates!$O26))</f>
        <v>0.20027637278683352</v>
      </c>
      <c r="T26" s="42">
        <f>IF(SUMIFS(Calc_Rates!J$62:J$140,Calc_Rates!$C$62:$C$140,OP_Rates!$M26&amp;" charge",Calc_Rates!$F$62:$F$140,OP_Rates!$O26)=0,"-",SUMIFS(Calc_Rates!J$62:J$140,Calc_Rates!$C$62:$C$140,OP_Rates!$M26&amp;" charge",Calc_Rates!$F$62:$F$140,OP_Rates!$O26))</f>
        <v>0.20405078792632245</v>
      </c>
      <c r="U26" s="42">
        <f>IF(SUMIFS(Calc_Rates!K$62:K$140,Calc_Rates!$C$62:$C$140,OP_Rates!$M26&amp;" charge",Calc_Rates!$F$62:$F$140,OP_Rates!$O26)=0,"-",SUMIFS(Calc_Rates!K$62:K$140,Calc_Rates!$C$62:$C$140,OP_Rates!$M26&amp;" charge",Calc_Rates!$F$62:$F$140,OP_Rates!$O26))</f>
        <v>0.19628384053491743</v>
      </c>
    </row>
    <row r="27" spans="3:21" outlineLevel="2" x14ac:dyDescent="0.25">
      <c r="C27" s="14" t="s">
        <v>81</v>
      </c>
      <c r="D27" s="14" t="s">
        <v>75</v>
      </c>
      <c r="E27" s="14" t="s">
        <v>72</v>
      </c>
      <c r="F27" s="39" t="s">
        <v>64</v>
      </c>
      <c r="G27" s="42">
        <f>IF(SUMIFS(Calc_Rates!G$62:G$140,Calc_Rates!$C$62:$C$140,OP_Rates!$C27&amp;" charge",Calc_Rates!$F$62:$F$140,OP_Rates!$E27)=0,"-",SUMIFS(Calc_Rates!G$62:G$140,Calc_Rates!$C$62:$C$140,OP_Rates!$C27&amp;" charge",Calc_Rates!$F$62:$F$140,OP_Rates!$E27))</f>
        <v>0.25052329042780785</v>
      </c>
      <c r="H27" s="42">
        <f>IF(SUMIFS(Calc_Rates!H$62:H$140,Calc_Rates!$C$62:$C$140,OP_Rates!$C27&amp;" charge",Calc_Rates!$F$62:$F$140,OP_Rates!$E27)=0,"-",SUMIFS(Calc_Rates!H$62:H$140,Calc_Rates!$C$62:$C$140,OP_Rates!$C27&amp;" charge",Calc_Rates!$F$62:$F$140,OP_Rates!$E27))</f>
        <v>0.18945143345186299</v>
      </c>
      <c r="I27" s="42">
        <f>IF(SUMIFS(Calc_Rates!I$62:I$140,Calc_Rates!$C$62:$C$140,OP_Rates!$C27&amp;" charge",Calc_Rates!$F$62:$F$140,OP_Rates!$E27)=0,"-",SUMIFS(Calc_Rates!I$62:I$140,Calc_Rates!$C$62:$C$140,OP_Rates!$C27&amp;" charge",Calc_Rates!$F$62:$F$140,OP_Rates!$E27))</f>
        <v>0.23560883786049752</v>
      </c>
      <c r="J27" s="42">
        <f>IF(SUMIFS(Calc_Rates!J$62:J$140,Calc_Rates!$C$62:$C$140,OP_Rates!$C27&amp;" charge",Calc_Rates!$F$62:$F$140,OP_Rates!$E27)=0,"-",SUMIFS(Calc_Rates!J$62:J$140,Calc_Rates!$C$62:$C$140,OP_Rates!$C27&amp;" charge",Calc_Rates!$F$62:$F$140,OP_Rates!$E27))</f>
        <v>0.22197643225803559</v>
      </c>
      <c r="K27" s="42">
        <f>IF(SUMIFS(Calc_Rates!K$62:K$140,Calc_Rates!$C$62:$C$140,OP_Rates!$C27&amp;" charge",Calc_Rates!$F$62:$F$140,OP_Rates!$E27)=0,"-",SUMIFS(Calc_Rates!K$62:K$140,Calc_Rates!$C$62:$C$140,OP_Rates!$C27&amp;" charge",Calc_Rates!$F$62:$F$140,OP_Rates!$E27))</f>
        <v>0.20982210446168834</v>
      </c>
      <c r="M27" s="14"/>
      <c r="N27" s="14"/>
      <c r="O27" s="14"/>
      <c r="P27" s="39" t="s">
        <v>64</v>
      </c>
      <c r="Q27" s="42"/>
      <c r="R27" s="42"/>
      <c r="S27" s="42"/>
      <c r="T27" s="42"/>
      <c r="U27" s="42"/>
    </row>
    <row r="28" spans="3:21" outlineLevel="1" x14ac:dyDescent="0.25"/>
    <row r="29" spans="3:21" ht="15.75" outlineLevel="1" x14ac:dyDescent="0.25">
      <c r="C29" s="20" t="s">
        <v>84</v>
      </c>
      <c r="M29" s="20" t="s">
        <v>85</v>
      </c>
    </row>
    <row r="30" spans="3:21" ht="15.75" outlineLevel="2" x14ac:dyDescent="0.25">
      <c r="C30" s="30" t="s">
        <v>61</v>
      </c>
      <c r="D30" s="30" t="s">
        <v>62</v>
      </c>
      <c r="E30" s="30" t="s">
        <v>63</v>
      </c>
      <c r="F30" s="30" t="s">
        <v>50</v>
      </c>
      <c r="G30" s="40" t="s">
        <v>65</v>
      </c>
      <c r="H30" s="40" t="s">
        <v>66</v>
      </c>
      <c r="I30" s="40" t="s">
        <v>67</v>
      </c>
      <c r="J30" s="40" t="s">
        <v>68</v>
      </c>
      <c r="K30" s="59" t="s">
        <v>69</v>
      </c>
      <c r="M30" s="30" t="s">
        <v>61</v>
      </c>
      <c r="N30" s="30" t="s">
        <v>62</v>
      </c>
      <c r="O30" s="30" t="s">
        <v>63</v>
      </c>
      <c r="P30" s="30" t="s">
        <v>50</v>
      </c>
      <c r="Q30" s="40" t="s">
        <v>65</v>
      </c>
      <c r="R30" s="40" t="s">
        <v>66</v>
      </c>
      <c r="S30" s="40" t="s">
        <v>67</v>
      </c>
      <c r="T30" s="40" t="s">
        <v>68</v>
      </c>
      <c r="U30" s="59" t="s">
        <v>69</v>
      </c>
    </row>
    <row r="31" spans="3:21" outlineLevel="2" x14ac:dyDescent="0.25">
      <c r="C31" s="39" t="s">
        <v>86</v>
      </c>
      <c r="D31" s="39" t="s">
        <v>71</v>
      </c>
      <c r="E31" s="39" t="s">
        <v>72</v>
      </c>
      <c r="F31" s="14" t="s">
        <v>87</v>
      </c>
      <c r="G31" s="122" t="str" cm="1">
        <f t="array" ref="G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1" s="122" t="str" cm="1">
        <f t="array" ref="H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1" s="122" t="str" cm="1">
        <f t="array" ref="I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1" s="122" t="str" cm="1">
        <f t="array" ref="J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1" s="122" t="str" cm="1">
        <f t="array" ref="K31">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1" s="39" t="s">
        <v>86</v>
      </c>
      <c r="N31" s="39" t="s">
        <v>71</v>
      </c>
      <c r="O31" s="39" t="s">
        <v>73</v>
      </c>
      <c r="P31" s="14" t="s">
        <v>87</v>
      </c>
      <c r="Q31" s="122" t="str" cm="1">
        <f t="array" ref="Q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1" s="122" t="str" cm="1">
        <f t="array" ref="R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1" s="122" t="str" cm="1">
        <f t="array" ref="S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1" s="122" t="str" cm="1">
        <f t="array" ref="T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1" s="122" t="str" cm="1">
        <f t="array" ref="U31">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2" spans="3:21" outlineLevel="2" x14ac:dyDescent="0.25">
      <c r="C32" s="39" t="s">
        <v>88</v>
      </c>
      <c r="D32" s="39" t="s">
        <v>71</v>
      </c>
      <c r="E32" s="39" t="s">
        <v>72</v>
      </c>
      <c r="F32" s="14" t="s">
        <v>87</v>
      </c>
      <c r="G32" s="122" t="str" cm="1">
        <f t="array" ref="G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2" s="122" t="str" cm="1">
        <f t="array" ref="H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2" s="122" t="str" cm="1">
        <f t="array" ref="I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2" s="122" t="str" cm="1">
        <f t="array" ref="J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2" s="122" t="str" cm="1">
        <f t="array" ref="K32">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2" s="39" t="s">
        <v>88</v>
      </c>
      <c r="N32" s="39" t="s">
        <v>71</v>
      </c>
      <c r="O32" s="39" t="s">
        <v>73</v>
      </c>
      <c r="P32" s="14" t="s">
        <v>87</v>
      </c>
      <c r="Q32" s="122" t="str" cm="1">
        <f t="array" ref="Q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2" s="122" t="str" cm="1">
        <f t="array" ref="R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2" s="122" t="str" cm="1">
        <f t="array" ref="S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2" s="122" t="str" cm="1">
        <f t="array" ref="T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2" s="122" t="str" cm="1">
        <f t="array" ref="U32">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3" spans="3:21" outlineLevel="2" x14ac:dyDescent="0.25">
      <c r="C33" s="39" t="s">
        <v>81</v>
      </c>
      <c r="D33" s="39" t="s">
        <v>75</v>
      </c>
      <c r="E33" s="39" t="s">
        <v>72</v>
      </c>
      <c r="F33" s="14" t="s">
        <v>87</v>
      </c>
      <c r="G33" s="122" t="str" cm="1">
        <f t="array" ref="G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v>
      </c>
      <c r="H33" s="122" t="str" cm="1">
        <f t="array" ref="H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v>
      </c>
      <c r="I33" s="122" t="str" cm="1">
        <f t="array" ref="I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v>
      </c>
      <c r="J33" s="122" t="str" cm="1">
        <f t="array" ref="J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v>
      </c>
      <c r="K33" s="122" t="str" cm="1">
        <f t="array" ref="K33">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v>
      </c>
      <c r="M33" s="39"/>
      <c r="N33" s="39"/>
      <c r="O33" s="39"/>
      <c r="P33" s="14"/>
      <c r="Q33" s="122" t="str" cm="1">
        <f t="array" ref="Q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3" s="122" t="str" cm="1">
        <f t="array" ref="R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3" s="122" t="str" cm="1">
        <f t="array" ref="S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3" s="122" t="str" cm="1">
        <f t="array" ref="T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3" s="122" t="str" cm="1">
        <f t="array" ref="U33">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34" spans="3:21" outlineLevel="2" x14ac:dyDescent="0.25">
      <c r="C34" s="39" t="s">
        <v>74</v>
      </c>
      <c r="D34" s="39" t="s">
        <v>75</v>
      </c>
      <c r="E34" s="39" t="s">
        <v>72</v>
      </c>
      <c r="F34" s="14" t="s">
        <v>89</v>
      </c>
      <c r="G34" s="122" cm="1">
        <f t="array" ref="G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6.604688478961399E-4</v>
      </c>
      <c r="H34" s="122" cm="1">
        <f t="array" ref="H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4" s="122" cm="1">
        <f t="array" ref="I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4" s="122" cm="1">
        <f t="array" ref="J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4" s="122" cm="1">
        <f t="array" ref="K34">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4" s="39" t="s">
        <v>74</v>
      </c>
      <c r="N34" s="39" t="s">
        <v>75</v>
      </c>
      <c r="O34" s="39" t="s">
        <v>73</v>
      </c>
      <c r="P34" s="14" t="s">
        <v>89</v>
      </c>
      <c r="Q34" s="122" cm="1">
        <f t="array" ref="Q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6.604688478961399E-4</v>
      </c>
      <c r="R34" s="122" cm="1">
        <f t="array" ref="R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4" s="122" cm="1">
        <f t="array" ref="S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4" s="122" cm="1">
        <f t="array" ref="T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4" s="122" cm="1">
        <f t="array" ref="U34">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5" spans="3:21" outlineLevel="2" x14ac:dyDescent="0.25">
      <c r="C35" s="39" t="s">
        <v>76</v>
      </c>
      <c r="D35" s="39" t="s">
        <v>75</v>
      </c>
      <c r="E35" s="39" t="s">
        <v>72</v>
      </c>
      <c r="F35" s="14" t="s">
        <v>89</v>
      </c>
      <c r="G35" s="122" cm="1">
        <f t="array" ref="G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6.604688478961399E-4</v>
      </c>
      <c r="H35" s="122" cm="1">
        <f t="array" ref="H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0</v>
      </c>
      <c r="I35" s="122" cm="1">
        <f t="array" ref="I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0</v>
      </c>
      <c r="J35" s="122" cm="1">
        <f t="array" ref="J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0</v>
      </c>
      <c r="K35" s="122" cm="1">
        <f t="array" ref="K35">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0</v>
      </c>
      <c r="M35" s="39" t="s">
        <v>76</v>
      </c>
      <c r="N35" s="39" t="s">
        <v>75</v>
      </c>
      <c r="O35" s="39" t="s">
        <v>73</v>
      </c>
      <c r="P35" s="14" t="s">
        <v>89</v>
      </c>
      <c r="Q35" s="122" cm="1">
        <f t="array" ref="Q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6.604688478961399E-4</v>
      </c>
      <c r="R35" s="122" cm="1">
        <f t="array" ref="R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0</v>
      </c>
      <c r="S35" s="122" cm="1">
        <f t="array" ref="S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0</v>
      </c>
      <c r="T35" s="122" cm="1">
        <f t="array" ref="T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0</v>
      </c>
      <c r="U35" s="122" cm="1">
        <f t="array" ref="U35">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0</v>
      </c>
    </row>
    <row r="36" spans="3:21" outlineLevel="2" x14ac:dyDescent="0.25">
      <c r="C36" s="39" t="s">
        <v>77</v>
      </c>
      <c r="D36" s="39" t="s">
        <v>75</v>
      </c>
      <c r="E36" s="39" t="s">
        <v>72</v>
      </c>
      <c r="F36" s="14" t="s">
        <v>89</v>
      </c>
      <c r="G36" s="122" cm="1">
        <f t="array" ref="G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0</v>
      </c>
      <c r="H36" s="122" cm="1">
        <f t="array" ref="H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6.3586744515789766E-4</v>
      </c>
      <c r="I36" s="122" cm="1">
        <f t="array" ref="I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6.360885634276712E-4</v>
      </c>
      <c r="J36" s="122" cm="1">
        <f t="array" ref="J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6.5195693584001928E-4</v>
      </c>
      <c r="K36" s="122" cm="1">
        <f t="array" ref="K36">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6.3705837898588545E-4</v>
      </c>
      <c r="M36" s="39" t="s">
        <v>77</v>
      </c>
      <c r="N36" s="39" t="s">
        <v>75</v>
      </c>
      <c r="O36" s="39" t="s">
        <v>73</v>
      </c>
      <c r="P36" s="14" t="s">
        <v>89</v>
      </c>
      <c r="Q36" s="122" cm="1">
        <f t="array" ref="Q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0</v>
      </c>
      <c r="R36" s="122" cm="1">
        <f t="array" ref="R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6.3586744515789766E-4</v>
      </c>
      <c r="S36" s="122" cm="1">
        <f t="array" ref="S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6.360885634276712E-4</v>
      </c>
      <c r="T36" s="122" cm="1">
        <f t="array" ref="T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6.5195693584001928E-4</v>
      </c>
      <c r="U36" s="122" cm="1">
        <f t="array" ref="U36">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6.3705837898588545E-4</v>
      </c>
    </row>
    <row r="37" spans="3:21" outlineLevel="2" x14ac:dyDescent="0.25">
      <c r="C37" s="39" t="s">
        <v>79</v>
      </c>
      <c r="D37" s="39" t="s">
        <v>75</v>
      </c>
      <c r="E37" s="39" t="s">
        <v>72</v>
      </c>
      <c r="F37" s="14" t="s">
        <v>89</v>
      </c>
      <c r="G37" s="122" cm="1">
        <f t="array" ref="G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6.604688478961399E-4</v>
      </c>
      <c r="H37" s="122" cm="1">
        <f t="array" ref="H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6.3586744515789766E-4</v>
      </c>
      <c r="I37" s="122" cm="1">
        <f t="array" ref="I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6.360885634276712E-4</v>
      </c>
      <c r="J37" s="122" cm="1">
        <f t="array" ref="J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6.5195693584001928E-4</v>
      </c>
      <c r="K37" s="122" cm="1">
        <f t="array" ref="K37">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6.3705837898588545E-4</v>
      </c>
      <c r="M37" s="39" t="s">
        <v>79</v>
      </c>
      <c r="N37" s="39" t="s">
        <v>75</v>
      </c>
      <c r="O37" s="39" t="s">
        <v>73</v>
      </c>
      <c r="P37" s="14" t="s">
        <v>89</v>
      </c>
      <c r="Q37" s="122" cm="1">
        <f t="array" ref="Q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6.604688478961399E-4</v>
      </c>
      <c r="R37" s="122" cm="1">
        <f t="array" ref="R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6.3586744515789766E-4</v>
      </c>
      <c r="S37" s="122" cm="1">
        <f t="array" ref="S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6.360885634276712E-4</v>
      </c>
      <c r="T37" s="122" cm="1">
        <f t="array" ref="T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6.5195693584001928E-4</v>
      </c>
      <c r="U37" s="122" cm="1">
        <f t="array" ref="U37">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6.3705837898588545E-4</v>
      </c>
    </row>
    <row r="38" spans="3:21" outlineLevel="2" x14ac:dyDescent="0.25">
      <c r="C38" s="39" t="s">
        <v>80</v>
      </c>
      <c r="D38" s="39" t="s">
        <v>75</v>
      </c>
      <c r="E38" s="39" t="s">
        <v>72</v>
      </c>
      <c r="F38" s="14" t="s">
        <v>89</v>
      </c>
      <c r="G38" s="122" cm="1">
        <f t="array" ref="G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6.604688478961399E-4</v>
      </c>
      <c r="H38" s="122" cm="1">
        <f t="array" ref="H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6.3586744515789766E-4</v>
      </c>
      <c r="I38" s="122" cm="1">
        <f t="array" ref="I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6.360885634276712E-4</v>
      </c>
      <c r="J38" s="122" cm="1">
        <f t="array" ref="J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6.5195693584001928E-4</v>
      </c>
      <c r="K38" s="122" cm="1">
        <f t="array" ref="K38">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6.3705837898588545E-4</v>
      </c>
      <c r="M38" s="39" t="s">
        <v>80</v>
      </c>
      <c r="N38" s="39" t="s">
        <v>75</v>
      </c>
      <c r="O38" s="39" t="s">
        <v>73</v>
      </c>
      <c r="P38" s="14" t="s">
        <v>89</v>
      </c>
      <c r="Q38" s="122" cm="1">
        <f t="array" ref="Q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6.604688478961399E-4</v>
      </c>
      <c r="R38" s="122" cm="1">
        <f t="array" ref="R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6.3586744515789766E-4</v>
      </c>
      <c r="S38" s="122" cm="1">
        <f t="array" ref="S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6.360885634276712E-4</v>
      </c>
      <c r="T38" s="122" cm="1">
        <f t="array" ref="T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6.5195693584001928E-4</v>
      </c>
      <c r="U38" s="122" cm="1">
        <f t="array" ref="U38">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6.3705837898588545E-4</v>
      </c>
    </row>
    <row r="39" spans="3:21" outlineLevel="2" x14ac:dyDescent="0.25">
      <c r="C39" s="39" t="s">
        <v>81</v>
      </c>
      <c r="D39" s="39" t="s">
        <v>75</v>
      </c>
      <c r="E39" s="39" t="s">
        <v>72</v>
      </c>
      <c r="F39" s="14" t="s">
        <v>89</v>
      </c>
      <c r="G39" s="122" cm="1">
        <f t="array" ref="G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name]]),0),MATCH(OP_RatesTU_RES_1[[#Headers],[Ausnet]],Calc_TUR_Net_1[[#Headers],[Ausnet]:[United Energy]],0)),
INDEX(Calc_TUR_NetCL_1[[Ausnet]:[United Energy]],MATCH(OP_RatesTU_RES_1[[#This Row],[Customer type]:[Customer type]],Calc_TUR_NetCL_1[[Customer type]:[Customer type]],0),MATCH(OP_RatesTU_RES_1[[#Headers],[Ausnet]],Calc_TUR_NetCL_1[[#Headers],[Ausnet]:[United Energy]],0))),
IF(OP_RatesTU_RES_1[[#This Row],[Cost element]:[Cost element]]="Environmental",
SUMIFS(INDEX(Calc_TUR_Env_1[[Ausnet]:[United Energy]],0,MATCH(OP_RatesTU_RES_1[[#Headers],[Ausnet]],Calc_TUR_Env_1[[#Headers],[Ausnet]:[United Energy]],0)),
Calc_TUR_Env_1[[Customer type]:[Customer type]],OP_RatesTU_RES_1[[#This Row],[Customer type]:[Customer type]],Calc_TUR_Env_1[[Rate type]:[Rate type]],OP_RatesTU_RES_1[[#This Row],[Rate name]:[Rate name]]),
"-")),"-")</f>
        <v>6.604688478961399E-4</v>
      </c>
      <c r="H39" s="122" cm="1">
        <f t="array" ref="H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name]]),0),MATCH(OP_RatesTU_RES_1[[#Headers],[Citipower]],Calc_TUR_Net_1[[#Headers],[Ausnet]:[United Energy]],0)),
INDEX(Calc_TUR_NetCL_1[[Ausnet]:[United Energy]],MATCH(OP_RatesTU_RES_1[[#This Row],[Customer type]:[Customer type]],Calc_TUR_NetCL_1[[Customer type]:[Customer type]],0),MATCH(OP_RatesTU_RES_1[[#Headers],[Citipower]],Calc_TUR_NetCL_1[[#Headers],[Ausnet]:[United Energy]],0))),
IF(OP_RatesTU_RES_1[[#This Row],[Cost element]:[Cost element]]="Environmental",
SUMIFS(INDEX(Calc_TUR_Env_1[[Ausnet]:[United Energy]],0,MATCH(OP_RatesTU_RES_1[[#Headers],[Citipower]],Calc_TUR_Env_1[[#Headers],[Ausnet]:[United Energy]],0)),
Calc_TUR_Env_1[[Customer type]:[Customer type]],OP_RatesTU_RES_1[[#This Row],[Customer type]:[Customer type]],Calc_TUR_Env_1[[Rate type]:[Rate type]],OP_RatesTU_RES_1[[#This Row],[Rate name]:[Rate name]]),
"-")),"-")</f>
        <v>6.3586744515789766E-4</v>
      </c>
      <c r="I39" s="122" cm="1">
        <f t="array" ref="I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name]]),0),MATCH(OP_RatesTU_RES_1[[#Headers],[Jemena]],Calc_TUR_Net_1[[#Headers],[Ausnet]:[United Energy]],0)),
INDEX(Calc_TUR_NetCL_1[[Ausnet]:[United Energy]],MATCH(OP_RatesTU_RES_1[[#This Row],[Customer type]:[Customer type]],Calc_TUR_NetCL_1[[Customer type]:[Customer type]],0),MATCH(OP_RatesTU_RES_1[[#Headers],[Jemena]],Calc_TUR_NetCL_1[[#Headers],[Ausnet]:[United Energy]],0))),
IF(OP_RatesTU_RES_1[[#This Row],[Cost element]:[Cost element]]="Environmental",
SUMIFS(INDEX(Calc_TUR_Env_1[[Ausnet]:[United Energy]],0,MATCH(OP_RatesTU_RES_1[[#Headers],[Jemena]],Calc_TUR_Env_1[[#Headers],[Ausnet]:[United Energy]],0)),
Calc_TUR_Env_1[[Customer type]:[Customer type]],OP_RatesTU_RES_1[[#This Row],[Customer type]:[Customer type]],Calc_TUR_Env_1[[Rate type]:[Rate type]],OP_RatesTU_RES_1[[#This Row],[Rate name]:[Rate name]]),
"-")),"-")</f>
        <v>6.360885634276712E-4</v>
      </c>
      <c r="J39" s="122" cm="1">
        <f t="array" ref="J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name]]),0),MATCH(OP_RatesTU_RES_1[[#Headers],[Powercor]],Calc_TUR_Net_1[[#Headers],[Ausnet]:[United Energy]],0)),
INDEX(Calc_TUR_NetCL_1[[Ausnet]:[United Energy]],MATCH(OP_RatesTU_RES_1[[#This Row],[Customer type]:[Customer type]],Calc_TUR_NetCL_1[[Customer type]:[Customer type]],0),MATCH(OP_RatesTU_RES_1[[#Headers],[Powercor]],Calc_TUR_NetCL_1[[#Headers],[Ausnet]:[United Energy]],0))),
IF(OP_RatesTU_RES_1[[#This Row],[Cost element]:[Cost element]]="Environmental",
SUMIFS(INDEX(Calc_TUR_Env_1[[Ausnet]:[United Energy]],0,MATCH(OP_RatesTU_RES_1[[#Headers],[Powercor]],Calc_TUR_Env_1[[#Headers],[Ausnet]:[United Energy]],0)),
Calc_TUR_Env_1[[Customer type]:[Customer type]],OP_RatesTU_RES_1[[#This Row],[Customer type]:[Customer type]],Calc_TUR_Env_1[[Rate type]:[Rate type]],OP_RatesTU_RES_1[[#This Row],[Rate name]:[Rate name]]),
"-")),"-")</f>
        <v>6.5195693584001928E-4</v>
      </c>
      <c r="K39" s="122" cm="1">
        <f t="array" ref="K39">IFERROR(
IF(OP_RatesTU_RES_1[[#This Row],[Cost element]:[Cost element]]="Network",
IF(OP_RatesTU_RES_1[[#This Row],[Rate name]:[Rate name]]&lt;&gt;"Controlled load",
INDEX(Calc_TUR_Net_1[[Ausnet]:[United Energy]],MATCH(1,(Calc_TUR_Net_1[[Customer type]:[Customer type]]=OP_RatesTU_RES_1[[#This Row],[Customer type]:[Customer type]])*(Calc_TUR_Net_1[[Rate type]:[Rate type]]=OP_RatesTU_RES_1[[#This Row],[Rate name]:[Rate name]]),0),MATCH(OP_RatesTU_RES_1[[#Headers],[United Energy]],Calc_TUR_Net_1[[#Headers],[Ausnet]:[United Energy]],0)),
INDEX(Calc_TUR_NetCL_1[[Ausnet]:[United Energy]],MATCH(OP_RatesTU_RES_1[[#This Row],[Customer type]:[Customer type]],Calc_TUR_NetCL_1[[Customer type]:[Customer type]],0),MATCH(OP_RatesTU_RES_1[[#Headers],[United Energy]],Calc_TUR_NetCL_1[[#Headers],[Ausnet]:[United Energy]],0))),
IF(OP_RatesTU_RES_1[[#This Row],[Cost element]:[Cost element]]="Environmental",
SUMIFS(INDEX(Calc_TUR_Env_1[[Ausnet]:[United Energy]],0,MATCH(OP_RatesTU_RES_1[[#Headers],[United Energy]],Calc_TUR_Env_1[[#Headers],[Ausnet]:[United Energy]],0)),
Calc_TUR_Env_1[[Customer type]:[Customer type]],OP_RatesTU_RES_1[[#This Row],[Customer type]:[Customer type]],Calc_TUR_Env_1[[Rate type]:[Rate type]],OP_RatesTU_RES_1[[#This Row],[Rate name]:[Rate name]]),
"-")),"-")</f>
        <v>6.3705837898588545E-4</v>
      </c>
      <c r="M39" s="39"/>
      <c r="N39" s="39"/>
      <c r="O39" s="39"/>
      <c r="P39" s="14"/>
      <c r="Q39" s="122" t="str" cm="1">
        <f t="array" ref="Q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name]]),0),MATCH(OP_RatesTU_SME_1[[#Headers],[Ausnet]],Calc_TUR_Net_1[[#Headers],[Ausnet]:[United Energy]],0)),
IF(OP_RatesTU_SME_1[[#This Row],[Cost element]:[Cost element]]="Environmental",
SUMIFS(INDEX(Calc_TUR_Env_1[[Ausnet]:[United Energy]],0,MATCH(OP_RatesTU_SME_1[[#Headers],[Ausnet]],Calc_TUR_Env_1[[#Headers],[Ausnet]:[United Energy]],0)),
Calc_TUR_Env_1[[Customer type]:[Customer type]],OP_RatesTU_SME_1[[#This Row],[Customer type]:[Customer type]],Calc_TUR_Env_1[[Rate type]:[Rate type]],OP_RatesTU_SME_1[[#This Row],[Rate name]:[Rate name]]),
"-")),"-")</f>
        <v>-</v>
      </c>
      <c r="R39" s="122" t="str" cm="1">
        <f t="array" ref="R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name]]),0),MATCH(OP_RatesTU_SME_1[[#Headers],[Citipower]],Calc_TUR_Net_1[[#Headers],[Ausnet]:[United Energy]],0)),
IF(OP_RatesTU_SME_1[[#This Row],[Cost element]:[Cost element]]="Environmental",
SUMIFS(INDEX(Calc_TUR_Env_1[[Ausnet]:[United Energy]],0,MATCH(OP_RatesTU_SME_1[[#Headers],[Citipower]],Calc_TUR_Env_1[[#Headers],[Ausnet]:[United Energy]],0)),
Calc_TUR_Env_1[[Customer type]:[Customer type]],OP_RatesTU_SME_1[[#This Row],[Customer type]:[Customer type]],Calc_TUR_Env_1[[Rate type]:[Rate type]],OP_RatesTU_SME_1[[#This Row],[Rate name]:[Rate name]]),
"-")),"-")</f>
        <v>-</v>
      </c>
      <c r="S39" s="122" t="str" cm="1">
        <f t="array" ref="S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name]]),0),MATCH(OP_RatesTU_SME_1[[#Headers],[Jemena]],Calc_TUR_Net_1[[#Headers],[Ausnet]:[United Energy]],0)),
IF(OP_RatesTU_SME_1[[#This Row],[Cost element]:[Cost element]]="Environmental",
SUMIFS(INDEX(Calc_TUR_Env_1[[Ausnet]:[United Energy]],0,MATCH(OP_RatesTU_SME_1[[#Headers],[Jemena]],Calc_TUR_Env_1[[#Headers],[Ausnet]:[United Energy]],0)),
Calc_TUR_Env_1[[Customer type]:[Customer type]],OP_RatesTU_SME_1[[#This Row],[Customer type]:[Customer type]],Calc_TUR_Env_1[[Rate type]:[Rate type]],OP_RatesTU_SME_1[[#This Row],[Rate name]:[Rate name]]),
"-")),"-")</f>
        <v>-</v>
      </c>
      <c r="T39" s="122" t="str" cm="1">
        <f t="array" ref="T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name]]),0),MATCH(OP_RatesTU_SME_1[[#Headers],[Powercor]],Calc_TUR_Net_1[[#Headers],[Ausnet]:[United Energy]],0)),
IF(OP_RatesTU_SME_1[[#This Row],[Cost element]:[Cost element]]="Environmental",
SUMIFS(INDEX(Calc_TUR_Env_1[[Ausnet]:[United Energy]],0,MATCH(OP_RatesTU_SME_1[[#Headers],[Powercor]],Calc_TUR_Env_1[[#Headers],[Ausnet]:[United Energy]],0)),
Calc_TUR_Env_1[[Customer type]:[Customer type]],OP_RatesTU_SME_1[[#This Row],[Customer type]:[Customer type]],Calc_TUR_Env_1[[Rate type]:[Rate type]],OP_RatesTU_SME_1[[#This Row],[Rate name]:[Rate name]]),
"-")),"-")</f>
        <v>-</v>
      </c>
      <c r="U39" s="122" t="str" cm="1">
        <f t="array" ref="U39">IFERROR(
IF(OP_RatesTU_SME_1[[#This Row],[Cost element]:[Cost element]]="Network",
INDEX(Calc_TUR_Net_1[[Ausnet]:[United Energy]],MATCH(1,(Calc_TUR_Net_1[[Customer type]:[Customer type]]=OP_RatesTU_SME_1[[#This Row],[Customer type]:[Customer type]])*(Calc_TUR_Net_1[[Rate type]:[Rate type]]=OP_RatesTU_SME_1[[#This Row],[Rate name]:[Rate name]]),0),MATCH(OP_RatesTU_SME_1[[#Headers],[United Energy]],Calc_TUR_Net_1[[#Headers],[Ausnet]:[United Energy]],0)),
IF(OP_RatesTU_SME_1[[#This Row],[Cost element]:[Cost element]]="Environmental",
SUMIFS(INDEX(Calc_TUR_Env_1[[Ausnet]:[United Energy]],0,MATCH(OP_RatesTU_SME_1[[#Headers],[United Energy]],Calc_TUR_Env_1[[#Headers],[Ausnet]:[United Energy]],0)),
Calc_TUR_Env_1[[Customer type]:[Customer type]],OP_RatesTU_SME_1[[#This Row],[Customer type]:[Customer type]],Calc_TUR_Env_1[[Rate type]:[Rate type]],OP_RatesTU_SME_1[[#This Row],[Rate name]:[Rate name]]),
"-")),"-")</f>
        <v>-</v>
      </c>
    </row>
    <row r="40" spans="3:21" outlineLevel="1" x14ac:dyDescent="0.25"/>
    <row r="41" spans="3:21" ht="15.75" hidden="1" outlineLevel="1" x14ac:dyDescent="0.25">
      <c r="C41" s="57" t="s">
        <v>16</v>
      </c>
    </row>
    <row r="42" spans="3:21" ht="15.75" hidden="1" outlineLevel="2" x14ac:dyDescent="0.25">
      <c r="C42" s="20" t="str">
        <f>C$7&amp;" - checks"</f>
        <v>VDO residential rates - checks</v>
      </c>
      <c r="M42" s="20" t="str">
        <f>M$7&amp;" - checks"</f>
        <v>VDO small business rates - checks</v>
      </c>
    </row>
    <row r="43" spans="3:21" ht="15.75" hidden="1" outlineLevel="2" x14ac:dyDescent="0.25">
      <c r="C43" s="29" t="s">
        <v>61</v>
      </c>
      <c r="D43" s="29" t="s">
        <v>62</v>
      </c>
      <c r="E43" s="29" t="s">
        <v>63</v>
      </c>
      <c r="G43" s="32" t="s">
        <v>65</v>
      </c>
      <c r="H43" s="32" t="s">
        <v>66</v>
      </c>
      <c r="I43" s="32" t="s">
        <v>67</v>
      </c>
      <c r="J43" s="32" t="s">
        <v>68</v>
      </c>
      <c r="K43" s="32" t="s">
        <v>69</v>
      </c>
      <c r="M43" s="29" t="s">
        <v>61</v>
      </c>
      <c r="N43" s="29" t="s">
        <v>62</v>
      </c>
      <c r="O43" s="29" t="s">
        <v>63</v>
      </c>
      <c r="Q43" s="32" t="s">
        <v>65</v>
      </c>
      <c r="R43" s="32" t="s">
        <v>66</v>
      </c>
      <c r="S43" s="32" t="s">
        <v>67</v>
      </c>
      <c r="T43" s="32" t="s">
        <v>68</v>
      </c>
      <c r="U43" s="32" t="s">
        <v>69</v>
      </c>
    </row>
    <row r="44" spans="3:21" ht="15.75" hidden="1" outlineLevel="2" x14ac:dyDescent="0.25">
      <c r="C44" s="39" t="s">
        <v>70</v>
      </c>
      <c r="D44" s="39" t="s">
        <v>71</v>
      </c>
      <c r="E44" s="39" t="s">
        <v>72</v>
      </c>
      <c r="G44" s="67">
        <f>IF(ROUND(G9,4)=ROUND(
SUMIFS(OP_Rates_RES_1[Ausnet],OP_Rates_RES_1[[Rate name]:[Rate name]],$C44)+
SUMIFS(OP_RatesTU_RES_1[Ausnet],OP_RatesTU_RES_1[[Rate name]:[Rate name]],
IF($D44&lt;&gt;"$",$C44,LEFT($C44,LEN($C44)-FIND(" - supply",$C44)-1))),4),
0,1)</f>
        <v>0</v>
      </c>
      <c r="H44" s="67">
        <f>IF(ROUND(H9,4)=ROUND(
SUMIFS(OP_Rates_RES_1[Citipower],OP_Rates_RES_1[[Rate name]:[Rate name]],$C44)+
SUMIFS(OP_RatesTU_RES_1[Citipower],OP_RatesTU_RES_1[[Rate name]:[Rate name]],
IF($D44&lt;&gt;"$",$C44,LEFT($C44,LEN($C44)-FIND(" - supply",$C44)-1))),4),
0,1)</f>
        <v>0</v>
      </c>
      <c r="I44" s="67">
        <f>IF(ROUND(I9,4)=ROUND(
SUMIFS(OP_Rates_RES_1[Jemena],OP_Rates_RES_1[[Rate name]:[Rate name]],$C44)+
SUMIFS(OP_RatesTU_RES_1[Jemena],OP_RatesTU_RES_1[[Rate name]:[Rate name]],
IF($D44&lt;&gt;"$",$C44,LEFT($C44,LEN($C44)-FIND(" - supply",$C44)-1))),4),
0,1)</f>
        <v>0</v>
      </c>
      <c r="J44" s="67">
        <f>IF(ROUND(J9,4)=ROUND(
SUMIFS(OP_Rates_RES_1[Powercor],OP_Rates_RES_1[[Rate name]:[Rate name]],$C44)+
SUMIFS(OP_RatesTU_RES_1[Powercor],OP_RatesTU_RES_1[[Rate name]:[Rate name]],
IF($D44&lt;&gt;"$",$C44,LEFT($C44,LEN($C44)-FIND(" - supply",$C44)-1))),4),
0,1)</f>
        <v>0</v>
      </c>
      <c r="K44" s="67">
        <f>IF(ROUND(K9,4)=ROUND(
SUMIFS(OP_Rates_RES_1[United Energy],OP_Rates_RES_1[[Rate name]:[Rate name]],$C44)+
SUMIFS(OP_RatesTU_RES_1[United Energy],OP_RatesTU_RES_1[[Rate name]:[Rate name]],
IF($D44&lt;&gt;"$",$C44,LEFT($C44,LEN($C44)-FIND(" - supply",$C44)-1))),4),
0,1)</f>
        <v>0</v>
      </c>
      <c r="M44" s="39" t="s">
        <v>70</v>
      </c>
      <c r="N44" s="39" t="s">
        <v>71</v>
      </c>
      <c r="O44" s="39" t="s">
        <v>73</v>
      </c>
      <c r="Q44" s="67">
        <f>IF(ROUND(Q9,4)=ROUND(
SUMIFS(OP_Rates_SME_1[Ausnet],OP_Rates_SME_1[[Rate name]:[Rate name]],$C44)+
SUMIFS(OP_RatesTU_SME_1[Ausnet],OP_RatesTU_SME_1[[Rate name]:[Rate name]],
IF($D44&lt;&gt;"$",$C44,LEFT($C44,LEN($C44)-FIND(" - supply",$C44)-1))),4),
0,1)</f>
        <v>0</v>
      </c>
      <c r="R44" s="67">
        <f>IF(ROUND(R9,4)=ROUND(
SUMIFS(OP_Rates_SME_1[Citipower],OP_Rates_SME_1[[Rate name]:[Rate name]],$C44)+
SUMIFS(OP_RatesTU_SME_1[Citipower],OP_RatesTU_SME_1[[Rate name]:[Rate name]],
IF($D44&lt;&gt;"$",$C44,LEFT($C44,LEN($C44)-FIND(" - supply",$C44)-1))),4),
0,1)</f>
        <v>0</v>
      </c>
      <c r="S44" s="67">
        <f>IF(ROUND(S9,4)=ROUND(
SUMIFS(OP_Rates_SME_1[Jemena],OP_Rates_SME_1[[Rate name]:[Rate name]],$C44)+
SUMIFS(OP_RatesTU_SME_1[Jemena],OP_RatesTU_SME_1[[Rate name]:[Rate name]],
IF($D44&lt;&gt;"$",$C44,LEFT($C44,LEN($C44)-FIND(" - supply",$C44)-1))),4),
0,1)</f>
        <v>0</v>
      </c>
      <c r="T44" s="67">
        <f>IF(ROUND(T9,4)=ROUND(
SUMIFS(OP_Rates_SME_1[Powercor],OP_Rates_SME_1[[Rate name]:[Rate name]],$C44)+
SUMIFS(OP_RatesTU_SME_1[Powercor],OP_RatesTU_SME_1[[Rate name]:[Rate name]],
IF($D44&lt;&gt;"$",$C44,LEFT($C44,LEN($C44)-FIND(" - supply",$C44)-1))),4),
0,1)</f>
        <v>0</v>
      </c>
      <c r="U44" s="67">
        <f>IF(ROUND(U9,4)=ROUND(
SUMIFS(OP_Rates_SME_1[United Energy],OP_Rates_SME_1[[Rate name]:[Rate name]],$C44)+
SUMIFS(OP_RatesTU_SME_1[United Energy],OP_RatesTU_SME_1[[Rate name]:[Rate name]],
IF($D44&lt;&gt;"$",$C44,LEFT($C44,LEN($C44)-FIND(" - supply",$C44)-1))),4),
0,1)</f>
        <v>0</v>
      </c>
    </row>
    <row r="45" spans="3:21" ht="15.75" hidden="1" outlineLevel="2" x14ac:dyDescent="0.25">
      <c r="C45" s="39" t="s">
        <v>74</v>
      </c>
      <c r="D45" s="39" t="s">
        <v>75</v>
      </c>
      <c r="E45" s="39" t="s">
        <v>72</v>
      </c>
      <c r="G45" s="67">
        <f>IF(ROUND(G10,4)=ROUND(
SUMIFS(OP_Rates_RES_1[Ausnet],OP_Rates_RES_1[[Rate name]:[Rate name]],$C45)+
SUMIFS(OP_RatesTU_RES_1[Ausnet],OP_RatesTU_RES_1[[Rate name]:[Rate name]],
IF($D45&lt;&gt;"$",$C45,LEFT($C45,LEN($C45)-FIND(" - supply",$C45)-1))),4),
0,1)</f>
        <v>0</v>
      </c>
      <c r="H45" s="67">
        <f>IF(ROUND(H10,4)=ROUND(
SUMIFS(OP_Rates_RES_1[Citipower],OP_Rates_RES_1[[Rate name]:[Rate name]],$C45)+
SUMIFS(OP_RatesTU_RES_1[Citipower],OP_RatesTU_RES_1[[Rate name]:[Rate name]],
IF($D45&lt;&gt;"$",$C45,LEFT($C45,LEN($C45)-FIND(" - supply",$C45)-1))),4),
0,1)</f>
        <v>0</v>
      </c>
      <c r="I45" s="67">
        <f>IF(ROUND(I10,4)=ROUND(
SUMIFS(OP_Rates_RES_1[Jemena],OP_Rates_RES_1[[Rate name]:[Rate name]],$C45)+
SUMIFS(OP_RatesTU_RES_1[Jemena],OP_RatesTU_RES_1[[Rate name]:[Rate name]],
IF($D45&lt;&gt;"$",$C45,LEFT($C45,LEN($C45)-FIND(" - supply",$C45)-1))),4),
0,1)</f>
        <v>0</v>
      </c>
      <c r="J45" s="67">
        <f>IF(ROUND(J10,4)=ROUND(
SUMIFS(OP_Rates_RES_1[Powercor],OP_Rates_RES_1[[Rate name]:[Rate name]],$C45)+
SUMIFS(OP_RatesTU_RES_1[Powercor],OP_RatesTU_RES_1[[Rate name]:[Rate name]],
IF($D45&lt;&gt;"$",$C45,LEFT($C45,LEN($C45)-FIND(" - supply",$C45)-1))),4),
0,1)</f>
        <v>0</v>
      </c>
      <c r="K45" s="67">
        <f>IF(ROUND(K10,4)=ROUND(
SUMIFS(OP_Rates_RES_1[United Energy],OP_Rates_RES_1[[Rate name]:[Rate name]],$C45)+
SUMIFS(OP_RatesTU_RES_1[United Energy],OP_RatesTU_RES_1[[Rate name]:[Rate name]],
IF($D45&lt;&gt;"$",$C45,LEFT($C45,LEN($C45)-FIND(" - supply",$C45)-1))),4),
0,1)</f>
        <v>0</v>
      </c>
      <c r="M45" s="39" t="s">
        <v>74</v>
      </c>
      <c r="N45" s="39" t="s">
        <v>75</v>
      </c>
      <c r="O45" s="39" t="s">
        <v>73</v>
      </c>
      <c r="Q45" s="67">
        <f>IF(ROUND(Q10,4)=ROUND(
SUMIFS(OP_Rates_SME_1[Ausnet],OP_Rates_SME_1[[Rate name]:[Rate name]],$C45)+
SUMIFS(OP_RatesTU_SME_1[Ausnet],OP_RatesTU_SME_1[[Rate name]:[Rate name]],
IF($D45&lt;&gt;"$",$C45,LEFT($C45,LEN($C45)-FIND(" - supply",$C45)-1))),4),
0,1)</f>
        <v>0</v>
      </c>
      <c r="R45" s="67">
        <f>IF(ROUND(R10,4)=ROUND(
SUMIFS(OP_Rates_SME_1[Citipower],OP_Rates_SME_1[[Rate name]:[Rate name]],$C45)+
SUMIFS(OP_RatesTU_SME_1[Citipower],OP_RatesTU_SME_1[[Rate name]:[Rate name]],
IF($D45&lt;&gt;"$",$C45,LEFT($C45,LEN($C45)-FIND(" - supply",$C45)-1))),4),
0,1)</f>
        <v>0</v>
      </c>
      <c r="S45" s="67">
        <f>IF(ROUND(S10,4)=ROUND(
SUMIFS(OP_Rates_SME_1[Jemena],OP_Rates_SME_1[[Rate name]:[Rate name]],$C45)+
SUMIFS(OP_RatesTU_SME_1[Jemena],OP_RatesTU_SME_1[[Rate name]:[Rate name]],
IF($D45&lt;&gt;"$",$C45,LEFT($C45,LEN($C45)-FIND(" - supply",$C45)-1))),4),
0,1)</f>
        <v>0</v>
      </c>
      <c r="T45" s="67">
        <f>IF(ROUND(T10,4)=ROUND(
SUMIFS(OP_Rates_SME_1[Powercor],OP_Rates_SME_1[[Rate name]:[Rate name]],$C45)+
SUMIFS(OP_RatesTU_SME_1[Powercor],OP_RatesTU_SME_1[[Rate name]:[Rate name]],
IF($D45&lt;&gt;"$",$C45,LEFT($C45,LEN($C45)-FIND(" - supply",$C45)-1))),4),
0,1)</f>
        <v>0</v>
      </c>
      <c r="U45" s="67">
        <f>IF(ROUND(U10,4)=ROUND(
SUMIFS(OP_Rates_SME_1[United Energy],OP_Rates_SME_1[[Rate name]:[Rate name]],$C45)+
SUMIFS(OP_RatesTU_SME_1[United Energy],OP_RatesTU_SME_1[[Rate name]:[Rate name]],
IF($D45&lt;&gt;"$",$C45,LEFT($C45,LEN($C45)-FIND(" - supply",$C45)-1))),4),
0,1)</f>
        <v>0</v>
      </c>
    </row>
    <row r="46" spans="3:21" ht="15.75" hidden="1" outlineLevel="2" x14ac:dyDescent="0.25">
      <c r="C46" s="39" t="s">
        <v>76</v>
      </c>
      <c r="D46" s="39" t="s">
        <v>75</v>
      </c>
      <c r="E46" s="39" t="s">
        <v>72</v>
      </c>
      <c r="G46" s="67">
        <f>IF(ROUND(G11,4)=ROUND(
SUMIFS(OP_Rates_RES_1[Ausnet],OP_Rates_RES_1[[Rate name]:[Rate name]],$C46)+
SUMIFS(OP_RatesTU_RES_1[Ausnet],OP_RatesTU_RES_1[[Rate name]:[Rate name]],
IF($D46&lt;&gt;"$",$C46,LEFT($C46,LEN($C46)-FIND(" - supply",$C46)-1))),4),
0,1)</f>
        <v>0</v>
      </c>
      <c r="H46" s="67">
        <f>IF(ROUND(H11,4)=ROUND(
SUMIFS(OP_Rates_RES_1[Citipower],OP_Rates_RES_1[[Rate name]:[Rate name]],$C46)+
SUMIFS(OP_RatesTU_RES_1[Citipower],OP_RatesTU_RES_1[[Rate name]:[Rate name]],
IF($D46&lt;&gt;"$",$C46,LEFT($C46,LEN($C46)-FIND(" - supply",$C46)-1))),4),
0,1)</f>
        <v>0</v>
      </c>
      <c r="I46" s="67">
        <f>IF(ROUND(I11,4)=ROUND(
SUMIFS(OP_Rates_RES_1[Jemena],OP_Rates_RES_1[[Rate name]:[Rate name]],$C46)+
SUMIFS(OP_RatesTU_RES_1[Jemena],OP_RatesTU_RES_1[[Rate name]:[Rate name]],
IF($D46&lt;&gt;"$",$C46,LEFT($C46,LEN($C46)-FIND(" - supply",$C46)-1))),4),
0,1)</f>
        <v>0</v>
      </c>
      <c r="J46" s="67">
        <f>IF(ROUND(J11,4)=ROUND(
SUMIFS(OP_Rates_RES_1[Powercor],OP_Rates_RES_1[[Rate name]:[Rate name]],$C46)+
SUMIFS(OP_RatesTU_RES_1[Powercor],OP_RatesTU_RES_1[[Rate name]:[Rate name]],
IF($D46&lt;&gt;"$",$C46,LEFT($C46,LEN($C46)-FIND(" - supply",$C46)-1))),4),
0,1)</f>
        <v>0</v>
      </c>
      <c r="K46" s="67">
        <f>IF(ROUND(K11,4)=ROUND(
SUMIFS(OP_Rates_RES_1[United Energy],OP_Rates_RES_1[[Rate name]:[Rate name]],$C46)+
SUMIFS(OP_RatesTU_RES_1[United Energy],OP_RatesTU_RES_1[[Rate name]:[Rate name]],
IF($D46&lt;&gt;"$",$C46,LEFT($C46,LEN($C46)-FIND(" - supply",$C46)-1))),4),
0,1)</f>
        <v>0</v>
      </c>
      <c r="M46" s="39" t="s">
        <v>76</v>
      </c>
      <c r="N46" s="39" t="s">
        <v>75</v>
      </c>
      <c r="O46" s="39" t="s">
        <v>73</v>
      </c>
      <c r="Q46" s="67">
        <f>IF(ROUND(Q11,4)=ROUND(
SUMIFS(OP_Rates_SME_1[Ausnet],OP_Rates_SME_1[[Rate name]:[Rate name]],$C46)+
SUMIFS(OP_RatesTU_SME_1[Ausnet],OP_RatesTU_SME_1[[Rate name]:[Rate name]],
IF($D46&lt;&gt;"$",$C46,LEFT($C46,LEN($C46)-FIND(" - supply",$C46)-1))),4),
0,1)</f>
        <v>0</v>
      </c>
      <c r="R46" s="67">
        <f>IF(ROUND(R11,4)=ROUND(
SUMIFS(OP_Rates_SME_1[Citipower],OP_Rates_SME_1[[Rate name]:[Rate name]],$C46)+
SUMIFS(OP_RatesTU_SME_1[Citipower],OP_RatesTU_SME_1[[Rate name]:[Rate name]],
IF($D46&lt;&gt;"$",$C46,LEFT($C46,LEN($C46)-FIND(" - supply",$C46)-1))),4),
0,1)</f>
        <v>0</v>
      </c>
      <c r="S46" s="67">
        <f>IF(ROUND(S11,4)=ROUND(
SUMIFS(OP_Rates_SME_1[Jemena],OP_Rates_SME_1[[Rate name]:[Rate name]],$C46)+
SUMIFS(OP_RatesTU_SME_1[Jemena],OP_RatesTU_SME_1[[Rate name]:[Rate name]],
IF($D46&lt;&gt;"$",$C46,LEFT($C46,LEN($C46)-FIND(" - supply",$C46)-1))),4),
0,1)</f>
        <v>0</v>
      </c>
      <c r="T46" s="67">
        <f>IF(ROUND(T11,4)=ROUND(
SUMIFS(OP_Rates_SME_1[Powercor],OP_Rates_SME_1[[Rate name]:[Rate name]],$C46)+
SUMIFS(OP_RatesTU_SME_1[Powercor],OP_RatesTU_SME_1[[Rate name]:[Rate name]],
IF($D46&lt;&gt;"$",$C46,LEFT($C46,LEN($C46)-FIND(" - supply",$C46)-1))),4),
0,1)</f>
        <v>0</v>
      </c>
      <c r="U46" s="67">
        <f>IF(ROUND(U11,4)=ROUND(
SUMIFS(OP_Rates_SME_1[United Energy],OP_Rates_SME_1[[Rate name]:[Rate name]],$C46)+
SUMIFS(OP_RatesTU_SME_1[United Energy],OP_RatesTU_SME_1[[Rate name]:[Rate name]],
IF($D46&lt;&gt;"$",$C46,LEFT($C46,LEN($C46)-FIND(" - supply",$C46)-1))),4),
0,1)</f>
        <v>0</v>
      </c>
    </row>
    <row r="47" spans="3:21" ht="15.75" hidden="1" outlineLevel="2" x14ac:dyDescent="0.25">
      <c r="C47" s="39" t="s">
        <v>77</v>
      </c>
      <c r="D47" s="39" t="s">
        <v>75</v>
      </c>
      <c r="E47" s="39" t="s">
        <v>72</v>
      </c>
      <c r="G47" s="67">
        <f>IF(ROUND(G12,4)=ROUND(
SUMIFS(OP_Rates_RES_1[Ausnet],OP_Rates_RES_1[[Rate name]:[Rate name]],$C47)+
SUMIFS(OP_RatesTU_RES_1[Ausnet],OP_RatesTU_RES_1[[Rate name]:[Rate name]],
IF($D47&lt;&gt;"$",$C47,LEFT($C47,LEN($C47)-FIND(" - supply",$C47)-1))),4),
0,1)</f>
        <v>0</v>
      </c>
      <c r="H47" s="67">
        <f>IF(ROUND(H12,4)=ROUND(
SUMIFS(OP_Rates_RES_1[Citipower],OP_Rates_RES_1[[Rate name]:[Rate name]],$C47)+
SUMIFS(OP_RatesTU_RES_1[Citipower],OP_RatesTU_RES_1[[Rate name]:[Rate name]],
IF($D47&lt;&gt;"$",$C47,LEFT($C47,LEN($C47)-FIND(" - supply",$C47)-1))),4),
0,1)</f>
        <v>0</v>
      </c>
      <c r="I47" s="67">
        <f>IF(ROUND(I12,4)=ROUND(
SUMIFS(OP_Rates_RES_1[Jemena],OP_Rates_RES_1[[Rate name]:[Rate name]],$C47)+
SUMIFS(OP_RatesTU_RES_1[Jemena],OP_RatesTU_RES_1[[Rate name]:[Rate name]],
IF($D47&lt;&gt;"$",$C47,LEFT($C47,LEN($C47)-FIND(" - supply",$C47)-1))),4),
0,1)</f>
        <v>0</v>
      </c>
      <c r="J47" s="67">
        <f>IF(ROUND(J12,4)=ROUND(
SUMIFS(OP_Rates_RES_1[Powercor],OP_Rates_RES_1[[Rate name]:[Rate name]],$C47)+
SUMIFS(OP_RatesTU_RES_1[Powercor],OP_RatesTU_RES_1[[Rate name]:[Rate name]],
IF($D47&lt;&gt;"$",$C47,LEFT($C47,LEN($C47)-FIND(" - supply",$C47)-1))),4),
0,1)</f>
        <v>0</v>
      </c>
      <c r="K47" s="67">
        <f>IF(ROUND(K12,4)=ROUND(
SUMIFS(OP_Rates_RES_1[United Energy],OP_Rates_RES_1[[Rate name]:[Rate name]],$C47)+
SUMIFS(OP_RatesTU_RES_1[United Energy],OP_RatesTU_RES_1[[Rate name]:[Rate name]],
IF($D47&lt;&gt;"$",$C47,LEFT($C47,LEN($C47)-FIND(" - supply",$C47)-1))),4),
0,1)</f>
        <v>0</v>
      </c>
      <c r="M47" s="39" t="s">
        <v>77</v>
      </c>
      <c r="N47" s="39" t="s">
        <v>75</v>
      </c>
      <c r="O47" s="39" t="s">
        <v>73</v>
      </c>
      <c r="Q47" s="67">
        <f>IF(ROUND(Q12,4)=ROUND(
SUMIFS(OP_Rates_SME_1[Ausnet],OP_Rates_SME_1[[Rate name]:[Rate name]],$C47)+
SUMIFS(OP_RatesTU_SME_1[Ausnet],OP_RatesTU_SME_1[[Rate name]:[Rate name]],
IF($D47&lt;&gt;"$",$C47,LEFT($C47,LEN($C47)-FIND(" - supply",$C47)-1))),4),
0,1)</f>
        <v>0</v>
      </c>
      <c r="R47" s="67">
        <f>IF(ROUND(R12,4)=ROUND(
SUMIFS(OP_Rates_SME_1[Citipower],OP_Rates_SME_1[[Rate name]:[Rate name]],$C47)+
SUMIFS(OP_RatesTU_SME_1[Citipower],OP_RatesTU_SME_1[[Rate name]:[Rate name]],
IF($D47&lt;&gt;"$",$C47,LEFT($C47,LEN($C47)-FIND(" - supply",$C47)-1))),4),
0,1)</f>
        <v>0</v>
      </c>
      <c r="S47" s="67">
        <f>IF(ROUND(S12,4)=ROUND(
SUMIFS(OP_Rates_SME_1[Jemena],OP_Rates_SME_1[[Rate name]:[Rate name]],$C47)+
SUMIFS(OP_RatesTU_SME_1[Jemena],OP_RatesTU_SME_1[[Rate name]:[Rate name]],
IF($D47&lt;&gt;"$",$C47,LEFT($C47,LEN($C47)-FIND(" - supply",$C47)-1))),4),
0,1)</f>
        <v>0</v>
      </c>
      <c r="T47" s="67">
        <f>IF(ROUND(T12,4)=ROUND(
SUMIFS(OP_Rates_SME_1[Powercor],OP_Rates_SME_1[[Rate name]:[Rate name]],$C47)+
SUMIFS(OP_RatesTU_SME_1[Powercor],OP_RatesTU_SME_1[[Rate name]:[Rate name]],
IF($D47&lt;&gt;"$",$C47,LEFT($C47,LEN($C47)-FIND(" - supply",$C47)-1))),4),
0,1)</f>
        <v>0</v>
      </c>
      <c r="U47" s="67">
        <f>IF(ROUND(U12,4)=ROUND(
SUMIFS(OP_Rates_SME_1[United Energy],OP_Rates_SME_1[[Rate name]:[Rate name]],$C47)+
SUMIFS(OP_RatesTU_SME_1[United Energy],OP_RatesTU_SME_1[[Rate name]:[Rate name]],
IF($D47&lt;&gt;"$",$C47,LEFT($C47,LEN($C47)-FIND(" - supply",$C47)-1))),4),
0,1)</f>
        <v>0</v>
      </c>
    </row>
    <row r="48" spans="3:21" ht="15.75" hidden="1" outlineLevel="2" x14ac:dyDescent="0.25">
      <c r="C48" s="39" t="s">
        <v>78</v>
      </c>
      <c r="D48" s="39" t="s">
        <v>71</v>
      </c>
      <c r="E48" s="39" t="s">
        <v>72</v>
      </c>
      <c r="G48" s="67">
        <f>IF(ROUND(G13,4)=ROUND(
SUMIFS(OP_Rates_RES_1[Ausnet],OP_Rates_RES_1[[Rate name]:[Rate name]],$C48)+
SUMIFS(OP_RatesTU_RES_1[Ausnet],OP_RatesTU_RES_1[[Rate name]:[Rate name]],
IF($D48&lt;&gt;"$",$C48,LEFT($C48,LEN($C48)-FIND(" - supply",$C48)-1))),4),
0,1)</f>
        <v>0</v>
      </c>
      <c r="H48" s="67">
        <f>IF(ROUND(H13,4)=ROUND(
SUMIFS(OP_Rates_RES_1[Citipower],OP_Rates_RES_1[[Rate name]:[Rate name]],$C48)+
SUMIFS(OP_RatesTU_RES_1[Citipower],OP_RatesTU_RES_1[[Rate name]:[Rate name]],
IF($D48&lt;&gt;"$",$C48,LEFT($C48,LEN($C48)-FIND(" - supply",$C48)-1))),4),
0,1)</f>
        <v>0</v>
      </c>
      <c r="I48" s="67">
        <f>IF(ROUND(I13,4)=ROUND(
SUMIFS(OP_Rates_RES_1[Jemena],OP_Rates_RES_1[[Rate name]:[Rate name]],$C48)+
SUMIFS(OP_RatesTU_RES_1[Jemena],OP_RatesTU_RES_1[[Rate name]:[Rate name]],
IF($D48&lt;&gt;"$",$C48,LEFT($C48,LEN($C48)-FIND(" - supply",$C48)-1))),4),
0,1)</f>
        <v>0</v>
      </c>
      <c r="J48" s="67">
        <f>IF(ROUND(J13,4)=ROUND(
SUMIFS(OP_Rates_RES_1[Powercor],OP_Rates_RES_1[[Rate name]:[Rate name]],$C48)+
SUMIFS(OP_RatesTU_RES_1[Powercor],OP_RatesTU_RES_1[[Rate name]:[Rate name]],
IF($D48&lt;&gt;"$",$C48,LEFT($C48,LEN($C48)-FIND(" - supply",$C48)-1))),4),
0,1)</f>
        <v>0</v>
      </c>
      <c r="K48" s="67">
        <f>IF(ROUND(K13,4)=ROUND(
SUMIFS(OP_Rates_RES_1[United Energy],OP_Rates_RES_1[[Rate name]:[Rate name]],$C48)+
SUMIFS(OP_RatesTU_RES_1[United Energy],OP_RatesTU_RES_1[[Rate name]:[Rate name]],
IF($D48&lt;&gt;"$",$C48,LEFT($C48,LEN($C48)-FIND(" - supply",$C48)-1))),4),
0,1)</f>
        <v>0</v>
      </c>
      <c r="M48" s="39" t="s">
        <v>78</v>
      </c>
      <c r="N48" s="39" t="s">
        <v>71</v>
      </c>
      <c r="O48" s="39" t="s">
        <v>73</v>
      </c>
      <c r="Q48" s="67">
        <f>IF(ROUND(Q13,4)=ROUND(
SUMIFS(OP_Rates_SME_1[Ausnet],OP_Rates_SME_1[[Rate name]:[Rate name]],$C48)+
SUMIFS(OP_RatesTU_SME_1[Ausnet],OP_RatesTU_SME_1[[Rate name]:[Rate name]],
IF($D48&lt;&gt;"$",$C48,LEFT($C48,LEN($C48)-FIND(" - supply",$C48)-1))),4),
0,1)</f>
        <v>0</v>
      </c>
      <c r="R48" s="67">
        <f>IF(ROUND(R13,4)=ROUND(
SUMIFS(OP_Rates_SME_1[Citipower],OP_Rates_SME_1[[Rate name]:[Rate name]],$C48)+
SUMIFS(OP_RatesTU_SME_1[Citipower],OP_RatesTU_SME_1[[Rate name]:[Rate name]],
IF($D48&lt;&gt;"$",$C48,LEFT($C48,LEN($C48)-FIND(" - supply",$C48)-1))),4),
0,1)</f>
        <v>0</v>
      </c>
      <c r="S48" s="67">
        <f>IF(ROUND(S13,4)=ROUND(
SUMIFS(OP_Rates_SME_1[Jemena],OP_Rates_SME_1[[Rate name]:[Rate name]],$C48)+
SUMIFS(OP_RatesTU_SME_1[Jemena],OP_RatesTU_SME_1[[Rate name]:[Rate name]],
IF($D48&lt;&gt;"$",$C48,LEFT($C48,LEN($C48)-FIND(" - supply",$C48)-1))),4),
0,1)</f>
        <v>0</v>
      </c>
      <c r="T48" s="67">
        <f>IF(ROUND(T13,4)=ROUND(
SUMIFS(OP_Rates_SME_1[Powercor],OP_Rates_SME_1[[Rate name]:[Rate name]],$C48)+
SUMIFS(OP_RatesTU_SME_1[Powercor],OP_RatesTU_SME_1[[Rate name]:[Rate name]],
IF($D48&lt;&gt;"$",$C48,LEFT($C48,LEN($C48)-FIND(" - supply",$C48)-1))),4),
0,1)</f>
        <v>0</v>
      </c>
      <c r="U48" s="67">
        <f>IF(ROUND(U13,4)=ROUND(
SUMIFS(OP_Rates_SME_1[United Energy],OP_Rates_SME_1[[Rate name]:[Rate name]],$C48)+
SUMIFS(OP_RatesTU_SME_1[United Energy],OP_RatesTU_SME_1[[Rate name]:[Rate name]],
IF($D48&lt;&gt;"$",$C48,LEFT($C48,LEN($C48)-FIND(" - supply",$C48)-1))),4),
0,1)</f>
        <v>0</v>
      </c>
    </row>
    <row r="49" spans="3:21" ht="15.75" hidden="1" outlineLevel="2" x14ac:dyDescent="0.25">
      <c r="C49" s="39" t="s">
        <v>79</v>
      </c>
      <c r="D49" s="39" t="s">
        <v>75</v>
      </c>
      <c r="E49" s="39" t="s">
        <v>72</v>
      </c>
      <c r="G49" s="67">
        <f>IF(ROUND(G14,4)=ROUND(
SUMIFS(OP_Rates_RES_1[Ausnet],OP_Rates_RES_1[[Rate name]:[Rate name]],$C49)+
SUMIFS(OP_RatesTU_RES_1[Ausnet],OP_RatesTU_RES_1[[Rate name]:[Rate name]],
IF($D49&lt;&gt;"$",$C49,LEFT($C49,LEN($C49)-FIND(" - supply",$C49)-1))),4),
0,1)</f>
        <v>0</v>
      </c>
      <c r="H49" s="67">
        <f>IF(ROUND(H14,4)=ROUND(
SUMIFS(OP_Rates_RES_1[Citipower],OP_Rates_RES_1[[Rate name]:[Rate name]],$C49)+
SUMIFS(OP_RatesTU_RES_1[Citipower],OP_RatesTU_RES_1[[Rate name]:[Rate name]],
IF($D49&lt;&gt;"$",$C49,LEFT($C49,LEN($C49)-FIND(" - supply",$C49)-1))),4),
0,1)</f>
        <v>0</v>
      </c>
      <c r="I49" s="67">
        <f>IF(ROUND(I14,4)=ROUND(
SUMIFS(OP_Rates_RES_1[Jemena],OP_Rates_RES_1[[Rate name]:[Rate name]],$C49)+
SUMIFS(OP_RatesTU_RES_1[Jemena],OP_RatesTU_RES_1[[Rate name]:[Rate name]],
IF($D49&lt;&gt;"$",$C49,LEFT($C49,LEN($C49)-FIND(" - supply",$C49)-1))),4),
0,1)</f>
        <v>0</v>
      </c>
      <c r="J49" s="67">
        <f>IF(ROUND(J14,4)=ROUND(
SUMIFS(OP_Rates_RES_1[Powercor],OP_Rates_RES_1[[Rate name]:[Rate name]],$C49)+
SUMIFS(OP_RatesTU_RES_1[Powercor],OP_RatesTU_RES_1[[Rate name]:[Rate name]],
IF($D49&lt;&gt;"$",$C49,LEFT($C49,LEN($C49)-FIND(" - supply",$C49)-1))),4),
0,1)</f>
        <v>0</v>
      </c>
      <c r="K49" s="67">
        <f>IF(ROUND(K14,4)=ROUND(
SUMIFS(OP_Rates_RES_1[United Energy],OP_Rates_RES_1[[Rate name]:[Rate name]],$C49)+
SUMIFS(OP_RatesTU_RES_1[United Energy],OP_RatesTU_RES_1[[Rate name]:[Rate name]],
IF($D49&lt;&gt;"$",$C49,LEFT($C49,LEN($C49)-FIND(" - supply",$C49)-1))),4),
0,1)</f>
        <v>0</v>
      </c>
      <c r="M49" s="39" t="s">
        <v>79</v>
      </c>
      <c r="N49" s="39" t="s">
        <v>75</v>
      </c>
      <c r="O49" s="39" t="s">
        <v>73</v>
      </c>
      <c r="Q49" s="67">
        <f>IF(ROUND(Q14,4)=ROUND(
SUMIFS(OP_Rates_SME_1[Ausnet],OP_Rates_SME_1[[Rate name]:[Rate name]],$C49)+
SUMIFS(OP_RatesTU_SME_1[Ausnet],OP_RatesTU_SME_1[[Rate name]:[Rate name]],
IF($D49&lt;&gt;"$",$C49,LEFT($C49,LEN($C49)-FIND(" - supply",$C49)-1))),4),
0,1)</f>
        <v>0</v>
      </c>
      <c r="R49" s="67">
        <f>IF(ROUND(R14,4)=ROUND(
SUMIFS(OP_Rates_SME_1[Citipower],OP_Rates_SME_1[[Rate name]:[Rate name]],$C49)+
SUMIFS(OP_RatesTU_SME_1[Citipower],OP_RatesTU_SME_1[[Rate name]:[Rate name]],
IF($D49&lt;&gt;"$",$C49,LEFT($C49,LEN($C49)-FIND(" - supply",$C49)-1))),4),
0,1)</f>
        <v>0</v>
      </c>
      <c r="S49" s="67">
        <f>IF(ROUND(S14,4)=ROUND(
SUMIFS(OP_Rates_SME_1[Jemena],OP_Rates_SME_1[[Rate name]:[Rate name]],$C49)+
SUMIFS(OP_RatesTU_SME_1[Jemena],OP_RatesTU_SME_1[[Rate name]:[Rate name]],
IF($D49&lt;&gt;"$",$C49,LEFT($C49,LEN($C49)-FIND(" - supply",$C49)-1))),4),
0,1)</f>
        <v>0</v>
      </c>
      <c r="T49" s="67">
        <f>IF(ROUND(T14,4)=ROUND(
SUMIFS(OP_Rates_SME_1[Powercor],OP_Rates_SME_1[[Rate name]:[Rate name]],$C49)+
SUMIFS(OP_RatesTU_SME_1[Powercor],OP_RatesTU_SME_1[[Rate name]:[Rate name]],
IF($D49&lt;&gt;"$",$C49,LEFT($C49,LEN($C49)-FIND(" - supply",$C49)-1))),4),
0,1)</f>
        <v>0</v>
      </c>
      <c r="U49" s="67">
        <f>IF(ROUND(U14,4)=ROUND(
SUMIFS(OP_Rates_SME_1[United Energy],OP_Rates_SME_1[[Rate name]:[Rate name]],$C49)+
SUMIFS(OP_RatesTU_SME_1[United Energy],OP_RatesTU_SME_1[[Rate name]:[Rate name]],
IF($D49&lt;&gt;"$",$C49,LEFT($C49,LEN($C49)-FIND(" - supply",$C49)-1))),4),
0,1)</f>
        <v>0</v>
      </c>
    </row>
    <row r="50" spans="3:21" ht="15.75" hidden="1" outlineLevel="2" x14ac:dyDescent="0.25">
      <c r="C50" s="39" t="s">
        <v>80</v>
      </c>
      <c r="D50" s="39" t="s">
        <v>75</v>
      </c>
      <c r="E50" s="39" t="s">
        <v>72</v>
      </c>
      <c r="G50" s="67">
        <f>IF(ROUND(G15,4)=ROUND(
SUMIFS(OP_Rates_RES_1[Ausnet],OP_Rates_RES_1[[Rate name]:[Rate name]],$C50)+
SUMIFS(OP_RatesTU_RES_1[Ausnet],OP_RatesTU_RES_1[[Rate name]:[Rate name]],
IF($D50&lt;&gt;"$",$C50,LEFT($C50,LEN($C50)-FIND(" - supply",$C50)-1))),4),
0,1)</f>
        <v>0</v>
      </c>
      <c r="H50" s="67">
        <f>IF(ROUND(H15,4)=ROUND(
SUMIFS(OP_Rates_RES_1[Citipower],OP_Rates_RES_1[[Rate name]:[Rate name]],$C50)+
SUMIFS(OP_RatesTU_RES_1[Citipower],OP_RatesTU_RES_1[[Rate name]:[Rate name]],
IF($D50&lt;&gt;"$",$C50,LEFT($C50,LEN($C50)-FIND(" - supply",$C50)-1))),4),
0,1)</f>
        <v>0</v>
      </c>
      <c r="I50" s="67">
        <f>IF(ROUND(I15,4)=ROUND(
SUMIFS(OP_Rates_RES_1[Jemena],OP_Rates_RES_1[[Rate name]:[Rate name]],$C50)+
SUMIFS(OP_RatesTU_RES_1[Jemena],OP_RatesTU_RES_1[[Rate name]:[Rate name]],
IF($D50&lt;&gt;"$",$C50,LEFT($C50,LEN($C50)-FIND(" - supply",$C50)-1))),4),
0,1)</f>
        <v>0</v>
      </c>
      <c r="J50" s="67">
        <f>IF(ROUND(J15,4)=ROUND(
SUMIFS(OP_Rates_RES_1[Powercor],OP_Rates_RES_1[[Rate name]:[Rate name]],$C50)+
SUMIFS(OP_RatesTU_RES_1[Powercor],OP_RatesTU_RES_1[[Rate name]:[Rate name]],
IF($D50&lt;&gt;"$",$C50,LEFT($C50,LEN($C50)-FIND(" - supply",$C50)-1))),4),
0,1)</f>
        <v>0</v>
      </c>
      <c r="K50" s="67">
        <f>IF(ROUND(K15,4)=ROUND(
SUMIFS(OP_Rates_RES_1[United Energy],OP_Rates_RES_1[[Rate name]:[Rate name]],$C50)+
SUMIFS(OP_RatesTU_RES_1[United Energy],OP_RatesTU_RES_1[[Rate name]:[Rate name]],
IF($D50&lt;&gt;"$",$C50,LEFT($C50,LEN($C50)-FIND(" - supply",$C50)-1))),4),
0,1)</f>
        <v>0</v>
      </c>
      <c r="M50" s="39" t="s">
        <v>80</v>
      </c>
      <c r="N50" s="39" t="s">
        <v>75</v>
      </c>
      <c r="O50" s="39" t="s">
        <v>73</v>
      </c>
      <c r="Q50" s="67">
        <f>IF(ROUND(Q15,4)=ROUND(
SUMIFS(OP_Rates_SME_1[Ausnet],OP_Rates_SME_1[[Rate name]:[Rate name]],$C50)+
SUMIFS(OP_RatesTU_SME_1[Ausnet],OP_RatesTU_SME_1[[Rate name]:[Rate name]],
IF($D50&lt;&gt;"$",$C50,LEFT($C50,LEN($C50)-FIND(" - supply",$C50)-1))),4),
0,1)</f>
        <v>0</v>
      </c>
      <c r="R50" s="67">
        <f>IF(ROUND(R15,4)=ROUND(
SUMIFS(OP_Rates_SME_1[Citipower],OP_Rates_SME_1[[Rate name]:[Rate name]],$C50)+
SUMIFS(OP_RatesTU_SME_1[Citipower],OP_RatesTU_SME_1[[Rate name]:[Rate name]],
IF($D50&lt;&gt;"$",$C50,LEFT($C50,LEN($C50)-FIND(" - supply",$C50)-1))),4),
0,1)</f>
        <v>0</v>
      </c>
      <c r="S50" s="67">
        <f>IF(ROUND(S15,4)=ROUND(
SUMIFS(OP_Rates_SME_1[Jemena],OP_Rates_SME_1[[Rate name]:[Rate name]],$C50)+
SUMIFS(OP_RatesTU_SME_1[Jemena],OP_RatesTU_SME_1[[Rate name]:[Rate name]],
IF($D50&lt;&gt;"$",$C50,LEFT($C50,LEN($C50)-FIND(" - supply",$C50)-1))),4),
0,1)</f>
        <v>0</v>
      </c>
      <c r="T50" s="67">
        <f>IF(ROUND(T15,4)=ROUND(
SUMIFS(OP_Rates_SME_1[Powercor],OP_Rates_SME_1[[Rate name]:[Rate name]],$C50)+
SUMIFS(OP_RatesTU_SME_1[Powercor],OP_RatesTU_SME_1[[Rate name]:[Rate name]],
IF($D50&lt;&gt;"$",$C50,LEFT($C50,LEN($C50)-FIND(" - supply",$C50)-1))),4),
0,1)</f>
        <v>0</v>
      </c>
      <c r="U50" s="67">
        <f>IF(ROUND(U15,4)=ROUND(
SUMIFS(OP_Rates_SME_1[United Energy],OP_Rates_SME_1[[Rate name]:[Rate name]],$C50)+
SUMIFS(OP_RatesTU_SME_1[United Energy],OP_RatesTU_SME_1[[Rate name]:[Rate name]],
IF($D50&lt;&gt;"$",$C50,LEFT($C50,LEN($C50)-FIND(" - supply",$C50)-1))),4),
0,1)</f>
        <v>0</v>
      </c>
    </row>
    <row r="51" spans="3:21" ht="15.75" hidden="1" outlineLevel="2" x14ac:dyDescent="0.25">
      <c r="C51" s="39" t="s">
        <v>81</v>
      </c>
      <c r="D51" s="39" t="s">
        <v>75</v>
      </c>
      <c r="E51" s="39" t="s">
        <v>72</v>
      </c>
      <c r="G51" s="67">
        <f>IF(ROUND(G16,4)=ROUND(
SUMIFS(OP_Rates_RES_1[Ausnet],OP_Rates_RES_1[[Rate name]:[Rate name]],$C51)+
SUMIFS(OP_RatesTU_RES_1[Ausnet],OP_RatesTU_RES_1[[Rate name]:[Rate name]],
IF($D51&lt;&gt;"$",$C51,LEFT($C51,LEN($C51)-FIND(" - supply",$C51)-1))),4),
0,1)</f>
        <v>0</v>
      </c>
      <c r="H51" s="67">
        <f>IF(ROUND(H16,4)=ROUND(
SUMIFS(OP_Rates_RES_1[Citipower],OP_Rates_RES_1[[Rate name]:[Rate name]],$C51)+
SUMIFS(OP_RatesTU_RES_1[Citipower],OP_RatesTU_RES_1[[Rate name]:[Rate name]],
IF($D51&lt;&gt;"$",$C51,LEFT($C51,LEN($C51)-FIND(" - supply",$C51)-1))),4),
0,1)</f>
        <v>0</v>
      </c>
      <c r="I51" s="67">
        <f>IF(ROUND(I16,4)=ROUND(
SUMIFS(OP_Rates_RES_1[Jemena],OP_Rates_RES_1[[Rate name]:[Rate name]],$C51)+
SUMIFS(OP_RatesTU_RES_1[Jemena],OP_RatesTU_RES_1[[Rate name]:[Rate name]],
IF($D51&lt;&gt;"$",$C51,LEFT($C51,LEN($C51)-FIND(" - supply",$C51)-1))),4),
0,1)</f>
        <v>0</v>
      </c>
      <c r="J51" s="67">
        <f>IF(ROUND(J16,4)=ROUND(
SUMIFS(OP_Rates_RES_1[Powercor],OP_Rates_RES_1[[Rate name]:[Rate name]],$C51)+
SUMIFS(OP_RatesTU_RES_1[Powercor],OP_RatesTU_RES_1[[Rate name]:[Rate name]],
IF($D51&lt;&gt;"$",$C51,LEFT($C51,LEN($C51)-FIND(" - supply",$C51)-1))),4),
0,1)</f>
        <v>0</v>
      </c>
      <c r="K51" s="67">
        <f>IF(ROUND(K16,4)=ROUND(
SUMIFS(OP_Rates_RES_1[United Energy],OP_Rates_RES_1[[Rate name]:[Rate name]],$C51)+
SUMIFS(OP_RatesTU_RES_1[United Energy],OP_RatesTU_RES_1[[Rate name]:[Rate name]],
IF($D51&lt;&gt;"$",$C51,LEFT($C51,LEN($C51)-FIND(" - supply",$C51)-1))),4),
0,1)</f>
        <v>0</v>
      </c>
      <c r="M51" s="39"/>
      <c r="N51" s="39"/>
      <c r="O51" s="39"/>
      <c r="Q51" s="67"/>
      <c r="R51" s="67"/>
      <c r="S51" s="67"/>
      <c r="T51" s="67"/>
      <c r="U51" s="67"/>
    </row>
    <row r="52" spans="3:21" hidden="1" outlineLevel="2" x14ac:dyDescent="0.25"/>
    <row r="53" spans="3:21" ht="15.75" hidden="1" outlineLevel="2" x14ac:dyDescent="0.25">
      <c r="C53" s="20" t="str">
        <f>C$18&amp;" - checks"</f>
        <v>Residential calculated rate - checks</v>
      </c>
      <c r="M53" s="20" t="str">
        <f>M$18&amp;" - checks"</f>
        <v>Small business calculated rate - checks</v>
      </c>
    </row>
    <row r="54" spans="3:21" ht="15.75" hidden="1" outlineLevel="2" x14ac:dyDescent="0.25">
      <c r="C54" s="29" t="s">
        <v>61</v>
      </c>
      <c r="D54" s="29" t="s">
        <v>62</v>
      </c>
      <c r="E54" s="29" t="s">
        <v>63</v>
      </c>
      <c r="G54" s="32" t="s">
        <v>65</v>
      </c>
      <c r="H54" s="32" t="s">
        <v>66</v>
      </c>
      <c r="I54" s="32" t="s">
        <v>67</v>
      </c>
      <c r="J54" s="32" t="s">
        <v>68</v>
      </c>
      <c r="K54" s="32" t="s">
        <v>69</v>
      </c>
      <c r="M54" s="29" t="s">
        <v>61</v>
      </c>
      <c r="N54" s="29" t="s">
        <v>62</v>
      </c>
      <c r="O54" s="29" t="s">
        <v>63</v>
      </c>
      <c r="Q54" s="32" t="s">
        <v>65</v>
      </c>
      <c r="R54" s="32" t="s">
        <v>66</v>
      </c>
      <c r="S54" s="32" t="s">
        <v>67</v>
      </c>
      <c r="T54" s="32" t="s">
        <v>68</v>
      </c>
      <c r="U54" s="32" t="s">
        <v>69</v>
      </c>
    </row>
    <row r="55" spans="3:21" ht="15.75" hidden="1" outlineLevel="2" x14ac:dyDescent="0.25">
      <c r="C55" s="14" t="s">
        <v>70</v>
      </c>
      <c r="D55" s="14" t="s">
        <v>71</v>
      </c>
      <c r="E55" s="14" t="s">
        <v>72</v>
      </c>
      <c r="G55" s="67" cm="1">
        <f t="array" ref="G55">IF(G20="-","-",
IF(ROUND(G20,8)=
ROUND(((
(SUMIFS(Calc_NetworkF_1[Ausnet],Calc_NetworkF_1[[Cost item]:[Cost item]],$C55,Calc_NetworkF_1[[Customer type]:[Customer type]],$E55)+
SUMIFS(Calc_Fixed_1[Ausnet],Calc_Fixed_1[[Customer type]:[Customer type]],"All")+
SUMIFS(Calc_Fixed_1[Ausnet],Calc_Fixed_1[[Customer type]:[Customer type]],$E55))/DiY)*(1+Calc_ROM_1[Ausnet]))*(1+GST),8),0,1))</f>
        <v>0</v>
      </c>
      <c r="H55" s="67" cm="1">
        <f t="array" ref="H55">IF(H20="-","-",
IF(ROUND(H20,8)=
ROUND(((
(SUMIFS(Calc_NetworkF_1[Citipower],Calc_NetworkF_1[[Cost item]:[Cost item]],$C55,Calc_NetworkF_1[[Customer type]:[Customer type]],$E55)+
SUMIFS(Calc_Fixed_1[Citipower],Calc_Fixed_1[[Customer type]:[Customer type]],"All")+
SUMIFS(Calc_Fixed_1[Citipower],Calc_Fixed_1[[Customer type]:[Customer type]],$E55))/DiY)*(1+Calc_ROM_1[Citipower]))*(1+GST),8),0,1))</f>
        <v>0</v>
      </c>
      <c r="I55" s="67" cm="1">
        <f t="array" ref="I55">IF(I20="-","-",
IF(ROUND(I20,8)=
ROUND(((
(SUMIFS(Calc_NetworkF_1[Jemena],Calc_NetworkF_1[[Cost item]:[Cost item]],$C55,Calc_NetworkF_1[[Customer type]:[Customer type]],$E55)+
SUMIFS(Calc_Fixed_1[Jemena],Calc_Fixed_1[[Customer type]:[Customer type]],"All")+
SUMIFS(Calc_Fixed_1[Jemena],Calc_Fixed_1[[Customer type]:[Customer type]],$E55))/DiY)*(1+Calc_ROM_1[Jemena]))*(1+GST),8),0,1))</f>
        <v>0</v>
      </c>
      <c r="J55" s="67" cm="1">
        <f t="array" ref="J55">IF(J20="-","-",
IF(ROUND(J20,8)=
ROUND(((
(SUMIFS(Calc_NetworkF_1[Powercor],Calc_NetworkF_1[[Cost item]:[Cost item]],$C55,Calc_NetworkF_1[[Customer type]:[Customer type]],$E55)+
SUMIFS(Calc_Fixed_1[Powercor],Calc_Fixed_1[[Customer type]:[Customer type]],"All")+
SUMIFS(Calc_Fixed_1[Powercor],Calc_Fixed_1[[Customer type]:[Customer type]],$E55))/DiY)*(1+Calc_ROM_1[Powercor]))*(1+GST),8),0,1))</f>
        <v>0</v>
      </c>
      <c r="K55" s="67" cm="1">
        <f t="array" ref="K55">IF(K20="-","-",
IF(ROUND(K20,8)=
ROUND(((
(SUMIFS(Calc_NetworkF_1[United Energy],Calc_NetworkF_1[[Cost item]:[Cost item]],$C55,Calc_NetworkF_1[[Customer type]:[Customer type]],$E55)+
SUMIFS(Calc_Fixed_1[United Energy],Calc_Fixed_1[[Customer type]:[Customer type]],"All")+
SUMIFS(Calc_Fixed_1[United Energy],Calc_Fixed_1[[Customer type]:[Customer type]],$E55))/DiY)*(1+Calc_ROM_1[United Energy]))*(1+GST),8),0,1))</f>
        <v>0</v>
      </c>
      <c r="M55" s="14" t="s">
        <v>70</v>
      </c>
      <c r="N55" s="14" t="s">
        <v>71</v>
      </c>
      <c r="O55" s="14" t="s">
        <v>73</v>
      </c>
      <c r="Q55" s="67" cm="1">
        <f t="array" ref="Q55">IF(Q20="-","-",
IF(ROUND(Q20,8)=
ROUND(((
(SUMIFS(Calc_NetworkF_1[Ausnet],Calc_NetworkF_1[[Cost item]:[Cost item]],$M55,Calc_NetworkF_1[[Customer type]:[Customer type]],$O55)+
SUMIFS(Calc_Fixed_1[Ausnet],Calc_Fixed_1[[Customer type]:[Customer type]],"All")+
SUMIFS(Calc_Fixed_1[Ausnet],Calc_Fixed_1[[Customer type]:[Customer type]],$O55))/DiY)*(1+Calc_ROM_1[Ausnet]))*(1+GST),8),0,1))</f>
        <v>0</v>
      </c>
      <c r="R55" s="67" cm="1">
        <f t="array" ref="R55">IF(R20="-","-",
IF(ROUND(R20,8)=
ROUND(((
(SUMIFS(Calc_NetworkF_1[Citipower],Calc_NetworkF_1[[Cost item]:[Cost item]],$M55,Calc_NetworkF_1[[Customer type]:[Customer type]],$O55)+
SUMIFS(Calc_Fixed_1[Citipower],Calc_Fixed_1[[Customer type]:[Customer type]],"All")+
SUMIFS(Calc_Fixed_1[Citipower],Calc_Fixed_1[[Customer type]:[Customer type]],$O55))/DiY)*(1+Calc_ROM_1[Citipower]))*(1+GST),8),0,1))</f>
        <v>0</v>
      </c>
      <c r="S55" s="67" cm="1">
        <f t="array" ref="S55">IF(S20="-","-",
IF(ROUND(S20,8)=
ROUND(((
(SUMIFS(Calc_NetworkF_1[Jemena],Calc_NetworkF_1[[Cost item]:[Cost item]],$M55,Calc_NetworkF_1[[Customer type]:[Customer type]],$O55)+
SUMIFS(Calc_Fixed_1[Jemena],Calc_Fixed_1[[Customer type]:[Customer type]],"All")+
SUMIFS(Calc_Fixed_1[Jemena],Calc_Fixed_1[[Customer type]:[Customer type]],$O55))/DiY)*(1+Calc_ROM_1[Jemena]))*(1+GST),8),0,1))</f>
        <v>0</v>
      </c>
      <c r="T55" s="67" cm="1">
        <f t="array" ref="T55">IF(T20="-","-",
IF(ROUND(T20,8)=
ROUND(((
(SUMIFS(Calc_NetworkF_1[Powercor],Calc_NetworkF_1[[Cost item]:[Cost item]],$M55,Calc_NetworkF_1[[Customer type]:[Customer type]],$O55)+
SUMIFS(Calc_Fixed_1[Powercor],Calc_Fixed_1[[Customer type]:[Customer type]],"All")+
SUMIFS(Calc_Fixed_1[Powercor],Calc_Fixed_1[[Customer type]:[Customer type]],$O55))/DiY)*(1+Calc_ROM_1[Powercor]))*(1+GST),8),0,1))</f>
        <v>0</v>
      </c>
      <c r="U55" s="67" cm="1">
        <f t="array" ref="U55">IF(U20="-","-",
IF(ROUND(U20,8)=
ROUND(((
(SUMIFS(Calc_NetworkF_1[United Energy],Calc_NetworkF_1[[Cost item]:[Cost item]],$M55,Calc_NetworkF_1[[Customer type]:[Customer type]],$O55)+
SUMIFS(Calc_Fixed_1[United Energy],Calc_Fixed_1[[Customer type]:[Customer type]],"All")+
SUMIFS(Calc_Fixed_1[United Energy],Calc_Fixed_1[[Customer type]:[Customer type]],$O55))/DiY)*(1+Calc_ROM_1[United Energy]))*(1+GST),8),0,1))</f>
        <v>0</v>
      </c>
    </row>
    <row r="56" spans="3:21" ht="15.75" hidden="1" outlineLevel="2" x14ac:dyDescent="0.25">
      <c r="C56" s="14" t="s">
        <v>74</v>
      </c>
      <c r="D56" s="14" t="s">
        <v>75</v>
      </c>
      <c r="E56" s="14" t="s">
        <v>72</v>
      </c>
      <c r="G56" s="67" cm="1">
        <f t="array" ref="G56">IF(G21="-","-",
IF(ROUND(G21,8)=ROUND(
((SUMIFS(Calc_Variable_1[Ausnet],Calc_Variable_1[[Customer type]:[Customer type]],"All")+
SUMIFS(Calc_Variable_1[Ausnet],Calc_Variable_1[[Customer type]:[Customer type]],OP_Rates!$E56)+
SUMIFS(Calc_NetworkV_1[Ausnet],Calc_NetworkV_1[[Customer type]:[Customer type]],OP_Rates!$E56,Calc_NetworkV_1[[Cost item]:[Cost item]],OP_Rates!$C56))*(1+Calc_ROM_1[Ausnet]))*(1+GST),8),0,1))</f>
        <v>0</v>
      </c>
      <c r="H56" s="67" t="str" cm="1">
        <f t="array" ref="H56">IF(H21="-","-",
IF(ROUND(H21,8)=ROUND(
((SUMIFS(Calc_Variable_1[Citipower],Calc_Variable_1[[Customer type]:[Customer type]],"All")+
SUMIFS(Calc_Variable_1[Citipower],Calc_Variable_1[[Customer type]:[Customer type]],OP_Rates!$E56)+
SUMIFS(Calc_NetworkV_1[Citipower],Calc_NetworkV_1[[Customer type]:[Customer type]],OP_Rates!$E56,Calc_NetworkV_1[[Cost item]:[Cost item]],OP_Rates!$C56))*(1+Calc_ROM_1[Citipower]))*(1+GST),8),0,1))</f>
        <v>-</v>
      </c>
      <c r="I56" s="67" t="str" cm="1">
        <f t="array" ref="I56">IF(I21="-","-",
IF(ROUND(I21,8)=ROUND(
((SUMIFS(Calc_Variable_1[Jemena],Calc_Variable_1[[Customer type]:[Customer type]],"All")+
SUMIFS(Calc_Variable_1[Jemena],Calc_Variable_1[[Customer type]:[Customer type]],OP_Rates!$E56)+
SUMIFS(Calc_NetworkV_1[Jemena],Calc_NetworkV_1[[Customer type]:[Customer type]],OP_Rates!$E56,Calc_NetworkV_1[[Cost item]:[Cost item]],OP_Rates!$C56))*(1+Calc_ROM_1[Jemena]))*(1+GST),8),0,1))</f>
        <v>-</v>
      </c>
      <c r="J56" s="67" t="str" cm="1">
        <f t="array" ref="J56">IF(J21="-","-",
IF(ROUND(J21,8)=ROUND(
((SUMIFS(Calc_Variable_1[Powercor],Calc_Variable_1[[Customer type]:[Customer type]],"All")+
SUMIFS(Calc_Variable_1[Powercor],Calc_Variable_1[[Customer type]:[Customer type]],OP_Rates!$E56)+
SUMIFS(Calc_NetworkV_1[Powercor],Calc_NetworkV_1[[Customer type]:[Customer type]],OP_Rates!$E56,Calc_NetworkV_1[[Cost item]:[Cost item]],OP_Rates!$C56))*(1+Calc_ROM_1[Powercor]))*(1+GST),8),0,1))</f>
        <v>-</v>
      </c>
      <c r="K56" s="67" t="str" cm="1">
        <f t="array" ref="K56">IF(K21="-","-",
IF(ROUND(K21,8)=ROUND(
((SUMIFS(Calc_Variable_1[United Energy],Calc_Variable_1[[Customer type]:[Customer type]],"All")+
SUMIFS(Calc_Variable_1[United Energy],Calc_Variable_1[[Customer type]:[Customer type]],OP_Rates!$E56)+
SUMIFS(Calc_NetworkV_1[United Energy],Calc_NetworkV_1[[Customer type]:[Customer type]],OP_Rates!$E56,Calc_NetworkV_1[[Cost item]:[Cost item]],OP_Rates!$C56))*(1+Calc_ROM_1[United Energy]))*(1+GST),8),0,1))</f>
        <v>-</v>
      </c>
      <c r="M56" s="14" t="s">
        <v>74</v>
      </c>
      <c r="N56" s="14" t="s">
        <v>75</v>
      </c>
      <c r="O56" s="14" t="s">
        <v>73</v>
      </c>
      <c r="Q56" s="67" cm="1">
        <f t="array" ref="Q56">IF(Q21="-","-",
IF(ROUND(Q21,8)=ROUND(
((SUMIFS(Calc_Variable_1[Ausnet],Calc_Variable_1[[Customer type]:[Customer type]],"All")+
SUMIFS(Calc_Variable_1[Ausnet],Calc_Variable_1[[Customer type]:[Customer type]],OP_Rates!$O56)+
SUMIFS(Calc_NetworkV_1[Ausnet],Calc_NetworkV_1[[Customer type]:[Customer type]],OP_Rates!$O56,Calc_NetworkV_1[[Cost item]:[Cost item]],OP_Rates!$M56))*(1+Calc_ROM_1[Ausnet]))*(1+GST),8),0,1))</f>
        <v>0</v>
      </c>
      <c r="R56" s="67" t="str" cm="1">
        <f t="array" ref="R56">IF(R21="-","-",
IF(ROUND(R21,8)=ROUND(
((SUMIFS(Calc_Variable_1[Citipower],Calc_Variable_1[[Customer type]:[Customer type]],"All")+
SUMIFS(Calc_Variable_1[Citipower],Calc_Variable_1[[Customer type]:[Customer type]],OP_Rates!$O56)+
SUMIFS(Calc_NetworkV_1[Citipower],Calc_NetworkV_1[[Customer type]:[Customer type]],OP_Rates!$O56,Calc_NetworkV_1[[Cost item]:[Cost item]],OP_Rates!$M56))*(1+Calc_ROM_1[Citipower]))*(1+GST),8),0,1))</f>
        <v>-</v>
      </c>
      <c r="S56" s="67" t="str" cm="1">
        <f t="array" ref="S56">IF(S21="-","-",
IF(ROUND(S21,8)=ROUND(
((SUMIFS(Calc_Variable_1[Jemena],Calc_Variable_1[[Customer type]:[Customer type]],"All")+
SUMIFS(Calc_Variable_1[Jemena],Calc_Variable_1[[Customer type]:[Customer type]],OP_Rates!$O56)+
SUMIFS(Calc_NetworkV_1[Jemena],Calc_NetworkV_1[[Customer type]:[Customer type]],OP_Rates!$O56,Calc_NetworkV_1[[Cost item]:[Cost item]],OP_Rates!$M56))*(1+Calc_ROM_1[Jemena]))*(1+GST),8),0,1))</f>
        <v>-</v>
      </c>
      <c r="T56" s="67" t="str" cm="1">
        <f t="array" ref="T56">IF(T21="-","-",
IF(ROUND(T21,8)=ROUND(
((SUMIFS(Calc_Variable_1[Powercor],Calc_Variable_1[[Customer type]:[Customer type]],"All")+
SUMIFS(Calc_Variable_1[Powercor],Calc_Variable_1[[Customer type]:[Customer type]],OP_Rates!$O56)+
SUMIFS(Calc_NetworkV_1[Powercor],Calc_NetworkV_1[[Customer type]:[Customer type]],OP_Rates!$O56,Calc_NetworkV_1[[Cost item]:[Cost item]],OP_Rates!$M56))*(1+Calc_ROM_1[Powercor]))*(1+GST),8),0,1))</f>
        <v>-</v>
      </c>
      <c r="U56" s="67" t="str" cm="1">
        <f t="array" ref="U56">IF(U21="-","-",
IF(ROUND(U21,8)=ROUND(
((SUMIFS(Calc_Variable_1[United Energy],Calc_Variable_1[[Customer type]:[Customer type]],"All")+
SUMIFS(Calc_Variable_1[United Energy],Calc_Variable_1[[Customer type]:[Customer type]],OP_Rates!$O56)+
SUMIFS(Calc_NetworkV_1[United Energy],Calc_NetworkV_1[[Customer type]:[Customer type]],OP_Rates!$O56,Calc_NetworkV_1[[Cost item]:[Cost item]],OP_Rates!$M56))*(1+Calc_ROM_1[United Energy]))*(1+GST),8),0,1))</f>
        <v>-</v>
      </c>
    </row>
    <row r="57" spans="3:21" ht="15.75" hidden="1" outlineLevel="2" x14ac:dyDescent="0.25">
      <c r="C57" s="14" t="s">
        <v>76</v>
      </c>
      <c r="D57" s="14" t="s">
        <v>75</v>
      </c>
      <c r="E57" s="14" t="s">
        <v>72</v>
      </c>
      <c r="G57" s="67" cm="1">
        <f t="array" ref="G57">IF(G22="-","-",
IF(ROUND(G22,8)=ROUND(
((SUMIFS(Calc_Variable_1[Ausnet],Calc_Variable_1[[Customer type]:[Customer type]],"All")+
SUMIFS(Calc_Variable_1[Ausnet],Calc_Variable_1[[Customer type]:[Customer type]],OP_Rates!$E57)+
SUMIFS(Calc_NetworkV_1[Ausnet],Calc_NetworkV_1[[Customer type]:[Customer type]],OP_Rates!$E57,Calc_NetworkV_1[[Cost item]:[Cost item]],OP_Rates!$C57))*(1+Calc_ROM_1[Ausnet]))*(1+GST),8),0,1))</f>
        <v>0</v>
      </c>
      <c r="H57" s="67" t="str" cm="1">
        <f t="array" ref="H57">IF(H22="-","-",
IF(ROUND(H22,8)=ROUND(
((SUMIFS(Calc_Variable_1[Citipower],Calc_Variable_1[[Customer type]:[Customer type]],"All")+
SUMIFS(Calc_Variable_1[Citipower],Calc_Variable_1[[Customer type]:[Customer type]],OP_Rates!$E57)+
SUMIFS(Calc_NetworkV_1[Citipower],Calc_NetworkV_1[[Customer type]:[Customer type]],OP_Rates!$E57,Calc_NetworkV_1[[Cost item]:[Cost item]],OP_Rates!$C57))*(1+Calc_ROM_1[Citipower]))*(1+GST),8),0,1))</f>
        <v>-</v>
      </c>
      <c r="I57" s="67" t="str" cm="1">
        <f t="array" ref="I57">IF(I22="-","-",
IF(ROUND(I22,8)=ROUND(
((SUMIFS(Calc_Variable_1[Jemena],Calc_Variable_1[[Customer type]:[Customer type]],"All")+
SUMIFS(Calc_Variable_1[Jemena],Calc_Variable_1[[Customer type]:[Customer type]],OP_Rates!$E57)+
SUMIFS(Calc_NetworkV_1[Jemena],Calc_NetworkV_1[[Customer type]:[Customer type]],OP_Rates!$E57,Calc_NetworkV_1[[Cost item]:[Cost item]],OP_Rates!$C57))*(1+Calc_ROM_1[Jemena]))*(1+GST),8),0,1))</f>
        <v>-</v>
      </c>
      <c r="J57" s="67" t="str" cm="1">
        <f t="array" ref="J57">IF(J22="-","-",
IF(ROUND(J22,8)=ROUND(
((SUMIFS(Calc_Variable_1[Powercor],Calc_Variable_1[[Customer type]:[Customer type]],"All")+
SUMIFS(Calc_Variable_1[Powercor],Calc_Variable_1[[Customer type]:[Customer type]],OP_Rates!$E57)+
SUMIFS(Calc_NetworkV_1[Powercor],Calc_NetworkV_1[[Customer type]:[Customer type]],OP_Rates!$E57,Calc_NetworkV_1[[Cost item]:[Cost item]],OP_Rates!$C57))*(1+Calc_ROM_1[Powercor]))*(1+GST),8),0,1))</f>
        <v>-</v>
      </c>
      <c r="K57" s="67" t="str" cm="1">
        <f t="array" ref="K57">IF(K22="-","-",
IF(ROUND(K22,8)=ROUND(
((SUMIFS(Calc_Variable_1[United Energy],Calc_Variable_1[[Customer type]:[Customer type]],"All")+
SUMIFS(Calc_Variable_1[United Energy],Calc_Variable_1[[Customer type]:[Customer type]],OP_Rates!$E57)+
SUMIFS(Calc_NetworkV_1[United Energy],Calc_NetworkV_1[[Customer type]:[Customer type]],OP_Rates!$E57,Calc_NetworkV_1[[Cost item]:[Cost item]],OP_Rates!$C57))*(1+Calc_ROM_1[United Energy]))*(1+GST),8),0,1))</f>
        <v>-</v>
      </c>
      <c r="M57" s="14" t="s">
        <v>76</v>
      </c>
      <c r="N57" s="14" t="s">
        <v>75</v>
      </c>
      <c r="O57" s="14" t="s">
        <v>73</v>
      </c>
      <c r="Q57" s="67" cm="1">
        <f t="array" ref="Q57">IF(Q22="-","-",
IF(ROUND(Q22,8)=ROUND(
((SUMIFS(Calc_Variable_1[Ausnet],Calc_Variable_1[[Customer type]:[Customer type]],"All")+
SUMIFS(Calc_Variable_1[Ausnet],Calc_Variable_1[[Customer type]:[Customer type]],OP_Rates!$O57)+
SUMIFS(Calc_NetworkV_1[Ausnet],Calc_NetworkV_1[[Customer type]:[Customer type]],OP_Rates!$O57,Calc_NetworkV_1[[Cost item]:[Cost item]],OP_Rates!$M57))*(1+Calc_ROM_1[Ausnet]))*(1+GST),8),0,1))</f>
        <v>0</v>
      </c>
      <c r="R57" s="67" t="str" cm="1">
        <f t="array" ref="R57">IF(R22="-","-",
IF(ROUND(R22,8)=ROUND(
((SUMIFS(Calc_Variable_1[Citipower],Calc_Variable_1[[Customer type]:[Customer type]],"All")+
SUMIFS(Calc_Variable_1[Citipower],Calc_Variable_1[[Customer type]:[Customer type]],OP_Rates!$O57)+
SUMIFS(Calc_NetworkV_1[Citipower],Calc_NetworkV_1[[Customer type]:[Customer type]],OP_Rates!$O57,Calc_NetworkV_1[[Cost item]:[Cost item]],OP_Rates!$M57))*(1+Calc_ROM_1[Citipower]))*(1+GST),8),0,1))</f>
        <v>-</v>
      </c>
      <c r="S57" s="67" t="str" cm="1">
        <f t="array" ref="S57">IF(S22="-","-",
IF(ROUND(S22,8)=ROUND(
((SUMIFS(Calc_Variable_1[Jemena],Calc_Variable_1[[Customer type]:[Customer type]],"All")+
SUMIFS(Calc_Variable_1[Jemena],Calc_Variable_1[[Customer type]:[Customer type]],OP_Rates!$O57)+
SUMIFS(Calc_NetworkV_1[Jemena],Calc_NetworkV_1[[Customer type]:[Customer type]],OP_Rates!$O57,Calc_NetworkV_1[[Cost item]:[Cost item]],OP_Rates!$M57))*(1+Calc_ROM_1[Jemena]))*(1+GST),8),0,1))</f>
        <v>-</v>
      </c>
      <c r="T57" s="67" t="str" cm="1">
        <f t="array" ref="T57">IF(T22="-","-",
IF(ROUND(T22,8)=ROUND(
((SUMIFS(Calc_Variable_1[Powercor],Calc_Variable_1[[Customer type]:[Customer type]],"All")+
SUMIFS(Calc_Variable_1[Powercor],Calc_Variable_1[[Customer type]:[Customer type]],OP_Rates!$O57)+
SUMIFS(Calc_NetworkV_1[Powercor],Calc_NetworkV_1[[Customer type]:[Customer type]],OP_Rates!$O57,Calc_NetworkV_1[[Cost item]:[Cost item]],OP_Rates!$M57))*(1+Calc_ROM_1[Powercor]))*(1+GST),8),0,1))</f>
        <v>-</v>
      </c>
      <c r="U57" s="67" t="str" cm="1">
        <f t="array" ref="U57">IF(U22="-","-",
IF(ROUND(U22,8)=ROUND(
((SUMIFS(Calc_Variable_1[United Energy],Calc_Variable_1[[Customer type]:[Customer type]],"All")+
SUMIFS(Calc_Variable_1[United Energy],Calc_Variable_1[[Customer type]:[Customer type]],OP_Rates!$O57)+
SUMIFS(Calc_NetworkV_1[United Energy],Calc_NetworkV_1[[Customer type]:[Customer type]],OP_Rates!$O57,Calc_NetworkV_1[[Cost item]:[Cost item]],OP_Rates!$M57))*(1+Calc_ROM_1[United Energy]))*(1+GST),8),0,1))</f>
        <v>-</v>
      </c>
    </row>
    <row r="58" spans="3:21" ht="15.75" hidden="1" outlineLevel="2" x14ac:dyDescent="0.25">
      <c r="C58" s="14" t="s">
        <v>77</v>
      </c>
      <c r="D58" s="14" t="s">
        <v>75</v>
      </c>
      <c r="E58" s="14" t="s">
        <v>72</v>
      </c>
      <c r="G58" s="67" t="str" cm="1">
        <f t="array" ref="G58">IF(G23="-","-",
IF(ROUND(G23,8)=ROUND(
((SUMIFS(Calc_Variable_1[Ausnet],Calc_Variable_1[[Customer type]:[Customer type]],"All")+
SUMIFS(Calc_Variable_1[Ausnet],Calc_Variable_1[[Customer type]:[Customer type]],OP_Rates!$E58)+
SUMIFS(Calc_NetworkV_1[Ausnet],Calc_NetworkV_1[[Customer type]:[Customer type]],OP_Rates!$E58,Calc_NetworkV_1[[Cost item]:[Cost item]],OP_Rates!$C58))*(1+Calc_ROM_1[Ausnet]))*(1+GST),8),0,1))</f>
        <v>-</v>
      </c>
      <c r="H58" s="67" cm="1">
        <f t="array" ref="H58">IF(H23="-","-",
IF(ROUND(H23,8)=ROUND(
((SUMIFS(Calc_Variable_1[Citipower],Calc_Variable_1[[Customer type]:[Customer type]],"All")+
SUMIFS(Calc_Variable_1[Citipower],Calc_Variable_1[[Customer type]:[Customer type]],OP_Rates!$E58)+
SUMIFS(Calc_NetworkV_1[Citipower],Calc_NetworkV_1[[Customer type]:[Customer type]],OP_Rates!$E58,Calc_NetworkV_1[[Cost item]:[Cost item]],OP_Rates!$C58))*(1+Calc_ROM_1[Citipower]))*(1+GST),8),0,1))</f>
        <v>0</v>
      </c>
      <c r="I58" s="67" cm="1">
        <f t="array" ref="I58">IF(I23="-","-",
IF(ROUND(I23,8)=ROUND(
((SUMIFS(Calc_Variable_1[Jemena],Calc_Variable_1[[Customer type]:[Customer type]],"All")+
SUMIFS(Calc_Variable_1[Jemena],Calc_Variable_1[[Customer type]:[Customer type]],OP_Rates!$E58)+
SUMIFS(Calc_NetworkV_1[Jemena],Calc_NetworkV_1[[Customer type]:[Customer type]],OP_Rates!$E58,Calc_NetworkV_1[[Cost item]:[Cost item]],OP_Rates!$C58))*(1+Calc_ROM_1[Jemena]))*(1+GST),8),0,1))</f>
        <v>0</v>
      </c>
      <c r="J58" s="67" cm="1">
        <f t="array" ref="J58">IF(J23="-","-",
IF(ROUND(J23,8)=ROUND(
((SUMIFS(Calc_Variable_1[Powercor],Calc_Variable_1[[Customer type]:[Customer type]],"All")+
SUMIFS(Calc_Variable_1[Powercor],Calc_Variable_1[[Customer type]:[Customer type]],OP_Rates!$E58)+
SUMIFS(Calc_NetworkV_1[Powercor],Calc_NetworkV_1[[Customer type]:[Customer type]],OP_Rates!$E58,Calc_NetworkV_1[[Cost item]:[Cost item]],OP_Rates!$C58))*(1+Calc_ROM_1[Powercor]))*(1+GST),8),0,1))</f>
        <v>0</v>
      </c>
      <c r="K58" s="67" cm="1">
        <f t="array" ref="K58">IF(K23="-","-",
IF(ROUND(K23,8)=ROUND(
((SUMIFS(Calc_Variable_1[United Energy],Calc_Variable_1[[Customer type]:[Customer type]],"All")+
SUMIFS(Calc_Variable_1[United Energy],Calc_Variable_1[[Customer type]:[Customer type]],OP_Rates!$E58)+
SUMIFS(Calc_NetworkV_1[United Energy],Calc_NetworkV_1[[Customer type]:[Customer type]],OP_Rates!$E58,Calc_NetworkV_1[[Cost item]:[Cost item]],OP_Rates!$C58))*(1+Calc_ROM_1[United Energy]))*(1+GST),8),0,1))</f>
        <v>0</v>
      </c>
      <c r="M58" s="14" t="s">
        <v>77</v>
      </c>
      <c r="N58" s="14" t="s">
        <v>75</v>
      </c>
      <c r="O58" s="14" t="s">
        <v>73</v>
      </c>
      <c r="Q58" s="67" t="str" cm="1">
        <f t="array" ref="Q58">IF(Q23="-","-",
IF(ROUND(Q23,8)=ROUND(
((SUMIFS(Calc_Variable_1[Ausnet],Calc_Variable_1[[Customer type]:[Customer type]],"All")+
SUMIFS(Calc_Variable_1[Ausnet],Calc_Variable_1[[Customer type]:[Customer type]],OP_Rates!$O58)+
SUMIFS(Calc_NetworkV_1[Ausnet],Calc_NetworkV_1[[Customer type]:[Customer type]],OP_Rates!$O58,Calc_NetworkV_1[[Cost item]:[Cost item]],OP_Rates!$M58))*(1+Calc_ROM_1[Ausnet]))*(1+GST),8),0,1))</f>
        <v>-</v>
      </c>
      <c r="R58" s="67" cm="1">
        <f t="array" ref="R58">IF(R23="-","-",
IF(ROUND(R23,8)=ROUND(
((SUMIFS(Calc_Variable_1[Citipower],Calc_Variable_1[[Customer type]:[Customer type]],"All")+
SUMIFS(Calc_Variable_1[Citipower],Calc_Variable_1[[Customer type]:[Customer type]],OP_Rates!$O58)+
SUMIFS(Calc_NetworkV_1[Citipower],Calc_NetworkV_1[[Customer type]:[Customer type]],OP_Rates!$O58,Calc_NetworkV_1[[Cost item]:[Cost item]],OP_Rates!$M58))*(1+Calc_ROM_1[Citipower]))*(1+GST),8),0,1))</f>
        <v>0</v>
      </c>
      <c r="S58" s="67" cm="1">
        <f t="array" ref="S58">IF(S23="-","-",
IF(ROUND(S23,8)=ROUND(
((SUMIFS(Calc_Variable_1[Jemena],Calc_Variable_1[[Customer type]:[Customer type]],"All")+
SUMIFS(Calc_Variable_1[Jemena],Calc_Variable_1[[Customer type]:[Customer type]],OP_Rates!$O58)+
SUMIFS(Calc_NetworkV_1[Jemena],Calc_NetworkV_1[[Customer type]:[Customer type]],OP_Rates!$O58,Calc_NetworkV_1[[Cost item]:[Cost item]],OP_Rates!$M58))*(1+Calc_ROM_1[Jemena]))*(1+GST),8),0,1))</f>
        <v>0</v>
      </c>
      <c r="T58" s="67" cm="1">
        <f t="array" ref="T58">IF(T23="-","-",
IF(ROUND(T23,8)=ROUND(
((SUMIFS(Calc_Variable_1[Powercor],Calc_Variable_1[[Customer type]:[Customer type]],"All")+
SUMIFS(Calc_Variable_1[Powercor],Calc_Variable_1[[Customer type]:[Customer type]],OP_Rates!$O58)+
SUMIFS(Calc_NetworkV_1[Powercor],Calc_NetworkV_1[[Customer type]:[Customer type]],OP_Rates!$O58,Calc_NetworkV_1[[Cost item]:[Cost item]],OP_Rates!$M58))*(1+Calc_ROM_1[Powercor]))*(1+GST),8),0,1))</f>
        <v>0</v>
      </c>
      <c r="U58" s="67" cm="1">
        <f t="array" ref="U58">IF(U23="-","-",
IF(ROUND(U23,8)=ROUND(
((SUMIFS(Calc_Variable_1[United Energy],Calc_Variable_1[[Customer type]:[Customer type]],"All")+
SUMIFS(Calc_Variable_1[United Energy],Calc_Variable_1[[Customer type]:[Customer type]],OP_Rates!$O58)+
SUMIFS(Calc_NetworkV_1[United Energy],Calc_NetworkV_1[[Customer type]:[Customer type]],OP_Rates!$O58,Calc_NetworkV_1[[Cost item]:[Cost item]],OP_Rates!$M58))*(1+Calc_ROM_1[United Energy]))*(1+GST),8),0,1))</f>
        <v>0</v>
      </c>
    </row>
    <row r="59" spans="3:21" ht="15.75" hidden="1" outlineLevel="2" x14ac:dyDescent="0.25">
      <c r="C59" s="14" t="s">
        <v>78</v>
      </c>
      <c r="D59" s="14" t="s">
        <v>71</v>
      </c>
      <c r="E59" s="14" t="s">
        <v>72</v>
      </c>
      <c r="G59" s="67" cm="1">
        <f t="array" ref="G59">IF(G24="-","-",
IF(ROUND(G24,8)=
ROUND((((SUMIFS(Calc_NetworkF_1[Ausnet],Calc_NetworkF_1[[Cost item]:[Cost item]],$C59,Calc_NetworkF_1[[Customer type]:[Customer type]],$E59)+SUMIFS(Calc_Fixed_1[Ausnet],Calc_Fixed_1[[Customer type]:[Customer type]],"All")+SUMIFS(Calc_Fixed_1[Ausnet],Calc_Fixed_1[[Customer type]:[Customer type]],$E59))/DiY)*(1+Calc_ROM_1[Ausnet]))*(1+GST),8),0,1))</f>
        <v>0</v>
      </c>
      <c r="H59" s="67" cm="1">
        <f t="array" ref="H59">IF(H24="-","-",
IF(ROUND(H24,8)=
ROUND((((SUMIFS(Calc_NetworkF_1[Citipower],Calc_NetworkF_1[[Cost item]:[Cost item]],$C59,Calc_NetworkF_1[[Customer type]:[Customer type]],$E59)+SUMIFS(Calc_Fixed_1[Citipower],Calc_Fixed_1[[Customer type]:[Customer type]],"All")+SUMIFS(Calc_Fixed_1[Citipower],Calc_Fixed_1[[Customer type]:[Customer type]],$E59))/DiY)*(1+Calc_ROM_1[Citipower]))*(1+GST),8),0,1))</f>
        <v>0</v>
      </c>
      <c r="I59" s="67" cm="1">
        <f t="array" ref="I59">IF(I24="-","-",
IF(ROUND(I24,8)=
ROUND((((SUMIFS(Calc_NetworkF_1[Jemena],Calc_NetworkF_1[[Cost item]:[Cost item]],$C59,Calc_NetworkF_1[[Customer type]:[Customer type]],$E59)+SUMIFS(Calc_Fixed_1[Jemena],Calc_Fixed_1[[Customer type]:[Customer type]],"All")+SUMIFS(Calc_Fixed_1[Jemena],Calc_Fixed_1[[Customer type]:[Customer type]],$E59))/DiY)*(1+Calc_ROM_1[Jemena]))*(1+GST),8),0,1))</f>
        <v>0</v>
      </c>
      <c r="J59" s="67" cm="1">
        <f t="array" ref="J59">IF(J24="-","-",
IF(ROUND(J24,8)=
ROUND((((SUMIFS(Calc_NetworkF_1[Powercor],Calc_NetworkF_1[[Cost item]:[Cost item]],$C59,Calc_NetworkF_1[[Customer type]:[Customer type]],$E59)+SUMIFS(Calc_Fixed_1[Powercor],Calc_Fixed_1[[Customer type]:[Customer type]],"All")+SUMIFS(Calc_Fixed_1[Powercor],Calc_Fixed_1[[Customer type]:[Customer type]],$E59))/DiY)*(1+Calc_ROM_1[Powercor]))*(1+GST),8),0,1))</f>
        <v>0</v>
      </c>
      <c r="K59" s="67" cm="1">
        <f t="array" ref="K59">IF(K24="-","-",
IF(ROUND(K24,8)=
ROUND((((SUMIFS(Calc_NetworkF_1[United Energy],Calc_NetworkF_1[[Cost item]:[Cost item]],$C59,Calc_NetworkF_1[[Customer type]:[Customer type]],$E59)+SUMIFS(Calc_Fixed_1[United Energy],Calc_Fixed_1[[Customer type]:[Customer type]],"All")+SUMIFS(Calc_Fixed_1[United Energy],Calc_Fixed_1[[Customer type]:[Customer type]],$E59))/DiY)*(1+Calc_ROM_1[United Energy]))*(1+GST),8),0,1))</f>
        <v>0</v>
      </c>
      <c r="M59" s="14" t="s">
        <v>78</v>
      </c>
      <c r="N59" s="14" t="s">
        <v>71</v>
      </c>
      <c r="O59" s="14" t="s">
        <v>73</v>
      </c>
      <c r="Q59" s="67" cm="1">
        <f t="array" ref="Q59">IF(Q24="-","-",
IF(ROUND(Q24,8)=
ROUND((((SUMIFS(Calc_NetworkF_1[Ausnet],Calc_NetworkF_1[[Cost item]:[Cost item]],$M59,Calc_NetworkF_1[[Customer type]:[Customer type]],$O59)+SUMIFS(Calc_Fixed_1[Ausnet],Calc_Fixed_1[[Customer type]:[Customer type]],"All")+SUMIFS(Calc_Fixed_1[Ausnet],Calc_Fixed_1[[Customer type]:[Customer type]],$O59))/DiY)*(1+Calc_ROM_1[Ausnet]))*(1+GST),8),0,1))</f>
        <v>0</v>
      </c>
      <c r="R59" s="67" cm="1">
        <f t="array" ref="R59">IF(R24="-","-",
IF(ROUND(R24,8)=
ROUND((((SUMIFS(Calc_NetworkF_1[Citipower],Calc_NetworkF_1[[Cost item]:[Cost item]],$M59,Calc_NetworkF_1[[Customer type]:[Customer type]],$O59)+SUMIFS(Calc_Fixed_1[Citipower],Calc_Fixed_1[[Customer type]:[Customer type]],"All")+SUMIFS(Calc_Fixed_1[Citipower],Calc_Fixed_1[[Customer type]:[Customer type]],$O59))/DiY)*(1+Calc_ROM_1[Citipower]))*(1+GST),8),0,1))</f>
        <v>0</v>
      </c>
      <c r="S59" s="67" cm="1">
        <f t="array" ref="S59">IF(S24="-","-",
IF(ROUND(S24,8)=
ROUND((((SUMIFS(Calc_NetworkF_1[Jemena],Calc_NetworkF_1[[Cost item]:[Cost item]],$M59,Calc_NetworkF_1[[Customer type]:[Customer type]],$O59)+SUMIFS(Calc_Fixed_1[Jemena],Calc_Fixed_1[[Customer type]:[Customer type]],"All")+SUMIFS(Calc_Fixed_1[Jemena],Calc_Fixed_1[[Customer type]:[Customer type]],$O59))/DiY)*(1+Calc_ROM_1[Jemena]))*(1+GST),8),0,1))</f>
        <v>0</v>
      </c>
      <c r="T59" s="67" cm="1">
        <f t="array" ref="T59">IF(T24="-","-",
IF(ROUND(T24,8)=
ROUND((((SUMIFS(Calc_NetworkF_1[Powercor],Calc_NetworkF_1[[Cost item]:[Cost item]],$M59,Calc_NetworkF_1[[Customer type]:[Customer type]],$O59)+SUMIFS(Calc_Fixed_1[Powercor],Calc_Fixed_1[[Customer type]:[Customer type]],"All")+SUMIFS(Calc_Fixed_1[Powercor],Calc_Fixed_1[[Customer type]:[Customer type]],$O59))/DiY)*(1+Calc_ROM_1[Powercor]))*(1+GST),8),0,1))</f>
        <v>0</v>
      </c>
      <c r="U59" s="67" cm="1">
        <f t="array" ref="U59">IF(U24="-","-",
IF(ROUND(U24,8)=
ROUND((((SUMIFS(Calc_NetworkF_1[United Energy],Calc_NetworkF_1[[Cost item]:[Cost item]],$M59,Calc_NetworkF_1[[Customer type]:[Customer type]],$O59)+SUMIFS(Calc_Fixed_1[United Energy],Calc_Fixed_1[[Customer type]:[Customer type]],"All")+SUMIFS(Calc_Fixed_1[United Energy],Calc_Fixed_1[[Customer type]:[Customer type]],$O59))/DiY)*(1+Calc_ROM_1[United Energy]))*(1+GST),8),0,1))</f>
        <v>0</v>
      </c>
    </row>
    <row r="60" spans="3:21" ht="15.75" hidden="1" outlineLevel="2" x14ac:dyDescent="0.25">
      <c r="C60" s="14" t="s">
        <v>79</v>
      </c>
      <c r="D60" s="14" t="s">
        <v>75</v>
      </c>
      <c r="E60" s="14" t="s">
        <v>72</v>
      </c>
      <c r="G60" s="67" cm="1">
        <f t="array" ref="G60">IF(G25="-","-",
IF(ROUND(G25,8)=ROUND(
((SUMIFS(Calc_Variable_1[Ausnet],Calc_Variable_1[[Customer type]:[Customer type]],"All")+
SUMIFS(Calc_Variable_1[Ausnet],Calc_Variable_1[[Customer type]:[Customer type]],OP_Rates!$E60)+
SUMIFS(Calc_NetworkV_1[Ausnet],Calc_NetworkV_1[[Customer type]:[Customer type]],OP_Rates!$E60,Calc_NetworkV_1[[Cost item]:[Cost item]],OP_Rates!$C60))*(1+Calc_ROM_1[Ausnet]))*(1+GST),8),0,1))</f>
        <v>0</v>
      </c>
      <c r="H60" s="67" cm="1">
        <f t="array" ref="H60">IF(H25="-","-",
IF(ROUND(H25,8)=ROUND(
((SUMIFS(Calc_Variable_1[Citipower],Calc_Variable_1[[Customer type]:[Customer type]],"All")+
SUMIFS(Calc_Variable_1[Citipower],Calc_Variable_1[[Customer type]:[Customer type]],OP_Rates!$E60)+
SUMIFS(Calc_NetworkV_1[Citipower],Calc_NetworkV_1[[Customer type]:[Customer type]],OP_Rates!$E60,Calc_NetworkV_1[[Cost item]:[Cost item]],OP_Rates!$C60))*(1+Calc_ROM_1[Citipower]))*(1+GST),8),0,1))</f>
        <v>0</v>
      </c>
      <c r="I60" s="67" cm="1">
        <f t="array" ref="I60">IF(I25="-","-",
IF(ROUND(I25,8)=ROUND(
((SUMIFS(Calc_Variable_1[Jemena],Calc_Variable_1[[Customer type]:[Customer type]],"All")+
SUMIFS(Calc_Variable_1[Jemena],Calc_Variable_1[[Customer type]:[Customer type]],OP_Rates!$E60)+
SUMIFS(Calc_NetworkV_1[Jemena],Calc_NetworkV_1[[Customer type]:[Customer type]],OP_Rates!$E60,Calc_NetworkV_1[[Cost item]:[Cost item]],OP_Rates!$C60))*(1+Calc_ROM_1[Jemena]))*(1+GST),8),0,1))</f>
        <v>0</v>
      </c>
      <c r="J60" s="67" cm="1">
        <f t="array" ref="J60">IF(J25="-","-",
IF(ROUND(J25,8)=ROUND(
((SUMIFS(Calc_Variable_1[Powercor],Calc_Variable_1[[Customer type]:[Customer type]],"All")+
SUMIFS(Calc_Variable_1[Powercor],Calc_Variable_1[[Customer type]:[Customer type]],OP_Rates!$E60)+
SUMIFS(Calc_NetworkV_1[Powercor],Calc_NetworkV_1[[Customer type]:[Customer type]],OP_Rates!$E60,Calc_NetworkV_1[[Cost item]:[Cost item]],OP_Rates!$C60))*(1+Calc_ROM_1[Powercor]))*(1+GST),8),0,1))</f>
        <v>0</v>
      </c>
      <c r="K60" s="67" cm="1">
        <f t="array" ref="K60">IF(K25="-","-",
IF(ROUND(K25,8)=ROUND(
((SUMIFS(Calc_Variable_1[United Energy],Calc_Variable_1[[Customer type]:[Customer type]],"All")+
SUMIFS(Calc_Variable_1[United Energy],Calc_Variable_1[[Customer type]:[Customer type]],OP_Rates!$E60)+
SUMIFS(Calc_NetworkV_1[United Energy],Calc_NetworkV_1[[Customer type]:[Customer type]],OP_Rates!$E60,Calc_NetworkV_1[[Cost item]:[Cost item]],OP_Rates!$C60))*(1+Calc_ROM_1[United Energy]))*(1+GST),8),0,1))</f>
        <v>0</v>
      </c>
      <c r="M60" s="14" t="s">
        <v>79</v>
      </c>
      <c r="N60" s="14" t="s">
        <v>75</v>
      </c>
      <c r="O60" s="14" t="s">
        <v>73</v>
      </c>
      <c r="Q60" s="67" cm="1">
        <f t="array" ref="Q60">IF(Q25="-","-",
IF(ROUND(Q25,8)=ROUND(
((SUMIFS(Calc_Variable_1[Ausnet],Calc_Variable_1[[Customer type]:[Customer type]],"All")+
SUMIFS(Calc_Variable_1[Ausnet],Calc_Variable_1[[Customer type]:[Customer type]],OP_Rates!$O60)+
SUMIFS(Calc_NetworkV_1[Ausnet],Calc_NetworkV_1[[Customer type]:[Customer type]],OP_Rates!$O60,Calc_NetworkV_1[[Cost item]:[Cost item]],OP_Rates!$M60))*(1+Calc_ROM_1[Ausnet]))*(1+GST),8),0,1))</f>
        <v>0</v>
      </c>
      <c r="R60" s="67" cm="1">
        <f t="array" ref="R60">IF(R25="-","-",
IF(ROUND(R25,8)=ROUND(
((SUMIFS(Calc_Variable_1[Citipower],Calc_Variable_1[[Customer type]:[Customer type]],"All")+
SUMIFS(Calc_Variable_1[Citipower],Calc_Variable_1[[Customer type]:[Customer type]],OP_Rates!$O60)+
SUMIFS(Calc_NetworkV_1[Citipower],Calc_NetworkV_1[[Customer type]:[Customer type]],OP_Rates!$O60,Calc_NetworkV_1[[Cost item]:[Cost item]],OP_Rates!$M60))*(1+Calc_ROM_1[Citipower]))*(1+GST),8),0,1))</f>
        <v>0</v>
      </c>
      <c r="S60" s="67" cm="1">
        <f t="array" ref="S60">IF(S25="-","-",
IF(ROUND(S25,8)=ROUND(
((SUMIFS(Calc_Variable_1[Jemena],Calc_Variable_1[[Customer type]:[Customer type]],"All")+
SUMIFS(Calc_Variable_1[Jemena],Calc_Variable_1[[Customer type]:[Customer type]],OP_Rates!$O60)+
SUMIFS(Calc_NetworkV_1[Jemena],Calc_NetworkV_1[[Customer type]:[Customer type]],OP_Rates!$O60,Calc_NetworkV_1[[Cost item]:[Cost item]],OP_Rates!$M60))*(1+Calc_ROM_1[Jemena]))*(1+GST),8),0,1))</f>
        <v>0</v>
      </c>
      <c r="T60" s="67" cm="1">
        <f t="array" ref="T60">IF(T25="-","-",
IF(ROUND(T25,8)=ROUND(
((SUMIFS(Calc_Variable_1[Powercor],Calc_Variable_1[[Customer type]:[Customer type]],"All")+
SUMIFS(Calc_Variable_1[Powercor],Calc_Variable_1[[Customer type]:[Customer type]],OP_Rates!$O60)+
SUMIFS(Calc_NetworkV_1[Powercor],Calc_NetworkV_1[[Customer type]:[Customer type]],OP_Rates!$O60,Calc_NetworkV_1[[Cost item]:[Cost item]],OP_Rates!$M60))*(1+Calc_ROM_1[Powercor]))*(1+GST),8),0,1))</f>
        <v>0</v>
      </c>
      <c r="U60" s="67" cm="1">
        <f t="array" ref="U60">IF(U25="-","-",
IF(ROUND(U25,8)=ROUND(
((SUMIFS(Calc_Variable_1[United Energy],Calc_Variable_1[[Customer type]:[Customer type]],"All")+
SUMIFS(Calc_Variable_1[United Energy],Calc_Variable_1[[Customer type]:[Customer type]],OP_Rates!$O60)+
SUMIFS(Calc_NetworkV_1[United Energy],Calc_NetworkV_1[[Customer type]:[Customer type]],OP_Rates!$O60,Calc_NetworkV_1[[Cost item]:[Cost item]],OP_Rates!$M60))*(1+Calc_ROM_1[United Energy]))*(1+GST),8),0,1))</f>
        <v>0</v>
      </c>
    </row>
    <row r="61" spans="3:21" ht="15.75" hidden="1" outlineLevel="2" x14ac:dyDescent="0.25">
      <c r="C61" s="14" t="s">
        <v>80</v>
      </c>
      <c r="D61" s="14" t="s">
        <v>75</v>
      </c>
      <c r="E61" s="14" t="s">
        <v>72</v>
      </c>
      <c r="G61" s="67" cm="1">
        <f t="array" ref="G61">IF(G26="-","-",
IF(ROUND(G26,8)=ROUND(
((SUMIFS(Calc_Variable_1[Ausnet],Calc_Variable_1[[Customer type]:[Customer type]],"All")+
SUMIFS(Calc_Variable_1[Ausnet],Calc_Variable_1[[Customer type]:[Customer type]],OP_Rates!$E61)+
SUMIFS(Calc_NetworkV_1[Ausnet],Calc_NetworkV_1[[Customer type]:[Customer type]],OP_Rates!$E61,Calc_NetworkV_1[[Cost item]:[Cost item]],OP_Rates!$C61))*(1+Calc_ROM_1[Ausnet]))*(1+GST),8),0,1))</f>
        <v>0</v>
      </c>
      <c r="H61" s="67" cm="1">
        <f t="array" ref="H61">IF(H26="-","-",
IF(ROUND(H26,8)=ROUND(
((SUMIFS(Calc_Variable_1[Citipower],Calc_Variable_1[[Customer type]:[Customer type]],"All")+
SUMIFS(Calc_Variable_1[Citipower],Calc_Variable_1[[Customer type]:[Customer type]],OP_Rates!$E61)+
SUMIFS(Calc_NetworkV_1[Citipower],Calc_NetworkV_1[[Customer type]:[Customer type]],OP_Rates!$E61,Calc_NetworkV_1[[Cost item]:[Cost item]],OP_Rates!$C61))*(1+Calc_ROM_1[Citipower]))*(1+GST),8),0,1))</f>
        <v>0</v>
      </c>
      <c r="I61" s="67" cm="1">
        <f t="array" ref="I61">IF(I26="-","-",
IF(ROUND(I26,8)=ROUND(
((SUMIFS(Calc_Variable_1[Jemena],Calc_Variable_1[[Customer type]:[Customer type]],"All")+
SUMIFS(Calc_Variable_1[Jemena],Calc_Variable_1[[Customer type]:[Customer type]],OP_Rates!$E61)+
SUMIFS(Calc_NetworkV_1[Jemena],Calc_NetworkV_1[[Customer type]:[Customer type]],OP_Rates!$E61,Calc_NetworkV_1[[Cost item]:[Cost item]],OP_Rates!$C61))*(1+Calc_ROM_1[Jemena]))*(1+GST),8),0,1))</f>
        <v>0</v>
      </c>
      <c r="J61" s="67" cm="1">
        <f t="array" ref="J61">IF(J26="-","-",
IF(ROUND(J26,8)=ROUND(
((SUMIFS(Calc_Variable_1[Powercor],Calc_Variable_1[[Customer type]:[Customer type]],"All")+
SUMIFS(Calc_Variable_1[Powercor],Calc_Variable_1[[Customer type]:[Customer type]],OP_Rates!$E61)+
SUMIFS(Calc_NetworkV_1[Powercor],Calc_NetworkV_1[[Customer type]:[Customer type]],OP_Rates!$E61,Calc_NetworkV_1[[Cost item]:[Cost item]],OP_Rates!$C61))*(1+Calc_ROM_1[Powercor]))*(1+GST),8),0,1))</f>
        <v>0</v>
      </c>
      <c r="K61" s="67" cm="1">
        <f t="array" ref="K61">IF(K26="-","-",
IF(ROUND(K26,8)=ROUND(
((SUMIFS(Calc_Variable_1[United Energy],Calc_Variable_1[[Customer type]:[Customer type]],"All")+
SUMIFS(Calc_Variable_1[United Energy],Calc_Variable_1[[Customer type]:[Customer type]],OP_Rates!$E61)+
SUMIFS(Calc_NetworkV_1[United Energy],Calc_NetworkV_1[[Customer type]:[Customer type]],OP_Rates!$E61,Calc_NetworkV_1[[Cost item]:[Cost item]],OP_Rates!$C61))*(1+Calc_ROM_1[United Energy]))*(1+GST),8),0,1))</f>
        <v>0</v>
      </c>
      <c r="M61" s="14" t="s">
        <v>80</v>
      </c>
      <c r="N61" s="14" t="s">
        <v>75</v>
      </c>
      <c r="O61" s="14" t="s">
        <v>73</v>
      </c>
      <c r="Q61" s="67" cm="1">
        <f t="array" ref="Q61">IF(Q26="-","-",
IF(ROUND(Q26,8)=ROUND(
((SUMIFS(Calc_Variable_1[Ausnet],Calc_Variable_1[[Customer type]:[Customer type]],"All")+
SUMIFS(Calc_Variable_1[Ausnet],Calc_Variable_1[[Customer type]:[Customer type]],OP_Rates!$O61)+
SUMIFS(Calc_NetworkV_1[Ausnet],Calc_NetworkV_1[[Customer type]:[Customer type]],OP_Rates!$O61,Calc_NetworkV_1[[Cost item]:[Cost item]],OP_Rates!$M61))*(1+Calc_ROM_1[Ausnet]))*(1+GST),8),0,1))</f>
        <v>0</v>
      </c>
      <c r="R61" s="67" cm="1">
        <f t="array" ref="R61">IF(R26="-","-",
IF(ROUND(R26,8)=ROUND(
((SUMIFS(Calc_Variable_1[Citipower],Calc_Variable_1[[Customer type]:[Customer type]],"All")+
SUMIFS(Calc_Variable_1[Citipower],Calc_Variable_1[[Customer type]:[Customer type]],OP_Rates!$O61)+
SUMIFS(Calc_NetworkV_1[Citipower],Calc_NetworkV_1[[Customer type]:[Customer type]],OP_Rates!$O61,Calc_NetworkV_1[[Cost item]:[Cost item]],OP_Rates!$M61))*(1+Calc_ROM_1[Citipower]))*(1+GST),8),0,1))</f>
        <v>0</v>
      </c>
      <c r="S61" s="67" cm="1">
        <f t="array" ref="S61">IF(S26="-","-",
IF(ROUND(S26,8)=ROUND(
((SUMIFS(Calc_Variable_1[Jemena],Calc_Variable_1[[Customer type]:[Customer type]],"All")+
SUMIFS(Calc_Variable_1[Jemena],Calc_Variable_1[[Customer type]:[Customer type]],OP_Rates!$O61)+
SUMIFS(Calc_NetworkV_1[Jemena],Calc_NetworkV_1[[Customer type]:[Customer type]],OP_Rates!$O61,Calc_NetworkV_1[[Cost item]:[Cost item]],OP_Rates!$M61))*(1+Calc_ROM_1[Jemena]))*(1+GST),8),0,1))</f>
        <v>0</v>
      </c>
      <c r="T61" s="67" cm="1">
        <f t="array" ref="T61">IF(T26="-","-",
IF(ROUND(T26,8)=ROUND(
((SUMIFS(Calc_Variable_1[Powercor],Calc_Variable_1[[Customer type]:[Customer type]],"All")+
SUMIFS(Calc_Variable_1[Powercor],Calc_Variable_1[[Customer type]:[Customer type]],OP_Rates!$O61)+
SUMIFS(Calc_NetworkV_1[Powercor],Calc_NetworkV_1[[Customer type]:[Customer type]],OP_Rates!$O61,Calc_NetworkV_1[[Cost item]:[Cost item]],OP_Rates!$M61))*(1+Calc_ROM_1[Powercor]))*(1+GST),8),0,1))</f>
        <v>0</v>
      </c>
      <c r="U61" s="67" cm="1">
        <f t="array" ref="U61">IF(U26="-","-",
IF(ROUND(U26,8)=ROUND(
((SUMIFS(Calc_Variable_1[United Energy],Calc_Variable_1[[Customer type]:[Customer type]],"All")+
SUMIFS(Calc_Variable_1[United Energy],Calc_Variable_1[[Customer type]:[Customer type]],OP_Rates!$O61)+
SUMIFS(Calc_NetworkV_1[United Energy],Calc_NetworkV_1[[Customer type]:[Customer type]],OP_Rates!$O61,Calc_NetworkV_1[[Cost item]:[Cost item]],OP_Rates!$M61))*(1+Calc_ROM_1[United Energy]))*(1+GST),8),0,1))</f>
        <v>0</v>
      </c>
    </row>
    <row r="62" spans="3:21" ht="15.75" hidden="1" outlineLevel="2" x14ac:dyDescent="0.25">
      <c r="C62" s="14" t="s">
        <v>81</v>
      </c>
      <c r="D62" s="14" t="s">
        <v>75</v>
      </c>
      <c r="E62" s="14" t="s">
        <v>72</v>
      </c>
      <c r="G62" s="67" cm="1">
        <f t="array" ref="G62">IF(G27="-","-",
IF(ROUND(G27,8)=ROUND(
((SUMIFS(Calc_Variable_1[Ausnet],Calc_Variable_1[[Customer type]:[Customer type]],"All")+
SUMIFS(Calc_Variable_1[Ausnet],Calc_Variable_1[[Customer type]:[Customer type]],OP_Rates!$E62)+
SUMIFS(Calc_NetworkV_1[Ausnet],Calc_NetworkV_1[[Customer type]:[Customer type]],OP_Rates!$E62,Calc_NetworkV_1[[Cost item]:[Cost item]],OP_Rates!$C62))*(1+Calc_ROM_1[Ausnet]))*(1+GST),8),0,1))</f>
        <v>0</v>
      </c>
      <c r="H62" s="67" cm="1">
        <f t="array" ref="H62">IF(H27="-","-",
IF(ROUND(H27,8)=ROUND(
((SUMIFS(Calc_Variable_1[Citipower],Calc_Variable_1[[Customer type]:[Customer type]],"All")+
SUMIFS(Calc_Variable_1[Citipower],Calc_Variable_1[[Customer type]:[Customer type]],OP_Rates!$E62)+
SUMIFS(Calc_NetworkV_1[Citipower],Calc_NetworkV_1[[Customer type]:[Customer type]],OP_Rates!$E62,Calc_NetworkV_1[[Cost item]:[Cost item]],OP_Rates!$C62))*(1+Calc_ROM_1[Citipower]))*(1+GST),8),0,1))</f>
        <v>0</v>
      </c>
      <c r="I62" s="67" cm="1">
        <f t="array" ref="I62">IF(I27="-","-",
IF(ROUND(I27,8)=ROUND(
((SUMIFS(Calc_Variable_1[Jemena],Calc_Variable_1[[Customer type]:[Customer type]],"All")+
SUMIFS(Calc_Variable_1[Jemena],Calc_Variable_1[[Customer type]:[Customer type]],OP_Rates!$E62)+
SUMIFS(Calc_NetworkV_1[Jemena],Calc_NetworkV_1[[Customer type]:[Customer type]],OP_Rates!$E62,Calc_NetworkV_1[[Cost item]:[Cost item]],OP_Rates!$C62))*(1+Calc_ROM_1[Jemena]))*(1+GST),8),0,1))</f>
        <v>0</v>
      </c>
      <c r="J62" s="67" cm="1">
        <f t="array" ref="J62">IF(J27="-","-",
IF(ROUND(J27,8)=ROUND(
((SUMIFS(Calc_Variable_1[Powercor],Calc_Variable_1[[Customer type]:[Customer type]],"All")+
SUMIFS(Calc_Variable_1[Powercor],Calc_Variable_1[[Customer type]:[Customer type]],OP_Rates!$E62)+
SUMIFS(Calc_NetworkV_1[Powercor],Calc_NetworkV_1[[Customer type]:[Customer type]],OP_Rates!$E62,Calc_NetworkV_1[[Cost item]:[Cost item]],OP_Rates!$C62))*(1+Calc_ROM_1[Powercor]))*(1+GST),8),0,1))</f>
        <v>0</v>
      </c>
      <c r="K62" s="67" cm="1">
        <f t="array" ref="K62">IF(K27="-","-",
IF(ROUND(K27,8)=ROUND(
((SUMIFS(Calc_Variable_1[United Energy],Calc_Variable_1[[Customer type]:[Customer type]],"All")+
SUMIFS(Calc_Variable_1[United Energy],Calc_Variable_1[[Customer type]:[Customer type]],OP_Rates!$E62)+
SUMIFS(Calc_NetworkV_1[United Energy],Calc_NetworkV_1[[Customer type]:[Customer type]],OP_Rates!$E62,Calc_NetworkV_1[[Cost item]:[Cost item]],OP_Rates!$C62))*(1+Calc_ROM_1[United Energy]))*(1+GST),8),0,1))</f>
        <v>0</v>
      </c>
      <c r="M62" s="14"/>
      <c r="N62" s="14"/>
      <c r="O62" s="14"/>
      <c r="Q62" s="67"/>
      <c r="R62" s="67"/>
      <c r="S62" s="67"/>
      <c r="T62" s="67"/>
      <c r="U62" s="67"/>
    </row>
    <row r="63" spans="3:21" hidden="1" outlineLevel="2" x14ac:dyDescent="0.25"/>
    <row r="64" spans="3:21" ht="15.75" hidden="1" outlineLevel="2" x14ac:dyDescent="0.25">
      <c r="C64" s="20" t="str">
        <f>C$29&amp;" - checks"</f>
        <v>Residential True Up - checks</v>
      </c>
      <c r="M64" s="20" t="str">
        <f>M$29&amp;" - checks"</f>
        <v>Small business True Up - checks</v>
      </c>
    </row>
    <row r="65" spans="2:22" ht="15.75" hidden="1" outlineLevel="2" x14ac:dyDescent="0.25">
      <c r="C65" s="29" t="s">
        <v>61</v>
      </c>
      <c r="D65" s="29" t="s">
        <v>62</v>
      </c>
      <c r="E65" s="29" t="s">
        <v>63</v>
      </c>
      <c r="F65" s="89" t="s">
        <v>50</v>
      </c>
      <c r="G65" s="32" t="s">
        <v>65</v>
      </c>
      <c r="H65" s="32" t="s">
        <v>66</v>
      </c>
      <c r="I65" s="32" t="s">
        <v>67</v>
      </c>
      <c r="J65" s="32" t="s">
        <v>68</v>
      </c>
      <c r="K65" s="32" t="s">
        <v>69</v>
      </c>
      <c r="M65" s="29" t="s">
        <v>61</v>
      </c>
      <c r="N65" s="29" t="s">
        <v>62</v>
      </c>
      <c r="O65" s="29" t="s">
        <v>63</v>
      </c>
      <c r="P65" s="89" t="s">
        <v>50</v>
      </c>
      <c r="Q65" s="32" t="s">
        <v>65</v>
      </c>
      <c r="R65" s="32" t="s">
        <v>66</v>
      </c>
      <c r="S65" s="32" t="s">
        <v>67</v>
      </c>
      <c r="T65" s="32" t="s">
        <v>68</v>
      </c>
      <c r="U65" s="32" t="s">
        <v>69</v>
      </c>
    </row>
    <row r="66" spans="2:22" ht="15.75" hidden="1" outlineLevel="2" x14ac:dyDescent="0.25">
      <c r="C66" s="39" t="s">
        <v>86</v>
      </c>
      <c r="D66" s="39" t="s">
        <v>71</v>
      </c>
      <c r="E66" s="39" t="s">
        <v>72</v>
      </c>
      <c r="F66" s="14" t="s">
        <v>87</v>
      </c>
      <c r="G66" s="123" t="str" cm="1">
        <f t="array" ref="G66">IF(G31="-","-",
IF(ROUND(G31,8)=
IF($F66="Network",
IF($C66&lt;&gt;"Controlled load",
ROUND(INDEX(Calc_TUR_Net_1[[Ausnet]:[United Energy]],MATCH(1,(Calc_TUR_Net_1[[Customer type]:[Customer type]]=OP_Rates!$E66)*(Calc_TUR_Net_1[[Rate type]:[Rate type]]=OP_Rates!$C66),0),MATCH(OP_Rates!G$65,Calc_TUR_Net_1[[#Headers],[Ausnet]:[United Energy]],0)),8),
ROUND(INDEX(Calc_TUR_NetCL_1[[Ausnet]:[United Energy]],MATCH(OP_Rates!$E66,Calc_TUR_Net_1[[Customer type]:[Customer type]],0),MATCH(OP_Rates!G$65,Calc_TUR_Net_1[[#Headers],[Ausnet]:[United Energy]],0)),8)),
IF($F66="Environmental",
ROUND(SUMIFS(Calc_TUR_Env_1[Ausnet],Calc_TUR_Env_1[[Customer type]:[Customer type]],OP_Rates!$E66,Calc_TUR_Env_1[[Rate type]:[Rate type]],OP_Rates!$C66),8))),0,1))</f>
        <v>-</v>
      </c>
      <c r="H66" s="123" t="str" cm="1">
        <f t="array" ref="H66">IF(H31="-","-",
IF(ROUND(H31,8)=
IF($F66="Network",
IF($C66&lt;&gt;"Controlled load",
ROUND(INDEX(Calc_TUR_Net_1[[Ausnet]:[United Energy]],MATCH(1,(Calc_TUR_Net_1[[Customer type]:[Customer type]]=OP_Rates!$E66)*(Calc_TUR_Net_1[[Rate type]:[Rate type]]=OP_Rates!$C66),0),MATCH(OP_Rates!H$65,Calc_TUR_Net_1[[#Headers],[Ausnet]:[United Energy]],0)),8),
ROUND(INDEX(Calc_TUR_NetCL_1[[Ausnet]:[United Energy]],MATCH(OP_Rates!$E66,Calc_TUR_Net_1[[Customer type]:[Customer type]],0),MATCH(OP_Rates!H$65,Calc_TUR_Net_1[[#Headers],[Ausnet]:[United Energy]],0)),8)),
IF($F66="Environmental",
ROUND(SUMIFS(Calc_TUR_Env_1[Citipower],Calc_TUR_Env_1[[Customer type]:[Customer type]],OP_Rates!$E66,Calc_TUR_Env_1[[Rate type]:[Rate type]],OP_Rates!$C66),8))),0,1))</f>
        <v>-</v>
      </c>
      <c r="I66" s="123" t="str" cm="1">
        <f t="array" ref="I66">IF(I31="-","-",
IF(ROUND(I31,8)=
IF($F66="Network",
IF($C66&lt;&gt;"Controlled load",
ROUND(INDEX(Calc_TUR_Net_1[[Ausnet]:[United Energy]],MATCH(1,(Calc_TUR_Net_1[[Customer type]:[Customer type]]=OP_Rates!$E66)*(Calc_TUR_Net_1[[Rate type]:[Rate type]]=OP_Rates!$C66),0),MATCH(OP_Rates!I$65,Calc_TUR_Net_1[[#Headers],[Ausnet]:[United Energy]],0)),8),
ROUND(INDEX(Calc_TUR_NetCL_1[[Ausnet]:[United Energy]],MATCH(OP_Rates!$E66,Calc_TUR_Net_1[[Customer type]:[Customer type]],0),MATCH(OP_Rates!I$65,Calc_TUR_Net_1[[#Headers],[Ausnet]:[United Energy]],0)),8)),
IF($F66="Environmental",
ROUND(SUMIFS(Calc_TUR_Env_1[Jemena],Calc_TUR_Env_1[[Customer type]:[Customer type]],OP_Rates!$E66,Calc_TUR_Env_1[[Rate type]:[Rate type]],OP_Rates!$C66),8))),0,1))</f>
        <v>-</v>
      </c>
      <c r="J66" s="123" t="str" cm="1">
        <f t="array" ref="J66">IF(J31="-","-",
IF(ROUND(J31,8)=
IF($F66="Network",
IF($C66&lt;&gt;"Controlled load",
ROUND(INDEX(Calc_TUR_Net_1[[Ausnet]:[United Energy]],MATCH(1,(Calc_TUR_Net_1[[Customer type]:[Customer type]]=OP_Rates!$E66)*(Calc_TUR_Net_1[[Rate type]:[Rate type]]=OP_Rates!$C66),0),MATCH(OP_Rates!J$65,Calc_TUR_Net_1[[#Headers],[Ausnet]:[United Energy]],0)),8),
ROUND(INDEX(Calc_TUR_NetCL_1[[Ausnet]:[United Energy]],MATCH(OP_Rates!$E66,Calc_TUR_Net_1[[Customer type]:[Customer type]],0),MATCH(OP_Rates!J$65,Calc_TUR_Net_1[[#Headers],[Ausnet]:[United Energy]],0)),8)),
IF($F66="Environmental",
ROUND(SUMIFS(Calc_TUR_Env_1[Powercor],Calc_TUR_Env_1[[Customer type]:[Customer type]],OP_Rates!$E66,Calc_TUR_Env_1[[Rate type]:[Rate type]],OP_Rates!$C66),8))),0,1))</f>
        <v>-</v>
      </c>
      <c r="K66" s="123" t="str" cm="1">
        <f t="array" ref="K66">IF(K31="-","-",
IF(ROUND(K31,8)=
IF($F66="Network",
IF($C66&lt;&gt;"Controlled load",
ROUND(INDEX(Calc_TUR_Net_1[[Ausnet]:[United Energy]],MATCH(1,(Calc_TUR_Net_1[[Customer type]:[Customer type]]=OP_Rates!$E66)*(Calc_TUR_Net_1[[Rate type]:[Rate type]]=OP_Rates!$C66),0),MATCH(OP_Rates!K$65,Calc_TUR_Net_1[[#Headers],[Ausnet]:[United Energy]],0)),8),
ROUND(INDEX(Calc_TUR_NetCL_1[[Ausnet]:[United Energy]],MATCH(OP_Rates!$E66,Calc_TUR_Net_1[[Customer type]:[Customer type]],0),MATCH(OP_Rates!K$65,Calc_TUR_Net_1[[#Headers],[Ausnet]:[United Energy]],0)),8)),
IF($F66="Environmental",
ROUND(SUMIFS(Calc_TUR_Env_1[United Energy],Calc_TUR_Env_1[[Customer type]:[Customer type]],OP_Rates!$E66,Calc_TUR_Env_1[[Rate type]:[Rate type]],OP_Rates!$C66),8))),0,1))</f>
        <v>-</v>
      </c>
      <c r="M66" s="39" t="s">
        <v>86</v>
      </c>
      <c r="N66" s="39" t="s">
        <v>71</v>
      </c>
      <c r="O66" s="39" t="s">
        <v>73</v>
      </c>
      <c r="P66" s="14" t="s">
        <v>87</v>
      </c>
      <c r="Q66" s="123" t="str" cm="1">
        <f t="array" ref="Q66">IF(Q31="-","-",
IF(ROUND(Q31,8)=
IF($P66="Network",
ROUND(INDEX(Calc_TUR_Net_1[[Ausnet]:[United Energy]],MATCH(1,(Calc_TUR_Net_1[[Customer type]:[Customer type]]=OP_Rates!$O66)*(Calc_TUR_Net_1[[Rate type]:[Rate type]]=OP_Rates!$C66),0),MATCH(OP_Rates!Q$65,Calc_TUR_Net_1[[#Headers],[Ausnet]:[United Energy]],0)),8),
IF($P66="Environmental",
ROUND(SUMIFS(Calc_TUR_Env_1[Ausnet],Calc_TUR_Env_1[[Customer type]:[Customer type]],OP_Rates!$O66,Calc_TUR_Env_1[[Rate type]:[Rate type]],OP_Rates!$C66),8))),0,1))</f>
        <v>-</v>
      </c>
      <c r="R66" s="123" t="str" cm="1">
        <f t="array" ref="R66">IF(R31="-","-",
IF(ROUND(R31,8)=
IF($P66="Network",
ROUND(INDEX(Calc_TUR_Net_1[[Ausnet]:[United Energy]],MATCH(1,(Calc_TUR_Net_1[[Customer type]:[Customer type]]=OP_Rates!$O66)*(Calc_TUR_Net_1[[Rate type]:[Rate type]]=OP_Rates!$C66),0),MATCH(OP_Rates!R$65,Calc_TUR_Net_1[[#Headers],[Ausnet]:[United Energy]],0)),8),
IF($P66="Environmental",
ROUND(SUMIFS(Calc_TUR_Env_1[Citipower],Calc_TUR_Env_1[[Customer type]:[Customer type]],OP_Rates!$O66,Calc_TUR_Env_1[[Rate type]:[Rate type]],OP_Rates!$C66),8))),0,1))</f>
        <v>-</v>
      </c>
      <c r="S66" s="123" t="str" cm="1">
        <f t="array" ref="S66">IF(S31="-","-",
IF(ROUND(S31,8)=
IF($P66="Network",
ROUND(INDEX(Calc_TUR_Net_1[[Ausnet]:[United Energy]],MATCH(1,(Calc_TUR_Net_1[[Customer type]:[Customer type]]=OP_Rates!$O66)*(Calc_TUR_Net_1[[Rate type]:[Rate type]]=OP_Rates!$C66),0),MATCH(OP_Rates!S$65,Calc_TUR_Net_1[[#Headers],[Ausnet]:[United Energy]],0)),8),
IF($P66="Environmental",
ROUND(SUMIFS(Calc_TUR_Env_1[Jemena],Calc_TUR_Env_1[[Customer type]:[Customer type]],OP_Rates!$O66,Calc_TUR_Env_1[[Rate type]:[Rate type]],OP_Rates!$C66),8))),0,1))</f>
        <v>-</v>
      </c>
      <c r="T66" s="123" t="str" cm="1">
        <f t="array" ref="T66">IF(T31="-","-",
IF(ROUND(T31,8)=
IF($P66="Network",
ROUND(INDEX(Calc_TUR_Net_1[[Ausnet]:[United Energy]],MATCH(1,(Calc_TUR_Net_1[[Customer type]:[Customer type]]=OP_Rates!$O66)*(Calc_TUR_Net_1[[Rate type]:[Rate type]]=OP_Rates!$C66),0),MATCH(OP_Rates!T$65,Calc_TUR_Net_1[[#Headers],[Ausnet]:[United Energy]],0)),8),
IF($P66="Environmental",
ROUND(SUMIFS(Calc_TUR_Env_1[Powercor],Calc_TUR_Env_1[[Customer type]:[Customer type]],OP_Rates!$O66,Calc_TUR_Env_1[[Rate type]:[Rate type]],OP_Rates!$C66),8))),0,1))</f>
        <v>-</v>
      </c>
      <c r="U66" s="123" t="str" cm="1">
        <f t="array" ref="U66">IF(U31="-","-",
IF(ROUND(U31,8)=
IF($P66="Network",
ROUND(INDEX(Calc_TUR_Net_1[[Ausnet]:[United Energy]],MATCH(1,(Calc_TUR_Net_1[[Customer type]:[Customer type]]=OP_Rates!$O66)*(Calc_TUR_Net_1[[Rate type]:[Rate type]]=OP_Rates!$C66),0),MATCH(OP_Rates!U$65,Calc_TUR_Net_1[[#Headers],[Ausnet]:[United Energy]],0)),8),
IF($P66="Environmental",
ROUND(SUMIFS(Calc_TUR_Env_1[United Energy],Calc_TUR_Env_1[[Customer type]:[Customer type]],OP_Rates!$O66,Calc_TUR_Env_1[[Rate type]:[Rate type]],OP_Rates!$C66),8))),0,1))</f>
        <v>-</v>
      </c>
    </row>
    <row r="67" spans="2:22" ht="15.75" hidden="1" outlineLevel="2" x14ac:dyDescent="0.25">
      <c r="C67" s="39" t="s">
        <v>88</v>
      </c>
      <c r="D67" s="39" t="s">
        <v>71</v>
      </c>
      <c r="E67" s="39" t="s">
        <v>72</v>
      </c>
      <c r="F67" s="14" t="s">
        <v>87</v>
      </c>
      <c r="G67" s="123" t="str" cm="1">
        <f t="array" ref="G67">IF(G32="-","-",
IF(ROUND(G32,8)=
IF($F67="Network",
IF($C67&lt;&gt;"Controlled load",
ROUND(INDEX(Calc_TUR_Net_1[[Ausnet]:[United Energy]],MATCH(1,(Calc_TUR_Net_1[[Customer type]:[Customer type]]=OP_Rates!$E67)*(Calc_TUR_Net_1[[Rate type]:[Rate type]]=OP_Rates!$C67),0),MATCH(OP_Rates!G$65,Calc_TUR_Net_1[[#Headers],[Ausnet]:[United Energy]],0)),8),
ROUND(INDEX(Calc_TUR_NetCL_1[[Ausnet]:[United Energy]],MATCH(OP_Rates!$E67,Calc_TUR_Net_1[[Customer type]:[Customer type]],0),MATCH(OP_Rates!G$65,Calc_TUR_Net_1[[#Headers],[Ausnet]:[United Energy]],0)),8)),
IF($F67="Environmental",
ROUND(SUMIFS(Calc_TUR_Env_1[Ausnet],Calc_TUR_Env_1[[Customer type]:[Customer type]],OP_Rates!$E67,Calc_TUR_Env_1[[Rate type]:[Rate type]],OP_Rates!$C67),8))),0,1))</f>
        <v>-</v>
      </c>
      <c r="H67" s="123" t="str" cm="1">
        <f t="array" ref="H67">IF(H32="-","-",
IF(ROUND(H32,8)=
IF($F67="Network",
IF($C67&lt;&gt;"Controlled load",
ROUND(INDEX(Calc_TUR_Net_1[[Ausnet]:[United Energy]],MATCH(1,(Calc_TUR_Net_1[[Customer type]:[Customer type]]=OP_Rates!$E67)*(Calc_TUR_Net_1[[Rate type]:[Rate type]]=OP_Rates!$C67),0),MATCH(OP_Rates!H$65,Calc_TUR_Net_1[[#Headers],[Ausnet]:[United Energy]],0)),8),
ROUND(INDEX(Calc_TUR_NetCL_1[[Ausnet]:[United Energy]],MATCH(OP_Rates!$E67,Calc_TUR_Net_1[[Customer type]:[Customer type]],0),MATCH(OP_Rates!H$65,Calc_TUR_Net_1[[#Headers],[Ausnet]:[United Energy]],0)),8)),
IF($F67="Environmental",
ROUND(SUMIFS(Calc_TUR_Env_1[Citipower],Calc_TUR_Env_1[[Customer type]:[Customer type]],OP_Rates!$E67,Calc_TUR_Env_1[[Rate type]:[Rate type]],OP_Rates!$C67),8))),0,1))</f>
        <v>-</v>
      </c>
      <c r="I67" s="123" t="str" cm="1">
        <f t="array" ref="I67">IF(I32="-","-",
IF(ROUND(I32,8)=
IF($F67="Network",
IF($C67&lt;&gt;"Controlled load",
ROUND(INDEX(Calc_TUR_Net_1[[Ausnet]:[United Energy]],MATCH(1,(Calc_TUR_Net_1[[Customer type]:[Customer type]]=OP_Rates!$E67)*(Calc_TUR_Net_1[[Rate type]:[Rate type]]=OP_Rates!$C67),0),MATCH(OP_Rates!I$65,Calc_TUR_Net_1[[#Headers],[Ausnet]:[United Energy]],0)),8),
ROUND(INDEX(Calc_TUR_NetCL_1[[Ausnet]:[United Energy]],MATCH(OP_Rates!$E67,Calc_TUR_Net_1[[Customer type]:[Customer type]],0),MATCH(OP_Rates!I$65,Calc_TUR_Net_1[[#Headers],[Ausnet]:[United Energy]],0)),8)),
IF($F67="Environmental",
ROUND(SUMIFS(Calc_TUR_Env_1[Jemena],Calc_TUR_Env_1[[Customer type]:[Customer type]],OP_Rates!$E67,Calc_TUR_Env_1[[Rate type]:[Rate type]],OP_Rates!$C67),8))),0,1))</f>
        <v>-</v>
      </c>
      <c r="J67" s="123" t="str" cm="1">
        <f t="array" ref="J67">IF(J32="-","-",
IF(ROUND(J32,8)=
IF($F67="Network",
IF($C67&lt;&gt;"Controlled load",
ROUND(INDEX(Calc_TUR_Net_1[[Ausnet]:[United Energy]],MATCH(1,(Calc_TUR_Net_1[[Customer type]:[Customer type]]=OP_Rates!$E67)*(Calc_TUR_Net_1[[Rate type]:[Rate type]]=OP_Rates!$C67),0),MATCH(OP_Rates!J$65,Calc_TUR_Net_1[[#Headers],[Ausnet]:[United Energy]],0)),8),
ROUND(INDEX(Calc_TUR_NetCL_1[[Ausnet]:[United Energy]],MATCH(OP_Rates!$E67,Calc_TUR_Net_1[[Customer type]:[Customer type]],0),MATCH(OP_Rates!J$65,Calc_TUR_Net_1[[#Headers],[Ausnet]:[United Energy]],0)),8)),
IF($F67="Environmental",
ROUND(SUMIFS(Calc_TUR_Env_1[Powercor],Calc_TUR_Env_1[[Customer type]:[Customer type]],OP_Rates!$E67,Calc_TUR_Env_1[[Rate type]:[Rate type]],OP_Rates!$C67),8))),0,1))</f>
        <v>-</v>
      </c>
      <c r="K67" s="123" t="str" cm="1">
        <f t="array" ref="K67">IF(K32="-","-",
IF(ROUND(K32,8)=
IF($F67="Network",
IF($C67&lt;&gt;"Controlled load",
ROUND(INDEX(Calc_TUR_Net_1[[Ausnet]:[United Energy]],MATCH(1,(Calc_TUR_Net_1[[Customer type]:[Customer type]]=OP_Rates!$E67)*(Calc_TUR_Net_1[[Rate type]:[Rate type]]=OP_Rates!$C67),0),MATCH(OP_Rates!K$65,Calc_TUR_Net_1[[#Headers],[Ausnet]:[United Energy]],0)),8),
ROUND(INDEX(Calc_TUR_NetCL_1[[Ausnet]:[United Energy]],MATCH(OP_Rates!$E67,Calc_TUR_Net_1[[Customer type]:[Customer type]],0),MATCH(OP_Rates!K$65,Calc_TUR_Net_1[[#Headers],[Ausnet]:[United Energy]],0)),8)),
IF($F67="Environmental",
ROUND(SUMIFS(Calc_TUR_Env_1[United Energy],Calc_TUR_Env_1[[Customer type]:[Customer type]],OP_Rates!$E67,Calc_TUR_Env_1[[Rate type]:[Rate type]],OP_Rates!$C67),8))),0,1))</f>
        <v>-</v>
      </c>
      <c r="M67" s="39" t="s">
        <v>88</v>
      </c>
      <c r="N67" s="39" t="s">
        <v>71</v>
      </c>
      <c r="O67" s="39" t="s">
        <v>73</v>
      </c>
      <c r="P67" s="14" t="s">
        <v>87</v>
      </c>
      <c r="Q67" s="123" t="str" cm="1">
        <f t="array" ref="Q67">IF(Q32="-","-",
IF(ROUND(Q32,8)=
IF($P67="Network",
ROUND(INDEX(Calc_TUR_Net_1[[Ausnet]:[United Energy]],MATCH(1,(Calc_TUR_Net_1[[Customer type]:[Customer type]]=OP_Rates!$O67)*(Calc_TUR_Net_1[[Rate type]:[Rate type]]=OP_Rates!$C67),0),MATCH(OP_Rates!Q$65,Calc_TUR_Net_1[[#Headers],[Ausnet]:[United Energy]],0)),8),
IF($P67="Environmental",
ROUND(SUMIFS(Calc_TUR_Env_1[Ausnet],Calc_TUR_Env_1[[Customer type]:[Customer type]],OP_Rates!$O67,Calc_TUR_Env_1[[Rate type]:[Rate type]],OP_Rates!$C67),8))),0,1))</f>
        <v>-</v>
      </c>
      <c r="R67" s="123" t="str" cm="1">
        <f t="array" ref="R67">IF(R32="-","-",
IF(ROUND(R32,8)=
IF($P67="Network",
ROUND(INDEX(Calc_TUR_Net_1[[Ausnet]:[United Energy]],MATCH(1,(Calc_TUR_Net_1[[Customer type]:[Customer type]]=OP_Rates!$O67)*(Calc_TUR_Net_1[[Rate type]:[Rate type]]=OP_Rates!$C67),0),MATCH(OP_Rates!R$65,Calc_TUR_Net_1[[#Headers],[Ausnet]:[United Energy]],0)),8),
IF($P67="Environmental",
ROUND(SUMIFS(Calc_TUR_Env_1[Citipower],Calc_TUR_Env_1[[Customer type]:[Customer type]],OP_Rates!$O67,Calc_TUR_Env_1[[Rate type]:[Rate type]],OP_Rates!$C67),8))),0,1))</f>
        <v>-</v>
      </c>
      <c r="S67" s="123" t="str" cm="1">
        <f t="array" ref="S67">IF(S32="-","-",
IF(ROUND(S32,8)=
IF($P67="Network",
ROUND(INDEX(Calc_TUR_Net_1[[Ausnet]:[United Energy]],MATCH(1,(Calc_TUR_Net_1[[Customer type]:[Customer type]]=OP_Rates!$O67)*(Calc_TUR_Net_1[[Rate type]:[Rate type]]=OP_Rates!$C67),0),MATCH(OP_Rates!S$65,Calc_TUR_Net_1[[#Headers],[Ausnet]:[United Energy]],0)),8),
IF($P67="Environmental",
ROUND(SUMIFS(Calc_TUR_Env_1[Jemena],Calc_TUR_Env_1[[Customer type]:[Customer type]],OP_Rates!$O67,Calc_TUR_Env_1[[Rate type]:[Rate type]],OP_Rates!$C67),8))),0,1))</f>
        <v>-</v>
      </c>
      <c r="T67" s="123" t="str" cm="1">
        <f t="array" ref="T67">IF(T32="-","-",
IF(ROUND(T32,8)=
IF($P67="Network",
ROUND(INDEX(Calc_TUR_Net_1[[Ausnet]:[United Energy]],MATCH(1,(Calc_TUR_Net_1[[Customer type]:[Customer type]]=OP_Rates!$O67)*(Calc_TUR_Net_1[[Rate type]:[Rate type]]=OP_Rates!$C67),0),MATCH(OP_Rates!T$65,Calc_TUR_Net_1[[#Headers],[Ausnet]:[United Energy]],0)),8),
IF($P67="Environmental",
ROUND(SUMIFS(Calc_TUR_Env_1[Powercor],Calc_TUR_Env_1[[Customer type]:[Customer type]],OP_Rates!$O67,Calc_TUR_Env_1[[Rate type]:[Rate type]],OP_Rates!$C67),8))),0,1))</f>
        <v>-</v>
      </c>
      <c r="U67" s="123" t="str" cm="1">
        <f t="array" ref="U67">IF(U32="-","-",
IF(ROUND(U32,8)=
IF($P67="Network",
ROUND(INDEX(Calc_TUR_Net_1[[Ausnet]:[United Energy]],MATCH(1,(Calc_TUR_Net_1[[Customer type]:[Customer type]]=OP_Rates!$O67)*(Calc_TUR_Net_1[[Rate type]:[Rate type]]=OP_Rates!$C67),0),MATCH(OP_Rates!U$65,Calc_TUR_Net_1[[#Headers],[Ausnet]:[United Energy]],0)),8),
IF($P67="Environmental",
ROUND(SUMIFS(Calc_TUR_Env_1[United Energy],Calc_TUR_Env_1[[Customer type]:[Customer type]],OP_Rates!$O67,Calc_TUR_Env_1[[Rate type]:[Rate type]],OP_Rates!$C67),8))),0,1))</f>
        <v>-</v>
      </c>
    </row>
    <row r="68" spans="2:22" ht="15.75" hidden="1" outlineLevel="2" x14ac:dyDescent="0.25">
      <c r="C68" s="39" t="s">
        <v>81</v>
      </c>
      <c r="D68" s="39" t="s">
        <v>75</v>
      </c>
      <c r="E68" s="39" t="s">
        <v>72</v>
      </c>
      <c r="F68" s="14" t="s">
        <v>87</v>
      </c>
      <c r="G68" s="123" t="str" cm="1">
        <f t="array" ref="G68">IF(G33="-","-",
IF(ROUND(G33,8)=
IF($F68="Network",
IF($C68&lt;&gt;"Controlled load",
ROUND(INDEX(Calc_TUR_Net_1[[Ausnet]:[United Energy]],MATCH(1,(Calc_TUR_Net_1[[Customer type]:[Customer type]]=OP_Rates!$E68)*(Calc_TUR_Net_1[[Rate type]:[Rate type]]=OP_Rates!$C68),0),MATCH(OP_Rates!G$65,Calc_TUR_Net_1[[#Headers],[Ausnet]:[United Energy]],0)),8),
ROUND(INDEX(Calc_TUR_NetCL_1[[Ausnet]:[United Energy]],MATCH(OP_Rates!$E68,Calc_TUR_Net_1[[Customer type]:[Customer type]],0),MATCH(OP_Rates!G$65,Calc_TUR_Net_1[[#Headers],[Ausnet]:[United Energy]],0)),8)),
IF($F68="Environmental",
ROUND(SUMIFS(Calc_TUR_Env_1[Ausnet],Calc_TUR_Env_1[[Customer type]:[Customer type]],OP_Rates!$E68,Calc_TUR_Env_1[[Rate type]:[Rate type]],OP_Rates!$C68),8))),0,1))</f>
        <v>-</v>
      </c>
      <c r="H68" s="123" t="str" cm="1">
        <f t="array" ref="H68">IF(H33="-","-",
IF(ROUND(H33,8)=
IF($F68="Network",
IF($C68&lt;&gt;"Controlled load",
ROUND(INDEX(Calc_TUR_Net_1[[Ausnet]:[United Energy]],MATCH(1,(Calc_TUR_Net_1[[Customer type]:[Customer type]]=OP_Rates!$E68)*(Calc_TUR_Net_1[[Rate type]:[Rate type]]=OP_Rates!$C68),0),MATCH(OP_Rates!H$65,Calc_TUR_Net_1[[#Headers],[Ausnet]:[United Energy]],0)),8),
ROUND(INDEX(Calc_TUR_NetCL_1[[Ausnet]:[United Energy]],MATCH(OP_Rates!$E68,Calc_TUR_Net_1[[Customer type]:[Customer type]],0),MATCH(OP_Rates!H$65,Calc_TUR_Net_1[[#Headers],[Ausnet]:[United Energy]],0)),8)),
IF($F68="Environmental",
ROUND(SUMIFS(Calc_TUR_Env_1[Citipower],Calc_TUR_Env_1[[Customer type]:[Customer type]],OP_Rates!$E68,Calc_TUR_Env_1[[Rate type]:[Rate type]],OP_Rates!$C68),8))),0,1))</f>
        <v>-</v>
      </c>
      <c r="I68" s="123" t="str" cm="1">
        <f t="array" ref="I68">IF(I33="-","-",
IF(ROUND(I33,8)=
IF($F68="Network",
IF($C68&lt;&gt;"Controlled load",
ROUND(INDEX(Calc_TUR_Net_1[[Ausnet]:[United Energy]],MATCH(1,(Calc_TUR_Net_1[[Customer type]:[Customer type]]=OP_Rates!$E68)*(Calc_TUR_Net_1[[Rate type]:[Rate type]]=OP_Rates!$C68),0),MATCH(OP_Rates!I$65,Calc_TUR_Net_1[[#Headers],[Ausnet]:[United Energy]],0)),8),
ROUND(INDEX(Calc_TUR_NetCL_1[[Ausnet]:[United Energy]],MATCH(OP_Rates!$E68,Calc_TUR_Net_1[[Customer type]:[Customer type]],0),MATCH(OP_Rates!I$65,Calc_TUR_Net_1[[#Headers],[Ausnet]:[United Energy]],0)),8)),
IF($F68="Environmental",
ROUND(SUMIFS(Calc_TUR_Env_1[Jemena],Calc_TUR_Env_1[[Customer type]:[Customer type]],OP_Rates!$E68,Calc_TUR_Env_1[[Rate type]:[Rate type]],OP_Rates!$C68),8))),0,1))</f>
        <v>-</v>
      </c>
      <c r="J68" s="123" t="str" cm="1">
        <f t="array" ref="J68">IF(J33="-","-",
IF(ROUND(J33,8)=
IF($F68="Network",
IF($C68&lt;&gt;"Controlled load",
ROUND(INDEX(Calc_TUR_Net_1[[Ausnet]:[United Energy]],MATCH(1,(Calc_TUR_Net_1[[Customer type]:[Customer type]]=OP_Rates!$E68)*(Calc_TUR_Net_1[[Rate type]:[Rate type]]=OP_Rates!$C68),0),MATCH(OP_Rates!J$65,Calc_TUR_Net_1[[#Headers],[Ausnet]:[United Energy]],0)),8),
ROUND(INDEX(Calc_TUR_NetCL_1[[Ausnet]:[United Energy]],MATCH(OP_Rates!$E68,Calc_TUR_Net_1[[Customer type]:[Customer type]],0),MATCH(OP_Rates!J$65,Calc_TUR_Net_1[[#Headers],[Ausnet]:[United Energy]],0)),8)),
IF($F68="Environmental",
ROUND(SUMIFS(Calc_TUR_Env_1[Powercor],Calc_TUR_Env_1[[Customer type]:[Customer type]],OP_Rates!$E68,Calc_TUR_Env_1[[Rate type]:[Rate type]],OP_Rates!$C68),8))),0,1))</f>
        <v>-</v>
      </c>
      <c r="K68" s="123" t="str" cm="1">
        <f t="array" ref="K68">IF(K33="-","-",
IF(ROUND(K33,8)=
IF($F68="Network",
IF($C68&lt;&gt;"Controlled load",
ROUND(INDEX(Calc_TUR_Net_1[[Ausnet]:[United Energy]],MATCH(1,(Calc_TUR_Net_1[[Customer type]:[Customer type]]=OP_Rates!$E68)*(Calc_TUR_Net_1[[Rate type]:[Rate type]]=OP_Rates!$C68),0),MATCH(OP_Rates!K$65,Calc_TUR_Net_1[[#Headers],[Ausnet]:[United Energy]],0)),8),
ROUND(INDEX(Calc_TUR_NetCL_1[[Ausnet]:[United Energy]],MATCH(OP_Rates!$E68,Calc_TUR_Net_1[[Customer type]:[Customer type]],0),MATCH(OP_Rates!K$65,Calc_TUR_Net_1[[#Headers],[Ausnet]:[United Energy]],0)),8)),
IF($F68="Environmental",
ROUND(SUMIFS(Calc_TUR_Env_1[United Energy],Calc_TUR_Env_1[[Customer type]:[Customer type]],OP_Rates!$E68,Calc_TUR_Env_1[[Rate type]:[Rate type]],OP_Rates!$C68),8))),0,1))</f>
        <v>-</v>
      </c>
      <c r="M68" s="39"/>
      <c r="N68" s="39"/>
      <c r="O68" s="39"/>
      <c r="P68" s="14"/>
      <c r="Q68" s="123" t="str" cm="1">
        <f t="array" ref="Q68">IF(Q33="-","-",
IF(ROUND(Q33,8)=
IF($P68="Network",
ROUND(INDEX(Calc_TUR_Net_1[[Ausnet]:[United Energy]],MATCH(1,(Calc_TUR_Net_1[[Customer type]:[Customer type]]=OP_Rates!$O68)*(Calc_TUR_Net_1[[Rate type]:[Rate type]]=OP_Rates!$C68),0),MATCH(OP_Rates!Q$65,Calc_TUR_Net_1[[#Headers],[Ausnet]:[United Energy]],0)),8),
IF($P68="Environmental",
ROUND(SUMIFS(Calc_TUR_Env_1[Ausnet],Calc_TUR_Env_1[[Customer type]:[Customer type]],OP_Rates!$O68,Calc_TUR_Env_1[[Rate type]:[Rate type]],OP_Rates!$C68),8))),0,1))</f>
        <v>-</v>
      </c>
      <c r="R68" s="123" t="str" cm="1">
        <f t="array" ref="R68">IF(R33="-","-",
IF(ROUND(R33,8)=
IF($P68="Network",
ROUND(INDEX(Calc_TUR_Net_1[[Ausnet]:[United Energy]],MATCH(1,(Calc_TUR_Net_1[[Customer type]:[Customer type]]=OP_Rates!$O68)*(Calc_TUR_Net_1[[Rate type]:[Rate type]]=OP_Rates!$C68),0),MATCH(OP_Rates!R$65,Calc_TUR_Net_1[[#Headers],[Ausnet]:[United Energy]],0)),8),
IF($P68="Environmental",
ROUND(SUMIFS(Calc_TUR_Env_1[Citipower],Calc_TUR_Env_1[[Customer type]:[Customer type]],OP_Rates!$O68,Calc_TUR_Env_1[[Rate type]:[Rate type]],OP_Rates!$C68),8))),0,1))</f>
        <v>-</v>
      </c>
      <c r="S68" s="123" t="str" cm="1">
        <f t="array" ref="S68">IF(S33="-","-",
IF(ROUND(S33,8)=
IF($P68="Network",
ROUND(INDEX(Calc_TUR_Net_1[[Ausnet]:[United Energy]],MATCH(1,(Calc_TUR_Net_1[[Customer type]:[Customer type]]=OP_Rates!$O68)*(Calc_TUR_Net_1[[Rate type]:[Rate type]]=OP_Rates!$C68),0),MATCH(OP_Rates!S$65,Calc_TUR_Net_1[[#Headers],[Ausnet]:[United Energy]],0)),8),
IF($P68="Environmental",
ROUND(SUMIFS(Calc_TUR_Env_1[Jemena],Calc_TUR_Env_1[[Customer type]:[Customer type]],OP_Rates!$O68,Calc_TUR_Env_1[[Rate type]:[Rate type]],OP_Rates!$C68),8))),0,1))</f>
        <v>-</v>
      </c>
      <c r="T68" s="123" t="str" cm="1">
        <f t="array" ref="T68">IF(T33="-","-",
IF(ROUND(T33,8)=
IF($P68="Network",
ROUND(INDEX(Calc_TUR_Net_1[[Ausnet]:[United Energy]],MATCH(1,(Calc_TUR_Net_1[[Customer type]:[Customer type]]=OP_Rates!$O68)*(Calc_TUR_Net_1[[Rate type]:[Rate type]]=OP_Rates!$C68),0),MATCH(OP_Rates!T$65,Calc_TUR_Net_1[[#Headers],[Ausnet]:[United Energy]],0)),8),
IF($P68="Environmental",
ROUND(SUMIFS(Calc_TUR_Env_1[Powercor],Calc_TUR_Env_1[[Customer type]:[Customer type]],OP_Rates!$O68,Calc_TUR_Env_1[[Rate type]:[Rate type]],OP_Rates!$C68),8))),0,1))</f>
        <v>-</v>
      </c>
      <c r="U68" s="123" t="str" cm="1">
        <f t="array" ref="U68">IF(U33="-","-",
IF(ROUND(U33,8)=
IF($P68="Network",
ROUND(INDEX(Calc_TUR_Net_1[[Ausnet]:[United Energy]],MATCH(1,(Calc_TUR_Net_1[[Customer type]:[Customer type]]=OP_Rates!$O68)*(Calc_TUR_Net_1[[Rate type]:[Rate type]]=OP_Rates!$C68),0),MATCH(OP_Rates!U$65,Calc_TUR_Net_1[[#Headers],[Ausnet]:[United Energy]],0)),8),
IF($P68="Environmental",
ROUND(SUMIFS(Calc_TUR_Env_1[United Energy],Calc_TUR_Env_1[[Customer type]:[Customer type]],OP_Rates!$O68,Calc_TUR_Env_1[[Rate type]:[Rate type]],OP_Rates!$C68),8))),0,1))</f>
        <v>-</v>
      </c>
    </row>
    <row r="69" spans="2:22" ht="15.75" hidden="1" outlineLevel="2" x14ac:dyDescent="0.25">
      <c r="C69" s="39" t="s">
        <v>74</v>
      </c>
      <c r="D69" s="39" t="s">
        <v>75</v>
      </c>
      <c r="E69" s="39" t="s">
        <v>72</v>
      </c>
      <c r="F69" s="14" t="s">
        <v>89</v>
      </c>
      <c r="G69" s="123" cm="1">
        <f t="array" ref="G69">IF(G34="-","-",
IF(ROUND(G34,8)=
IF($F69="Network",
IF($C69&lt;&gt;"Controlled load",
ROUND(INDEX(Calc_TUR_Net_1[[Ausnet]:[United Energy]],MATCH(1,(Calc_TUR_Net_1[[Customer type]:[Customer type]]=OP_Rates!$E69)*(Calc_TUR_Net_1[[Rate type]:[Rate type]]=OP_Rates!$C69),0),MATCH(OP_Rates!G$65,Calc_TUR_Net_1[[#Headers],[Ausnet]:[United Energy]],0)),8),
ROUND(INDEX(Calc_TUR_NetCL_1[[Ausnet]:[United Energy]],MATCH(OP_Rates!$E69,Calc_TUR_Net_1[[Customer type]:[Customer type]],0),MATCH(OP_Rates!G$65,Calc_TUR_Net_1[[#Headers],[Ausnet]:[United Energy]],0)),8)),
IF($F69="Environmental",
ROUND(SUMIFS(Calc_TUR_Env_1[Ausnet],Calc_TUR_Env_1[[Customer type]:[Customer type]],OP_Rates!$E69,Calc_TUR_Env_1[[Rate type]:[Rate type]],OP_Rates!$C69),8))),0,1))</f>
        <v>0</v>
      </c>
      <c r="H69" s="123" cm="1">
        <f t="array" ref="H69">IF(H34="-","-",
IF(ROUND(H34,8)=
IF($F69="Network",
IF($C69&lt;&gt;"Controlled load",
ROUND(INDEX(Calc_TUR_Net_1[[Ausnet]:[United Energy]],MATCH(1,(Calc_TUR_Net_1[[Customer type]:[Customer type]]=OP_Rates!$E69)*(Calc_TUR_Net_1[[Rate type]:[Rate type]]=OP_Rates!$C69),0),MATCH(OP_Rates!H$65,Calc_TUR_Net_1[[#Headers],[Ausnet]:[United Energy]],0)),8),
ROUND(INDEX(Calc_TUR_NetCL_1[[Ausnet]:[United Energy]],MATCH(OP_Rates!$E69,Calc_TUR_Net_1[[Customer type]:[Customer type]],0),MATCH(OP_Rates!H$65,Calc_TUR_Net_1[[#Headers],[Ausnet]:[United Energy]],0)),8)),
IF($F69="Environmental",
ROUND(SUMIFS(Calc_TUR_Env_1[Citipower],Calc_TUR_Env_1[[Customer type]:[Customer type]],OP_Rates!$E69,Calc_TUR_Env_1[[Rate type]:[Rate type]],OP_Rates!$C69),8))),0,1))</f>
        <v>0</v>
      </c>
      <c r="I69" s="123" cm="1">
        <f t="array" ref="I69">IF(I34="-","-",
IF(ROUND(I34,8)=
IF($F69="Network",
IF($C69&lt;&gt;"Controlled load",
ROUND(INDEX(Calc_TUR_Net_1[[Ausnet]:[United Energy]],MATCH(1,(Calc_TUR_Net_1[[Customer type]:[Customer type]]=OP_Rates!$E69)*(Calc_TUR_Net_1[[Rate type]:[Rate type]]=OP_Rates!$C69),0),MATCH(OP_Rates!I$65,Calc_TUR_Net_1[[#Headers],[Ausnet]:[United Energy]],0)),8),
ROUND(INDEX(Calc_TUR_NetCL_1[[Ausnet]:[United Energy]],MATCH(OP_Rates!$E69,Calc_TUR_Net_1[[Customer type]:[Customer type]],0),MATCH(OP_Rates!I$65,Calc_TUR_Net_1[[#Headers],[Ausnet]:[United Energy]],0)),8)),
IF($F69="Environmental",
ROUND(SUMIFS(Calc_TUR_Env_1[Jemena],Calc_TUR_Env_1[[Customer type]:[Customer type]],OP_Rates!$E69,Calc_TUR_Env_1[[Rate type]:[Rate type]],OP_Rates!$C69),8))),0,1))</f>
        <v>0</v>
      </c>
      <c r="J69" s="123" cm="1">
        <f t="array" ref="J69">IF(J34="-","-",
IF(ROUND(J34,8)=
IF($F69="Network",
IF($C69&lt;&gt;"Controlled load",
ROUND(INDEX(Calc_TUR_Net_1[[Ausnet]:[United Energy]],MATCH(1,(Calc_TUR_Net_1[[Customer type]:[Customer type]]=OP_Rates!$E69)*(Calc_TUR_Net_1[[Rate type]:[Rate type]]=OP_Rates!$C69),0),MATCH(OP_Rates!J$65,Calc_TUR_Net_1[[#Headers],[Ausnet]:[United Energy]],0)),8),
ROUND(INDEX(Calc_TUR_NetCL_1[[Ausnet]:[United Energy]],MATCH(OP_Rates!$E69,Calc_TUR_Net_1[[Customer type]:[Customer type]],0),MATCH(OP_Rates!J$65,Calc_TUR_Net_1[[#Headers],[Ausnet]:[United Energy]],0)),8)),
IF($F69="Environmental",
ROUND(SUMIFS(Calc_TUR_Env_1[Powercor],Calc_TUR_Env_1[[Customer type]:[Customer type]],OP_Rates!$E69,Calc_TUR_Env_1[[Rate type]:[Rate type]],OP_Rates!$C69),8))),0,1))</f>
        <v>0</v>
      </c>
      <c r="K69" s="123" cm="1">
        <f t="array" ref="K69">IF(K34="-","-",
IF(ROUND(K34,8)=
IF($F69="Network",
IF($C69&lt;&gt;"Controlled load",
ROUND(INDEX(Calc_TUR_Net_1[[Ausnet]:[United Energy]],MATCH(1,(Calc_TUR_Net_1[[Customer type]:[Customer type]]=OP_Rates!$E69)*(Calc_TUR_Net_1[[Rate type]:[Rate type]]=OP_Rates!$C69),0),MATCH(OP_Rates!K$65,Calc_TUR_Net_1[[#Headers],[Ausnet]:[United Energy]],0)),8),
ROUND(INDEX(Calc_TUR_NetCL_1[[Ausnet]:[United Energy]],MATCH(OP_Rates!$E69,Calc_TUR_Net_1[[Customer type]:[Customer type]],0),MATCH(OP_Rates!K$65,Calc_TUR_Net_1[[#Headers],[Ausnet]:[United Energy]],0)),8)),
IF($F69="Environmental",
ROUND(SUMIFS(Calc_TUR_Env_1[United Energy],Calc_TUR_Env_1[[Customer type]:[Customer type]],OP_Rates!$E69,Calc_TUR_Env_1[[Rate type]:[Rate type]],OP_Rates!$C69),8))),0,1))</f>
        <v>0</v>
      </c>
      <c r="M69" s="39" t="s">
        <v>74</v>
      </c>
      <c r="N69" s="39" t="s">
        <v>75</v>
      </c>
      <c r="O69" s="39" t="s">
        <v>73</v>
      </c>
      <c r="P69" s="14" t="s">
        <v>89</v>
      </c>
      <c r="Q69" s="123" cm="1">
        <f t="array" ref="Q69">IF(Q34="-","-",
IF(ROUND(Q34,8)=
IF($P69="Network",
ROUND(INDEX(Calc_TUR_Net_1[[Ausnet]:[United Energy]],MATCH(1,(Calc_TUR_Net_1[[Customer type]:[Customer type]]=OP_Rates!$O69)*(Calc_TUR_Net_1[[Rate type]:[Rate type]]=OP_Rates!$C69),0),MATCH(OP_Rates!Q$65,Calc_TUR_Net_1[[#Headers],[Ausnet]:[United Energy]],0)),8),
IF($P69="Environmental",
ROUND(SUMIFS(Calc_TUR_Env_1[Ausnet],Calc_TUR_Env_1[[Customer type]:[Customer type]],OP_Rates!$O69,Calc_TUR_Env_1[[Rate type]:[Rate type]],OP_Rates!$C69),8))),0,1))</f>
        <v>0</v>
      </c>
      <c r="R69" s="123" cm="1">
        <f t="array" ref="R69">IF(R34="-","-",
IF(ROUND(R34,8)=
IF($P69="Network",
ROUND(INDEX(Calc_TUR_Net_1[[Ausnet]:[United Energy]],MATCH(1,(Calc_TUR_Net_1[[Customer type]:[Customer type]]=OP_Rates!$O69)*(Calc_TUR_Net_1[[Rate type]:[Rate type]]=OP_Rates!$C69),0),MATCH(OP_Rates!R$65,Calc_TUR_Net_1[[#Headers],[Ausnet]:[United Energy]],0)),8),
IF($P69="Environmental",
ROUND(SUMIFS(Calc_TUR_Env_1[Citipower],Calc_TUR_Env_1[[Customer type]:[Customer type]],OP_Rates!$O69,Calc_TUR_Env_1[[Rate type]:[Rate type]],OP_Rates!$C69),8))),0,1))</f>
        <v>0</v>
      </c>
      <c r="S69" s="123" cm="1">
        <f t="array" ref="S69">IF(S34="-","-",
IF(ROUND(S34,8)=
IF($P69="Network",
ROUND(INDEX(Calc_TUR_Net_1[[Ausnet]:[United Energy]],MATCH(1,(Calc_TUR_Net_1[[Customer type]:[Customer type]]=OP_Rates!$O69)*(Calc_TUR_Net_1[[Rate type]:[Rate type]]=OP_Rates!$C69),0),MATCH(OP_Rates!S$65,Calc_TUR_Net_1[[#Headers],[Ausnet]:[United Energy]],0)),8),
IF($P69="Environmental",
ROUND(SUMIFS(Calc_TUR_Env_1[Jemena],Calc_TUR_Env_1[[Customer type]:[Customer type]],OP_Rates!$O69,Calc_TUR_Env_1[[Rate type]:[Rate type]],OP_Rates!$C69),8))),0,1))</f>
        <v>0</v>
      </c>
      <c r="T69" s="123" cm="1">
        <f t="array" ref="T69">IF(T34="-","-",
IF(ROUND(T34,8)=
IF($P69="Network",
ROUND(INDEX(Calc_TUR_Net_1[[Ausnet]:[United Energy]],MATCH(1,(Calc_TUR_Net_1[[Customer type]:[Customer type]]=OP_Rates!$O69)*(Calc_TUR_Net_1[[Rate type]:[Rate type]]=OP_Rates!$C69),0),MATCH(OP_Rates!T$65,Calc_TUR_Net_1[[#Headers],[Ausnet]:[United Energy]],0)),8),
IF($P69="Environmental",
ROUND(SUMIFS(Calc_TUR_Env_1[Powercor],Calc_TUR_Env_1[[Customer type]:[Customer type]],OP_Rates!$O69,Calc_TUR_Env_1[[Rate type]:[Rate type]],OP_Rates!$C69),8))),0,1))</f>
        <v>0</v>
      </c>
      <c r="U69" s="123" cm="1">
        <f t="array" ref="U69">IF(U34="-","-",
IF(ROUND(U34,8)=
IF($P69="Network",
ROUND(INDEX(Calc_TUR_Net_1[[Ausnet]:[United Energy]],MATCH(1,(Calc_TUR_Net_1[[Customer type]:[Customer type]]=OP_Rates!$O69)*(Calc_TUR_Net_1[[Rate type]:[Rate type]]=OP_Rates!$C69),0),MATCH(OP_Rates!U$65,Calc_TUR_Net_1[[#Headers],[Ausnet]:[United Energy]],0)),8),
IF($P69="Environmental",
ROUND(SUMIFS(Calc_TUR_Env_1[United Energy],Calc_TUR_Env_1[[Customer type]:[Customer type]],OP_Rates!$O69,Calc_TUR_Env_1[[Rate type]:[Rate type]],OP_Rates!$C69),8))),0,1))</f>
        <v>0</v>
      </c>
    </row>
    <row r="70" spans="2:22" ht="15.75" hidden="1" outlineLevel="2" x14ac:dyDescent="0.25">
      <c r="C70" s="39" t="s">
        <v>76</v>
      </c>
      <c r="D70" s="39" t="s">
        <v>75</v>
      </c>
      <c r="E70" s="39" t="s">
        <v>72</v>
      </c>
      <c r="F70" s="14" t="s">
        <v>89</v>
      </c>
      <c r="G70" s="123" cm="1">
        <f t="array" ref="G70">IF(G35="-","-",
IF(ROUND(G35,8)=
IF($F70="Network",
IF($C70&lt;&gt;"Controlled load",
ROUND(INDEX(Calc_TUR_Net_1[[Ausnet]:[United Energy]],MATCH(1,(Calc_TUR_Net_1[[Customer type]:[Customer type]]=OP_Rates!$E70)*(Calc_TUR_Net_1[[Rate type]:[Rate type]]=OP_Rates!$C70),0),MATCH(OP_Rates!G$65,Calc_TUR_Net_1[[#Headers],[Ausnet]:[United Energy]],0)),8),
ROUND(INDEX(Calc_TUR_NetCL_1[[Ausnet]:[United Energy]],MATCH(OP_Rates!$E70,Calc_TUR_Net_1[[Customer type]:[Customer type]],0),MATCH(OP_Rates!G$65,Calc_TUR_Net_1[[#Headers],[Ausnet]:[United Energy]],0)),8)),
IF($F70="Environmental",
ROUND(SUMIFS(Calc_TUR_Env_1[Ausnet],Calc_TUR_Env_1[[Customer type]:[Customer type]],OP_Rates!$E70,Calc_TUR_Env_1[[Rate type]:[Rate type]],OP_Rates!$C70),8))),0,1))</f>
        <v>0</v>
      </c>
      <c r="H70" s="123" cm="1">
        <f t="array" ref="H70">IF(H35="-","-",
IF(ROUND(H35,8)=
IF($F70="Network",
IF($C70&lt;&gt;"Controlled load",
ROUND(INDEX(Calc_TUR_Net_1[[Ausnet]:[United Energy]],MATCH(1,(Calc_TUR_Net_1[[Customer type]:[Customer type]]=OP_Rates!$E70)*(Calc_TUR_Net_1[[Rate type]:[Rate type]]=OP_Rates!$C70),0),MATCH(OP_Rates!H$65,Calc_TUR_Net_1[[#Headers],[Ausnet]:[United Energy]],0)),8),
ROUND(INDEX(Calc_TUR_NetCL_1[[Ausnet]:[United Energy]],MATCH(OP_Rates!$E70,Calc_TUR_Net_1[[Customer type]:[Customer type]],0),MATCH(OP_Rates!H$65,Calc_TUR_Net_1[[#Headers],[Ausnet]:[United Energy]],0)),8)),
IF($F70="Environmental",
ROUND(SUMIFS(Calc_TUR_Env_1[Citipower],Calc_TUR_Env_1[[Customer type]:[Customer type]],OP_Rates!$E70,Calc_TUR_Env_1[[Rate type]:[Rate type]],OP_Rates!$C70),8))),0,1))</f>
        <v>0</v>
      </c>
      <c r="I70" s="123" cm="1">
        <f t="array" ref="I70">IF(I35="-","-",
IF(ROUND(I35,8)=
IF($F70="Network",
IF($C70&lt;&gt;"Controlled load",
ROUND(INDEX(Calc_TUR_Net_1[[Ausnet]:[United Energy]],MATCH(1,(Calc_TUR_Net_1[[Customer type]:[Customer type]]=OP_Rates!$E70)*(Calc_TUR_Net_1[[Rate type]:[Rate type]]=OP_Rates!$C70),0),MATCH(OP_Rates!I$65,Calc_TUR_Net_1[[#Headers],[Ausnet]:[United Energy]],0)),8),
ROUND(INDEX(Calc_TUR_NetCL_1[[Ausnet]:[United Energy]],MATCH(OP_Rates!$E70,Calc_TUR_Net_1[[Customer type]:[Customer type]],0),MATCH(OP_Rates!I$65,Calc_TUR_Net_1[[#Headers],[Ausnet]:[United Energy]],0)),8)),
IF($F70="Environmental",
ROUND(SUMIFS(Calc_TUR_Env_1[Jemena],Calc_TUR_Env_1[[Customer type]:[Customer type]],OP_Rates!$E70,Calc_TUR_Env_1[[Rate type]:[Rate type]],OP_Rates!$C70),8))),0,1))</f>
        <v>0</v>
      </c>
      <c r="J70" s="123" cm="1">
        <f t="array" ref="J70">IF(J35="-","-",
IF(ROUND(J35,8)=
IF($F70="Network",
IF($C70&lt;&gt;"Controlled load",
ROUND(INDEX(Calc_TUR_Net_1[[Ausnet]:[United Energy]],MATCH(1,(Calc_TUR_Net_1[[Customer type]:[Customer type]]=OP_Rates!$E70)*(Calc_TUR_Net_1[[Rate type]:[Rate type]]=OP_Rates!$C70),0),MATCH(OP_Rates!J$65,Calc_TUR_Net_1[[#Headers],[Ausnet]:[United Energy]],0)),8),
ROUND(INDEX(Calc_TUR_NetCL_1[[Ausnet]:[United Energy]],MATCH(OP_Rates!$E70,Calc_TUR_Net_1[[Customer type]:[Customer type]],0),MATCH(OP_Rates!J$65,Calc_TUR_Net_1[[#Headers],[Ausnet]:[United Energy]],0)),8)),
IF($F70="Environmental",
ROUND(SUMIFS(Calc_TUR_Env_1[Powercor],Calc_TUR_Env_1[[Customer type]:[Customer type]],OP_Rates!$E70,Calc_TUR_Env_1[[Rate type]:[Rate type]],OP_Rates!$C70),8))),0,1))</f>
        <v>0</v>
      </c>
      <c r="K70" s="123" cm="1">
        <f t="array" ref="K70">IF(K35="-","-",
IF(ROUND(K35,8)=
IF($F70="Network",
IF($C70&lt;&gt;"Controlled load",
ROUND(INDEX(Calc_TUR_Net_1[[Ausnet]:[United Energy]],MATCH(1,(Calc_TUR_Net_1[[Customer type]:[Customer type]]=OP_Rates!$E70)*(Calc_TUR_Net_1[[Rate type]:[Rate type]]=OP_Rates!$C70),0),MATCH(OP_Rates!K$65,Calc_TUR_Net_1[[#Headers],[Ausnet]:[United Energy]],0)),8),
ROUND(INDEX(Calc_TUR_NetCL_1[[Ausnet]:[United Energy]],MATCH(OP_Rates!$E70,Calc_TUR_Net_1[[Customer type]:[Customer type]],0),MATCH(OP_Rates!K$65,Calc_TUR_Net_1[[#Headers],[Ausnet]:[United Energy]],0)),8)),
IF($F70="Environmental",
ROUND(SUMIFS(Calc_TUR_Env_1[United Energy],Calc_TUR_Env_1[[Customer type]:[Customer type]],OP_Rates!$E70,Calc_TUR_Env_1[[Rate type]:[Rate type]],OP_Rates!$C70),8))),0,1))</f>
        <v>0</v>
      </c>
      <c r="M70" s="39" t="s">
        <v>76</v>
      </c>
      <c r="N70" s="39" t="s">
        <v>75</v>
      </c>
      <c r="O70" s="39" t="s">
        <v>73</v>
      </c>
      <c r="P70" s="14" t="s">
        <v>89</v>
      </c>
      <c r="Q70" s="123" cm="1">
        <f t="array" ref="Q70">IF(Q35="-","-",
IF(ROUND(Q35,8)=
IF($P70="Network",
ROUND(INDEX(Calc_TUR_Net_1[[Ausnet]:[United Energy]],MATCH(1,(Calc_TUR_Net_1[[Customer type]:[Customer type]]=OP_Rates!$O70)*(Calc_TUR_Net_1[[Rate type]:[Rate type]]=OP_Rates!$C70),0),MATCH(OP_Rates!Q$65,Calc_TUR_Net_1[[#Headers],[Ausnet]:[United Energy]],0)),8),
IF($P70="Environmental",
ROUND(SUMIFS(Calc_TUR_Env_1[Ausnet],Calc_TUR_Env_1[[Customer type]:[Customer type]],OP_Rates!$O70,Calc_TUR_Env_1[[Rate type]:[Rate type]],OP_Rates!$C70),8))),0,1))</f>
        <v>0</v>
      </c>
      <c r="R70" s="123" cm="1">
        <f t="array" ref="R70">IF(R35="-","-",
IF(ROUND(R35,8)=
IF($P70="Network",
ROUND(INDEX(Calc_TUR_Net_1[[Ausnet]:[United Energy]],MATCH(1,(Calc_TUR_Net_1[[Customer type]:[Customer type]]=OP_Rates!$O70)*(Calc_TUR_Net_1[[Rate type]:[Rate type]]=OP_Rates!$C70),0),MATCH(OP_Rates!R$65,Calc_TUR_Net_1[[#Headers],[Ausnet]:[United Energy]],0)),8),
IF($P70="Environmental",
ROUND(SUMIFS(Calc_TUR_Env_1[Citipower],Calc_TUR_Env_1[[Customer type]:[Customer type]],OP_Rates!$O70,Calc_TUR_Env_1[[Rate type]:[Rate type]],OP_Rates!$C70),8))),0,1))</f>
        <v>0</v>
      </c>
      <c r="S70" s="123" cm="1">
        <f t="array" ref="S70">IF(S35="-","-",
IF(ROUND(S35,8)=
IF($P70="Network",
ROUND(INDEX(Calc_TUR_Net_1[[Ausnet]:[United Energy]],MATCH(1,(Calc_TUR_Net_1[[Customer type]:[Customer type]]=OP_Rates!$O70)*(Calc_TUR_Net_1[[Rate type]:[Rate type]]=OP_Rates!$C70),0),MATCH(OP_Rates!S$65,Calc_TUR_Net_1[[#Headers],[Ausnet]:[United Energy]],0)),8),
IF($P70="Environmental",
ROUND(SUMIFS(Calc_TUR_Env_1[Jemena],Calc_TUR_Env_1[[Customer type]:[Customer type]],OP_Rates!$O70,Calc_TUR_Env_1[[Rate type]:[Rate type]],OP_Rates!$C70),8))),0,1))</f>
        <v>0</v>
      </c>
      <c r="T70" s="123" cm="1">
        <f t="array" ref="T70">IF(T35="-","-",
IF(ROUND(T35,8)=
IF($P70="Network",
ROUND(INDEX(Calc_TUR_Net_1[[Ausnet]:[United Energy]],MATCH(1,(Calc_TUR_Net_1[[Customer type]:[Customer type]]=OP_Rates!$O70)*(Calc_TUR_Net_1[[Rate type]:[Rate type]]=OP_Rates!$C70),0),MATCH(OP_Rates!T$65,Calc_TUR_Net_1[[#Headers],[Ausnet]:[United Energy]],0)),8),
IF($P70="Environmental",
ROUND(SUMIFS(Calc_TUR_Env_1[Powercor],Calc_TUR_Env_1[[Customer type]:[Customer type]],OP_Rates!$O70,Calc_TUR_Env_1[[Rate type]:[Rate type]],OP_Rates!$C70),8))),0,1))</f>
        <v>0</v>
      </c>
      <c r="U70" s="123" cm="1">
        <f t="array" ref="U70">IF(U35="-","-",
IF(ROUND(U35,8)=
IF($P70="Network",
ROUND(INDEX(Calc_TUR_Net_1[[Ausnet]:[United Energy]],MATCH(1,(Calc_TUR_Net_1[[Customer type]:[Customer type]]=OP_Rates!$O70)*(Calc_TUR_Net_1[[Rate type]:[Rate type]]=OP_Rates!$C70),0),MATCH(OP_Rates!U$65,Calc_TUR_Net_1[[#Headers],[Ausnet]:[United Energy]],0)),8),
IF($P70="Environmental",
ROUND(SUMIFS(Calc_TUR_Env_1[United Energy],Calc_TUR_Env_1[[Customer type]:[Customer type]],OP_Rates!$O70,Calc_TUR_Env_1[[Rate type]:[Rate type]],OP_Rates!$C70),8))),0,1))</f>
        <v>0</v>
      </c>
    </row>
    <row r="71" spans="2:22" ht="15.75" hidden="1" outlineLevel="2" x14ac:dyDescent="0.25">
      <c r="C71" s="39" t="s">
        <v>77</v>
      </c>
      <c r="D71" s="39" t="s">
        <v>75</v>
      </c>
      <c r="E71" s="39" t="s">
        <v>72</v>
      </c>
      <c r="F71" s="14" t="s">
        <v>89</v>
      </c>
      <c r="G71" s="123" cm="1">
        <f t="array" ref="G71">IF(G36="-","-",
IF(ROUND(G36,8)=
IF($F71="Network",
IF($C71&lt;&gt;"Controlled load",
ROUND(INDEX(Calc_TUR_Net_1[[Ausnet]:[United Energy]],MATCH(1,(Calc_TUR_Net_1[[Customer type]:[Customer type]]=OP_Rates!$E71)*(Calc_TUR_Net_1[[Rate type]:[Rate type]]=OP_Rates!$C71),0),MATCH(OP_Rates!G$65,Calc_TUR_Net_1[[#Headers],[Ausnet]:[United Energy]],0)),8),
ROUND(INDEX(Calc_TUR_NetCL_1[[Ausnet]:[United Energy]],MATCH(OP_Rates!$E71,Calc_TUR_Net_1[[Customer type]:[Customer type]],0),MATCH(OP_Rates!G$65,Calc_TUR_Net_1[[#Headers],[Ausnet]:[United Energy]],0)),8)),
IF($F71="Environmental",
ROUND(SUMIFS(Calc_TUR_Env_1[Ausnet],Calc_TUR_Env_1[[Customer type]:[Customer type]],OP_Rates!$E71,Calc_TUR_Env_1[[Rate type]:[Rate type]],OP_Rates!$C71),8))),0,1))</f>
        <v>0</v>
      </c>
      <c r="H71" s="123" cm="1">
        <f t="array" ref="H71">IF(H36="-","-",
IF(ROUND(H36,8)=
IF($F71="Network",
IF($C71&lt;&gt;"Controlled load",
ROUND(INDEX(Calc_TUR_Net_1[[Ausnet]:[United Energy]],MATCH(1,(Calc_TUR_Net_1[[Customer type]:[Customer type]]=OP_Rates!$E71)*(Calc_TUR_Net_1[[Rate type]:[Rate type]]=OP_Rates!$C71),0),MATCH(OP_Rates!H$65,Calc_TUR_Net_1[[#Headers],[Ausnet]:[United Energy]],0)),8),
ROUND(INDEX(Calc_TUR_NetCL_1[[Ausnet]:[United Energy]],MATCH(OP_Rates!$E71,Calc_TUR_Net_1[[Customer type]:[Customer type]],0),MATCH(OP_Rates!H$65,Calc_TUR_Net_1[[#Headers],[Ausnet]:[United Energy]],0)),8)),
IF($F71="Environmental",
ROUND(SUMIFS(Calc_TUR_Env_1[Citipower],Calc_TUR_Env_1[[Customer type]:[Customer type]],OP_Rates!$E71,Calc_TUR_Env_1[[Rate type]:[Rate type]],OP_Rates!$C71),8))),0,1))</f>
        <v>0</v>
      </c>
      <c r="I71" s="123" cm="1">
        <f t="array" ref="I71">IF(I36="-","-",
IF(ROUND(I36,8)=
IF($F71="Network",
IF($C71&lt;&gt;"Controlled load",
ROUND(INDEX(Calc_TUR_Net_1[[Ausnet]:[United Energy]],MATCH(1,(Calc_TUR_Net_1[[Customer type]:[Customer type]]=OP_Rates!$E71)*(Calc_TUR_Net_1[[Rate type]:[Rate type]]=OP_Rates!$C71),0),MATCH(OP_Rates!I$65,Calc_TUR_Net_1[[#Headers],[Ausnet]:[United Energy]],0)),8),
ROUND(INDEX(Calc_TUR_NetCL_1[[Ausnet]:[United Energy]],MATCH(OP_Rates!$E71,Calc_TUR_Net_1[[Customer type]:[Customer type]],0),MATCH(OP_Rates!I$65,Calc_TUR_Net_1[[#Headers],[Ausnet]:[United Energy]],0)),8)),
IF($F71="Environmental",
ROUND(SUMIFS(Calc_TUR_Env_1[Jemena],Calc_TUR_Env_1[[Customer type]:[Customer type]],OP_Rates!$E71,Calc_TUR_Env_1[[Rate type]:[Rate type]],OP_Rates!$C71),8))),0,1))</f>
        <v>0</v>
      </c>
      <c r="J71" s="123" cm="1">
        <f t="array" ref="J71">IF(J36="-","-",
IF(ROUND(J36,8)=
IF($F71="Network",
IF($C71&lt;&gt;"Controlled load",
ROUND(INDEX(Calc_TUR_Net_1[[Ausnet]:[United Energy]],MATCH(1,(Calc_TUR_Net_1[[Customer type]:[Customer type]]=OP_Rates!$E71)*(Calc_TUR_Net_1[[Rate type]:[Rate type]]=OP_Rates!$C71),0),MATCH(OP_Rates!J$65,Calc_TUR_Net_1[[#Headers],[Ausnet]:[United Energy]],0)),8),
ROUND(INDEX(Calc_TUR_NetCL_1[[Ausnet]:[United Energy]],MATCH(OP_Rates!$E71,Calc_TUR_Net_1[[Customer type]:[Customer type]],0),MATCH(OP_Rates!J$65,Calc_TUR_Net_1[[#Headers],[Ausnet]:[United Energy]],0)),8)),
IF($F71="Environmental",
ROUND(SUMIFS(Calc_TUR_Env_1[Powercor],Calc_TUR_Env_1[[Customer type]:[Customer type]],OP_Rates!$E71,Calc_TUR_Env_1[[Rate type]:[Rate type]],OP_Rates!$C71),8))),0,1))</f>
        <v>0</v>
      </c>
      <c r="K71" s="123" cm="1">
        <f t="array" ref="K71">IF(K36="-","-",
IF(ROUND(K36,8)=
IF($F71="Network",
IF($C71&lt;&gt;"Controlled load",
ROUND(INDEX(Calc_TUR_Net_1[[Ausnet]:[United Energy]],MATCH(1,(Calc_TUR_Net_1[[Customer type]:[Customer type]]=OP_Rates!$E71)*(Calc_TUR_Net_1[[Rate type]:[Rate type]]=OP_Rates!$C71),0),MATCH(OP_Rates!K$65,Calc_TUR_Net_1[[#Headers],[Ausnet]:[United Energy]],0)),8),
ROUND(INDEX(Calc_TUR_NetCL_1[[Ausnet]:[United Energy]],MATCH(OP_Rates!$E71,Calc_TUR_Net_1[[Customer type]:[Customer type]],0),MATCH(OP_Rates!K$65,Calc_TUR_Net_1[[#Headers],[Ausnet]:[United Energy]],0)),8)),
IF($F71="Environmental",
ROUND(SUMIFS(Calc_TUR_Env_1[United Energy],Calc_TUR_Env_1[[Customer type]:[Customer type]],OP_Rates!$E71,Calc_TUR_Env_1[[Rate type]:[Rate type]],OP_Rates!$C71),8))),0,1))</f>
        <v>0</v>
      </c>
      <c r="M71" s="39" t="s">
        <v>77</v>
      </c>
      <c r="N71" s="39" t="s">
        <v>75</v>
      </c>
      <c r="O71" s="39" t="s">
        <v>73</v>
      </c>
      <c r="P71" s="14" t="s">
        <v>89</v>
      </c>
      <c r="Q71" s="123" cm="1">
        <f t="array" ref="Q71">IF(Q36="-","-",
IF(ROUND(Q36,8)=
IF($P71="Network",
ROUND(INDEX(Calc_TUR_Net_1[[Ausnet]:[United Energy]],MATCH(1,(Calc_TUR_Net_1[[Customer type]:[Customer type]]=OP_Rates!$O71)*(Calc_TUR_Net_1[[Rate type]:[Rate type]]=OP_Rates!$C71),0),MATCH(OP_Rates!Q$65,Calc_TUR_Net_1[[#Headers],[Ausnet]:[United Energy]],0)),8),
IF($P71="Environmental",
ROUND(SUMIFS(Calc_TUR_Env_1[Ausnet],Calc_TUR_Env_1[[Customer type]:[Customer type]],OP_Rates!$O71,Calc_TUR_Env_1[[Rate type]:[Rate type]],OP_Rates!$C71),8))),0,1))</f>
        <v>0</v>
      </c>
      <c r="R71" s="123" cm="1">
        <f t="array" ref="R71">IF(R36="-","-",
IF(ROUND(R36,8)=
IF($P71="Network",
ROUND(INDEX(Calc_TUR_Net_1[[Ausnet]:[United Energy]],MATCH(1,(Calc_TUR_Net_1[[Customer type]:[Customer type]]=OP_Rates!$O71)*(Calc_TUR_Net_1[[Rate type]:[Rate type]]=OP_Rates!$C71),0),MATCH(OP_Rates!R$65,Calc_TUR_Net_1[[#Headers],[Ausnet]:[United Energy]],0)),8),
IF($P71="Environmental",
ROUND(SUMIFS(Calc_TUR_Env_1[Citipower],Calc_TUR_Env_1[[Customer type]:[Customer type]],OP_Rates!$O71,Calc_TUR_Env_1[[Rate type]:[Rate type]],OP_Rates!$C71),8))),0,1))</f>
        <v>0</v>
      </c>
      <c r="S71" s="123" cm="1">
        <f t="array" ref="S71">IF(S36="-","-",
IF(ROUND(S36,8)=
IF($P71="Network",
ROUND(INDEX(Calc_TUR_Net_1[[Ausnet]:[United Energy]],MATCH(1,(Calc_TUR_Net_1[[Customer type]:[Customer type]]=OP_Rates!$O71)*(Calc_TUR_Net_1[[Rate type]:[Rate type]]=OP_Rates!$C71),0),MATCH(OP_Rates!S$65,Calc_TUR_Net_1[[#Headers],[Ausnet]:[United Energy]],0)),8),
IF($P71="Environmental",
ROUND(SUMIFS(Calc_TUR_Env_1[Jemena],Calc_TUR_Env_1[[Customer type]:[Customer type]],OP_Rates!$O71,Calc_TUR_Env_1[[Rate type]:[Rate type]],OP_Rates!$C71),8))),0,1))</f>
        <v>0</v>
      </c>
      <c r="T71" s="123" cm="1">
        <f t="array" ref="T71">IF(T36="-","-",
IF(ROUND(T36,8)=
IF($P71="Network",
ROUND(INDEX(Calc_TUR_Net_1[[Ausnet]:[United Energy]],MATCH(1,(Calc_TUR_Net_1[[Customer type]:[Customer type]]=OP_Rates!$O71)*(Calc_TUR_Net_1[[Rate type]:[Rate type]]=OP_Rates!$C71),0),MATCH(OP_Rates!T$65,Calc_TUR_Net_1[[#Headers],[Ausnet]:[United Energy]],0)),8),
IF($P71="Environmental",
ROUND(SUMIFS(Calc_TUR_Env_1[Powercor],Calc_TUR_Env_1[[Customer type]:[Customer type]],OP_Rates!$O71,Calc_TUR_Env_1[[Rate type]:[Rate type]],OP_Rates!$C71),8))),0,1))</f>
        <v>0</v>
      </c>
      <c r="U71" s="123" cm="1">
        <f t="array" ref="U71">IF(U36="-","-",
IF(ROUND(U36,8)=
IF($P71="Network",
ROUND(INDEX(Calc_TUR_Net_1[[Ausnet]:[United Energy]],MATCH(1,(Calc_TUR_Net_1[[Customer type]:[Customer type]]=OP_Rates!$O71)*(Calc_TUR_Net_1[[Rate type]:[Rate type]]=OP_Rates!$C71),0),MATCH(OP_Rates!U$65,Calc_TUR_Net_1[[#Headers],[Ausnet]:[United Energy]],0)),8),
IF($P71="Environmental",
ROUND(SUMIFS(Calc_TUR_Env_1[United Energy],Calc_TUR_Env_1[[Customer type]:[Customer type]],OP_Rates!$O71,Calc_TUR_Env_1[[Rate type]:[Rate type]],OP_Rates!$C71),8))),0,1))</f>
        <v>0</v>
      </c>
    </row>
    <row r="72" spans="2:22" ht="15.75" hidden="1" outlineLevel="2" x14ac:dyDescent="0.25">
      <c r="C72" s="39" t="s">
        <v>79</v>
      </c>
      <c r="D72" s="39" t="s">
        <v>75</v>
      </c>
      <c r="E72" s="39" t="s">
        <v>72</v>
      </c>
      <c r="F72" s="14" t="s">
        <v>89</v>
      </c>
      <c r="G72" s="123" cm="1">
        <f t="array" ref="G72">IF(G37="-","-",
IF(ROUND(G37,8)=
IF($F72="Network",
IF($C72&lt;&gt;"Controlled load",
ROUND(INDEX(Calc_TUR_Net_1[[Ausnet]:[United Energy]],MATCH(1,(Calc_TUR_Net_1[[Customer type]:[Customer type]]=OP_Rates!$E72)*(Calc_TUR_Net_1[[Rate type]:[Rate type]]=OP_Rates!$C72),0),MATCH(OP_Rates!G$65,Calc_TUR_Net_1[[#Headers],[Ausnet]:[United Energy]],0)),8),
ROUND(INDEX(Calc_TUR_NetCL_1[[Ausnet]:[United Energy]],MATCH(OP_Rates!$E72,Calc_TUR_Net_1[[Customer type]:[Customer type]],0),MATCH(OP_Rates!G$65,Calc_TUR_Net_1[[#Headers],[Ausnet]:[United Energy]],0)),8)),
IF($F72="Environmental",
ROUND(SUMIFS(Calc_TUR_Env_1[Ausnet],Calc_TUR_Env_1[[Customer type]:[Customer type]],OP_Rates!$E72,Calc_TUR_Env_1[[Rate type]:[Rate type]],OP_Rates!$C72),8))),0,1))</f>
        <v>0</v>
      </c>
      <c r="H72" s="123" cm="1">
        <f t="array" ref="H72">IF(H37="-","-",
IF(ROUND(H37,8)=
IF($F72="Network",
IF($C72&lt;&gt;"Controlled load",
ROUND(INDEX(Calc_TUR_Net_1[[Ausnet]:[United Energy]],MATCH(1,(Calc_TUR_Net_1[[Customer type]:[Customer type]]=OP_Rates!$E72)*(Calc_TUR_Net_1[[Rate type]:[Rate type]]=OP_Rates!$C72),0),MATCH(OP_Rates!H$65,Calc_TUR_Net_1[[#Headers],[Ausnet]:[United Energy]],0)),8),
ROUND(INDEX(Calc_TUR_NetCL_1[[Ausnet]:[United Energy]],MATCH(OP_Rates!$E72,Calc_TUR_Net_1[[Customer type]:[Customer type]],0),MATCH(OP_Rates!H$65,Calc_TUR_Net_1[[#Headers],[Ausnet]:[United Energy]],0)),8)),
IF($F72="Environmental",
ROUND(SUMIFS(Calc_TUR_Env_1[Citipower],Calc_TUR_Env_1[[Customer type]:[Customer type]],OP_Rates!$E72,Calc_TUR_Env_1[[Rate type]:[Rate type]],OP_Rates!$C72),8))),0,1))</f>
        <v>0</v>
      </c>
      <c r="I72" s="123" cm="1">
        <f t="array" ref="I72">IF(I37="-","-",
IF(ROUND(I37,8)=
IF($F72="Network",
IF($C72&lt;&gt;"Controlled load",
ROUND(INDEX(Calc_TUR_Net_1[[Ausnet]:[United Energy]],MATCH(1,(Calc_TUR_Net_1[[Customer type]:[Customer type]]=OP_Rates!$E72)*(Calc_TUR_Net_1[[Rate type]:[Rate type]]=OP_Rates!$C72),0),MATCH(OP_Rates!I$65,Calc_TUR_Net_1[[#Headers],[Ausnet]:[United Energy]],0)),8),
ROUND(INDEX(Calc_TUR_NetCL_1[[Ausnet]:[United Energy]],MATCH(OP_Rates!$E72,Calc_TUR_Net_1[[Customer type]:[Customer type]],0),MATCH(OP_Rates!I$65,Calc_TUR_Net_1[[#Headers],[Ausnet]:[United Energy]],0)),8)),
IF($F72="Environmental",
ROUND(SUMIFS(Calc_TUR_Env_1[Jemena],Calc_TUR_Env_1[[Customer type]:[Customer type]],OP_Rates!$E72,Calc_TUR_Env_1[[Rate type]:[Rate type]],OP_Rates!$C72),8))),0,1))</f>
        <v>0</v>
      </c>
      <c r="J72" s="123" cm="1">
        <f t="array" ref="J72">IF(J37="-","-",
IF(ROUND(J37,8)=
IF($F72="Network",
IF($C72&lt;&gt;"Controlled load",
ROUND(INDEX(Calc_TUR_Net_1[[Ausnet]:[United Energy]],MATCH(1,(Calc_TUR_Net_1[[Customer type]:[Customer type]]=OP_Rates!$E72)*(Calc_TUR_Net_1[[Rate type]:[Rate type]]=OP_Rates!$C72),0),MATCH(OP_Rates!J$65,Calc_TUR_Net_1[[#Headers],[Ausnet]:[United Energy]],0)),8),
ROUND(INDEX(Calc_TUR_NetCL_1[[Ausnet]:[United Energy]],MATCH(OP_Rates!$E72,Calc_TUR_Net_1[[Customer type]:[Customer type]],0),MATCH(OP_Rates!J$65,Calc_TUR_Net_1[[#Headers],[Ausnet]:[United Energy]],0)),8)),
IF($F72="Environmental",
ROUND(SUMIFS(Calc_TUR_Env_1[Powercor],Calc_TUR_Env_1[[Customer type]:[Customer type]],OP_Rates!$E72,Calc_TUR_Env_1[[Rate type]:[Rate type]],OP_Rates!$C72),8))),0,1))</f>
        <v>0</v>
      </c>
      <c r="K72" s="123" cm="1">
        <f t="array" ref="K72">IF(K37="-","-",
IF(ROUND(K37,8)=
IF($F72="Network",
IF($C72&lt;&gt;"Controlled load",
ROUND(INDEX(Calc_TUR_Net_1[[Ausnet]:[United Energy]],MATCH(1,(Calc_TUR_Net_1[[Customer type]:[Customer type]]=OP_Rates!$E72)*(Calc_TUR_Net_1[[Rate type]:[Rate type]]=OP_Rates!$C72),0),MATCH(OP_Rates!K$65,Calc_TUR_Net_1[[#Headers],[Ausnet]:[United Energy]],0)),8),
ROUND(INDEX(Calc_TUR_NetCL_1[[Ausnet]:[United Energy]],MATCH(OP_Rates!$E72,Calc_TUR_Net_1[[Customer type]:[Customer type]],0),MATCH(OP_Rates!K$65,Calc_TUR_Net_1[[#Headers],[Ausnet]:[United Energy]],0)),8)),
IF($F72="Environmental",
ROUND(SUMIFS(Calc_TUR_Env_1[United Energy],Calc_TUR_Env_1[[Customer type]:[Customer type]],OP_Rates!$E72,Calc_TUR_Env_1[[Rate type]:[Rate type]],OP_Rates!$C72),8))),0,1))</f>
        <v>0</v>
      </c>
      <c r="M72" s="39" t="s">
        <v>79</v>
      </c>
      <c r="N72" s="39" t="s">
        <v>75</v>
      </c>
      <c r="O72" s="39" t="s">
        <v>73</v>
      </c>
      <c r="P72" s="14" t="s">
        <v>89</v>
      </c>
      <c r="Q72" s="123" cm="1">
        <f t="array" ref="Q72">IF(Q37="-","-",
IF(ROUND(Q37,8)=
IF($P72="Network",
ROUND(INDEX(Calc_TUR_Net_1[[Ausnet]:[United Energy]],MATCH(1,(Calc_TUR_Net_1[[Customer type]:[Customer type]]=OP_Rates!$O72)*(Calc_TUR_Net_1[[Rate type]:[Rate type]]=OP_Rates!$C72),0),MATCH(OP_Rates!Q$65,Calc_TUR_Net_1[[#Headers],[Ausnet]:[United Energy]],0)),8),
IF($P72="Environmental",
ROUND(SUMIFS(Calc_TUR_Env_1[Ausnet],Calc_TUR_Env_1[[Customer type]:[Customer type]],OP_Rates!$O72,Calc_TUR_Env_1[[Rate type]:[Rate type]],OP_Rates!$C72),8))),0,1))</f>
        <v>0</v>
      </c>
      <c r="R72" s="123" cm="1">
        <f t="array" ref="R72">IF(R37="-","-",
IF(ROUND(R37,8)=
IF($P72="Network",
ROUND(INDEX(Calc_TUR_Net_1[[Ausnet]:[United Energy]],MATCH(1,(Calc_TUR_Net_1[[Customer type]:[Customer type]]=OP_Rates!$O72)*(Calc_TUR_Net_1[[Rate type]:[Rate type]]=OP_Rates!$C72),0),MATCH(OP_Rates!R$65,Calc_TUR_Net_1[[#Headers],[Ausnet]:[United Energy]],0)),8),
IF($P72="Environmental",
ROUND(SUMIFS(Calc_TUR_Env_1[Citipower],Calc_TUR_Env_1[[Customer type]:[Customer type]],OP_Rates!$O72,Calc_TUR_Env_1[[Rate type]:[Rate type]],OP_Rates!$C72),8))),0,1))</f>
        <v>0</v>
      </c>
      <c r="S72" s="123" cm="1">
        <f t="array" ref="S72">IF(S37="-","-",
IF(ROUND(S37,8)=
IF($P72="Network",
ROUND(INDEX(Calc_TUR_Net_1[[Ausnet]:[United Energy]],MATCH(1,(Calc_TUR_Net_1[[Customer type]:[Customer type]]=OP_Rates!$O72)*(Calc_TUR_Net_1[[Rate type]:[Rate type]]=OP_Rates!$C72),0),MATCH(OP_Rates!S$65,Calc_TUR_Net_1[[#Headers],[Ausnet]:[United Energy]],0)),8),
IF($P72="Environmental",
ROUND(SUMIFS(Calc_TUR_Env_1[Jemena],Calc_TUR_Env_1[[Customer type]:[Customer type]],OP_Rates!$O72,Calc_TUR_Env_1[[Rate type]:[Rate type]],OP_Rates!$C72),8))),0,1))</f>
        <v>0</v>
      </c>
      <c r="T72" s="123" cm="1">
        <f t="array" ref="T72">IF(T37="-","-",
IF(ROUND(T37,8)=
IF($P72="Network",
ROUND(INDEX(Calc_TUR_Net_1[[Ausnet]:[United Energy]],MATCH(1,(Calc_TUR_Net_1[[Customer type]:[Customer type]]=OP_Rates!$O72)*(Calc_TUR_Net_1[[Rate type]:[Rate type]]=OP_Rates!$C72),0),MATCH(OP_Rates!T$65,Calc_TUR_Net_1[[#Headers],[Ausnet]:[United Energy]],0)),8),
IF($P72="Environmental",
ROUND(SUMIFS(Calc_TUR_Env_1[Powercor],Calc_TUR_Env_1[[Customer type]:[Customer type]],OP_Rates!$O72,Calc_TUR_Env_1[[Rate type]:[Rate type]],OP_Rates!$C72),8))),0,1))</f>
        <v>0</v>
      </c>
      <c r="U72" s="123" cm="1">
        <f t="array" ref="U72">IF(U37="-","-",
IF(ROUND(U37,8)=
IF($P72="Network",
ROUND(INDEX(Calc_TUR_Net_1[[Ausnet]:[United Energy]],MATCH(1,(Calc_TUR_Net_1[[Customer type]:[Customer type]]=OP_Rates!$O72)*(Calc_TUR_Net_1[[Rate type]:[Rate type]]=OP_Rates!$C72),0),MATCH(OP_Rates!U$65,Calc_TUR_Net_1[[#Headers],[Ausnet]:[United Energy]],0)),8),
IF($P72="Environmental",
ROUND(SUMIFS(Calc_TUR_Env_1[United Energy],Calc_TUR_Env_1[[Customer type]:[Customer type]],OP_Rates!$O72,Calc_TUR_Env_1[[Rate type]:[Rate type]],OP_Rates!$C72),8))),0,1))</f>
        <v>0</v>
      </c>
    </row>
    <row r="73" spans="2:22" ht="15.75" hidden="1" outlineLevel="2" x14ac:dyDescent="0.25">
      <c r="C73" s="39" t="s">
        <v>80</v>
      </c>
      <c r="D73" s="39" t="s">
        <v>75</v>
      </c>
      <c r="E73" s="39" t="s">
        <v>72</v>
      </c>
      <c r="F73" s="14" t="s">
        <v>89</v>
      </c>
      <c r="G73" s="123" cm="1">
        <f t="array" ref="G73">IF(G38="-","-",
IF(ROUND(G38,8)=
IF($F73="Network",
IF($C73&lt;&gt;"Controlled load",
ROUND(INDEX(Calc_TUR_Net_1[[Ausnet]:[United Energy]],MATCH(1,(Calc_TUR_Net_1[[Customer type]:[Customer type]]=OP_Rates!$E73)*(Calc_TUR_Net_1[[Rate type]:[Rate type]]=OP_Rates!$C73),0),MATCH(OP_Rates!G$65,Calc_TUR_Net_1[[#Headers],[Ausnet]:[United Energy]],0)),8),
ROUND(INDEX(Calc_TUR_NetCL_1[[Ausnet]:[United Energy]],MATCH(OP_Rates!$E73,Calc_TUR_Net_1[[Customer type]:[Customer type]],0),MATCH(OP_Rates!G$65,Calc_TUR_Net_1[[#Headers],[Ausnet]:[United Energy]],0)),8)),
IF($F73="Environmental",
ROUND(SUMIFS(Calc_TUR_Env_1[Ausnet],Calc_TUR_Env_1[[Customer type]:[Customer type]],OP_Rates!$E73,Calc_TUR_Env_1[[Rate type]:[Rate type]],OP_Rates!$C73),8))),0,1))</f>
        <v>0</v>
      </c>
      <c r="H73" s="123" cm="1">
        <f t="array" ref="H73">IF(H38="-","-",
IF(ROUND(H38,8)=
IF($F73="Network",
IF($C73&lt;&gt;"Controlled load",
ROUND(INDEX(Calc_TUR_Net_1[[Ausnet]:[United Energy]],MATCH(1,(Calc_TUR_Net_1[[Customer type]:[Customer type]]=OP_Rates!$E73)*(Calc_TUR_Net_1[[Rate type]:[Rate type]]=OP_Rates!$C73),0),MATCH(OP_Rates!H$65,Calc_TUR_Net_1[[#Headers],[Ausnet]:[United Energy]],0)),8),
ROUND(INDEX(Calc_TUR_NetCL_1[[Ausnet]:[United Energy]],MATCH(OP_Rates!$E73,Calc_TUR_Net_1[[Customer type]:[Customer type]],0),MATCH(OP_Rates!H$65,Calc_TUR_Net_1[[#Headers],[Ausnet]:[United Energy]],0)),8)),
IF($F73="Environmental",
ROUND(SUMIFS(Calc_TUR_Env_1[Citipower],Calc_TUR_Env_1[[Customer type]:[Customer type]],OP_Rates!$E73,Calc_TUR_Env_1[[Rate type]:[Rate type]],OP_Rates!$C73),8))),0,1))</f>
        <v>0</v>
      </c>
      <c r="I73" s="123" cm="1">
        <f t="array" ref="I73">IF(I38="-","-",
IF(ROUND(I38,8)=
IF($F73="Network",
IF($C73&lt;&gt;"Controlled load",
ROUND(INDEX(Calc_TUR_Net_1[[Ausnet]:[United Energy]],MATCH(1,(Calc_TUR_Net_1[[Customer type]:[Customer type]]=OP_Rates!$E73)*(Calc_TUR_Net_1[[Rate type]:[Rate type]]=OP_Rates!$C73),0),MATCH(OP_Rates!I$65,Calc_TUR_Net_1[[#Headers],[Ausnet]:[United Energy]],0)),8),
ROUND(INDEX(Calc_TUR_NetCL_1[[Ausnet]:[United Energy]],MATCH(OP_Rates!$E73,Calc_TUR_Net_1[[Customer type]:[Customer type]],0),MATCH(OP_Rates!I$65,Calc_TUR_Net_1[[#Headers],[Ausnet]:[United Energy]],0)),8)),
IF($F73="Environmental",
ROUND(SUMIFS(Calc_TUR_Env_1[Jemena],Calc_TUR_Env_1[[Customer type]:[Customer type]],OP_Rates!$E73,Calc_TUR_Env_1[[Rate type]:[Rate type]],OP_Rates!$C73),8))),0,1))</f>
        <v>0</v>
      </c>
      <c r="J73" s="123" cm="1">
        <f t="array" ref="J73">IF(J38="-","-",
IF(ROUND(J38,8)=
IF($F73="Network",
IF($C73&lt;&gt;"Controlled load",
ROUND(INDEX(Calc_TUR_Net_1[[Ausnet]:[United Energy]],MATCH(1,(Calc_TUR_Net_1[[Customer type]:[Customer type]]=OP_Rates!$E73)*(Calc_TUR_Net_1[[Rate type]:[Rate type]]=OP_Rates!$C73),0),MATCH(OP_Rates!J$65,Calc_TUR_Net_1[[#Headers],[Ausnet]:[United Energy]],0)),8),
ROUND(INDEX(Calc_TUR_NetCL_1[[Ausnet]:[United Energy]],MATCH(OP_Rates!$E73,Calc_TUR_Net_1[[Customer type]:[Customer type]],0),MATCH(OP_Rates!J$65,Calc_TUR_Net_1[[#Headers],[Ausnet]:[United Energy]],0)),8)),
IF($F73="Environmental",
ROUND(SUMIFS(Calc_TUR_Env_1[Powercor],Calc_TUR_Env_1[[Customer type]:[Customer type]],OP_Rates!$E73,Calc_TUR_Env_1[[Rate type]:[Rate type]],OP_Rates!$C73),8))),0,1))</f>
        <v>0</v>
      </c>
      <c r="K73" s="123" cm="1">
        <f t="array" ref="K73">IF(K38="-","-",
IF(ROUND(K38,8)=
IF($F73="Network",
IF($C73&lt;&gt;"Controlled load",
ROUND(INDEX(Calc_TUR_Net_1[[Ausnet]:[United Energy]],MATCH(1,(Calc_TUR_Net_1[[Customer type]:[Customer type]]=OP_Rates!$E73)*(Calc_TUR_Net_1[[Rate type]:[Rate type]]=OP_Rates!$C73),0),MATCH(OP_Rates!K$65,Calc_TUR_Net_1[[#Headers],[Ausnet]:[United Energy]],0)),8),
ROUND(INDEX(Calc_TUR_NetCL_1[[Ausnet]:[United Energy]],MATCH(OP_Rates!$E73,Calc_TUR_Net_1[[Customer type]:[Customer type]],0),MATCH(OP_Rates!K$65,Calc_TUR_Net_1[[#Headers],[Ausnet]:[United Energy]],0)),8)),
IF($F73="Environmental",
ROUND(SUMIFS(Calc_TUR_Env_1[United Energy],Calc_TUR_Env_1[[Customer type]:[Customer type]],OP_Rates!$E73,Calc_TUR_Env_1[[Rate type]:[Rate type]],OP_Rates!$C73),8))),0,1))</f>
        <v>0</v>
      </c>
      <c r="M73" s="39" t="s">
        <v>80</v>
      </c>
      <c r="N73" s="39" t="s">
        <v>75</v>
      </c>
      <c r="O73" s="39" t="s">
        <v>73</v>
      </c>
      <c r="P73" s="14" t="s">
        <v>89</v>
      </c>
      <c r="Q73" s="123" cm="1">
        <f t="array" ref="Q73">IF(Q38="-","-",
IF(ROUND(Q38,8)=
IF($P73="Network",
ROUND(INDEX(Calc_TUR_Net_1[[Ausnet]:[United Energy]],MATCH(1,(Calc_TUR_Net_1[[Customer type]:[Customer type]]=OP_Rates!$O73)*(Calc_TUR_Net_1[[Rate type]:[Rate type]]=OP_Rates!$C73),0),MATCH(OP_Rates!Q$65,Calc_TUR_Net_1[[#Headers],[Ausnet]:[United Energy]],0)),8),
IF($P73="Environmental",
ROUND(SUMIFS(Calc_TUR_Env_1[Ausnet],Calc_TUR_Env_1[[Customer type]:[Customer type]],OP_Rates!$O73,Calc_TUR_Env_1[[Rate type]:[Rate type]],OP_Rates!$C73),8))),0,1))</f>
        <v>0</v>
      </c>
      <c r="R73" s="123" cm="1">
        <f t="array" ref="R73">IF(R38="-","-",
IF(ROUND(R38,8)=
IF($P73="Network",
ROUND(INDEX(Calc_TUR_Net_1[[Ausnet]:[United Energy]],MATCH(1,(Calc_TUR_Net_1[[Customer type]:[Customer type]]=OP_Rates!$O73)*(Calc_TUR_Net_1[[Rate type]:[Rate type]]=OP_Rates!$C73),0),MATCH(OP_Rates!R$65,Calc_TUR_Net_1[[#Headers],[Ausnet]:[United Energy]],0)),8),
IF($P73="Environmental",
ROUND(SUMIFS(Calc_TUR_Env_1[Citipower],Calc_TUR_Env_1[[Customer type]:[Customer type]],OP_Rates!$O73,Calc_TUR_Env_1[[Rate type]:[Rate type]],OP_Rates!$C73),8))),0,1))</f>
        <v>0</v>
      </c>
      <c r="S73" s="123" cm="1">
        <f t="array" ref="S73">IF(S38="-","-",
IF(ROUND(S38,8)=
IF($P73="Network",
ROUND(INDEX(Calc_TUR_Net_1[[Ausnet]:[United Energy]],MATCH(1,(Calc_TUR_Net_1[[Customer type]:[Customer type]]=OP_Rates!$O73)*(Calc_TUR_Net_1[[Rate type]:[Rate type]]=OP_Rates!$C73),0),MATCH(OP_Rates!S$65,Calc_TUR_Net_1[[#Headers],[Ausnet]:[United Energy]],0)),8),
IF($P73="Environmental",
ROUND(SUMIFS(Calc_TUR_Env_1[Jemena],Calc_TUR_Env_1[[Customer type]:[Customer type]],OP_Rates!$O73,Calc_TUR_Env_1[[Rate type]:[Rate type]],OP_Rates!$C73),8))),0,1))</f>
        <v>0</v>
      </c>
      <c r="T73" s="123" cm="1">
        <f t="array" ref="T73">IF(T38="-","-",
IF(ROUND(T38,8)=
IF($P73="Network",
ROUND(INDEX(Calc_TUR_Net_1[[Ausnet]:[United Energy]],MATCH(1,(Calc_TUR_Net_1[[Customer type]:[Customer type]]=OP_Rates!$O73)*(Calc_TUR_Net_1[[Rate type]:[Rate type]]=OP_Rates!$C73),0),MATCH(OP_Rates!T$65,Calc_TUR_Net_1[[#Headers],[Ausnet]:[United Energy]],0)),8),
IF($P73="Environmental",
ROUND(SUMIFS(Calc_TUR_Env_1[Powercor],Calc_TUR_Env_1[[Customer type]:[Customer type]],OP_Rates!$O73,Calc_TUR_Env_1[[Rate type]:[Rate type]],OP_Rates!$C73),8))),0,1))</f>
        <v>0</v>
      </c>
      <c r="U73" s="123" cm="1">
        <f t="array" ref="U73">IF(U38="-","-",
IF(ROUND(U38,8)=
IF($P73="Network",
ROUND(INDEX(Calc_TUR_Net_1[[Ausnet]:[United Energy]],MATCH(1,(Calc_TUR_Net_1[[Customer type]:[Customer type]]=OP_Rates!$O73)*(Calc_TUR_Net_1[[Rate type]:[Rate type]]=OP_Rates!$C73),0),MATCH(OP_Rates!U$65,Calc_TUR_Net_1[[#Headers],[Ausnet]:[United Energy]],0)),8),
IF($P73="Environmental",
ROUND(SUMIFS(Calc_TUR_Env_1[United Energy],Calc_TUR_Env_1[[Customer type]:[Customer type]],OP_Rates!$O73,Calc_TUR_Env_1[[Rate type]:[Rate type]],OP_Rates!$C73),8))),0,1))</f>
        <v>0</v>
      </c>
    </row>
    <row r="74" spans="2:22" ht="15.75" hidden="1" outlineLevel="2" x14ac:dyDescent="0.25">
      <c r="C74" s="39" t="s">
        <v>81</v>
      </c>
      <c r="D74" s="39" t="s">
        <v>75</v>
      </c>
      <c r="E74" s="39" t="s">
        <v>72</v>
      </c>
      <c r="F74" s="14" t="s">
        <v>89</v>
      </c>
      <c r="G74" s="123" cm="1">
        <f t="array" ref="G74">IF(G39="-","-",
IF(ROUND(G39,8)=
IF($F74="Network",
IF($C74&lt;&gt;"Controlled load",
ROUND(INDEX(Calc_TUR_Net_1[[Ausnet]:[United Energy]],MATCH(1,(Calc_TUR_Net_1[[Customer type]:[Customer type]]=OP_Rates!$E74)*(Calc_TUR_Net_1[[Rate type]:[Rate type]]=OP_Rates!$C74),0),MATCH(OP_Rates!G$65,Calc_TUR_Net_1[[#Headers],[Ausnet]:[United Energy]],0)),8),
ROUND(INDEX(Calc_TUR_NetCL_1[[Ausnet]:[United Energy]],MATCH(OP_Rates!$E74,Calc_TUR_Net_1[[Customer type]:[Customer type]],0),MATCH(OP_Rates!G$65,Calc_TUR_Net_1[[#Headers],[Ausnet]:[United Energy]],0)),8)),
IF($F74="Environmental",
ROUND(SUMIFS(Calc_TUR_Env_1[Ausnet],Calc_TUR_Env_1[[Customer type]:[Customer type]],OP_Rates!$E74,Calc_TUR_Env_1[[Rate type]:[Rate type]],OP_Rates!$C74),8))),0,1))</f>
        <v>0</v>
      </c>
      <c r="H74" s="123" cm="1">
        <f t="array" ref="H74">IF(H39="-","-",
IF(ROUND(H39,8)=
IF($F74="Network",
IF($C74&lt;&gt;"Controlled load",
ROUND(INDEX(Calc_TUR_Net_1[[Ausnet]:[United Energy]],MATCH(1,(Calc_TUR_Net_1[[Customer type]:[Customer type]]=OP_Rates!$E74)*(Calc_TUR_Net_1[[Rate type]:[Rate type]]=OP_Rates!$C74),0),MATCH(OP_Rates!H$65,Calc_TUR_Net_1[[#Headers],[Ausnet]:[United Energy]],0)),8),
ROUND(INDEX(Calc_TUR_NetCL_1[[Ausnet]:[United Energy]],MATCH(OP_Rates!$E74,Calc_TUR_Net_1[[Customer type]:[Customer type]],0),MATCH(OP_Rates!H$65,Calc_TUR_Net_1[[#Headers],[Ausnet]:[United Energy]],0)),8)),
IF($F74="Environmental",
ROUND(SUMIFS(Calc_TUR_Env_1[Citipower],Calc_TUR_Env_1[[Customer type]:[Customer type]],OP_Rates!$E74,Calc_TUR_Env_1[[Rate type]:[Rate type]],OP_Rates!$C74),8))),0,1))</f>
        <v>0</v>
      </c>
      <c r="I74" s="123" cm="1">
        <f t="array" ref="I74">IF(I39="-","-",
IF(ROUND(I39,8)=
IF($F74="Network",
IF($C74&lt;&gt;"Controlled load",
ROUND(INDEX(Calc_TUR_Net_1[[Ausnet]:[United Energy]],MATCH(1,(Calc_TUR_Net_1[[Customer type]:[Customer type]]=OP_Rates!$E74)*(Calc_TUR_Net_1[[Rate type]:[Rate type]]=OP_Rates!$C74),0),MATCH(OP_Rates!I$65,Calc_TUR_Net_1[[#Headers],[Ausnet]:[United Energy]],0)),8),
ROUND(INDEX(Calc_TUR_NetCL_1[[Ausnet]:[United Energy]],MATCH(OP_Rates!$E74,Calc_TUR_Net_1[[Customer type]:[Customer type]],0),MATCH(OP_Rates!I$65,Calc_TUR_Net_1[[#Headers],[Ausnet]:[United Energy]],0)),8)),
IF($F74="Environmental",
ROUND(SUMIFS(Calc_TUR_Env_1[Jemena],Calc_TUR_Env_1[[Customer type]:[Customer type]],OP_Rates!$E74,Calc_TUR_Env_1[[Rate type]:[Rate type]],OP_Rates!$C74),8))),0,1))</f>
        <v>0</v>
      </c>
      <c r="J74" s="123" cm="1">
        <f t="array" ref="J74">IF(J39="-","-",
IF(ROUND(J39,8)=
IF($F74="Network",
IF($C74&lt;&gt;"Controlled load",
ROUND(INDEX(Calc_TUR_Net_1[[Ausnet]:[United Energy]],MATCH(1,(Calc_TUR_Net_1[[Customer type]:[Customer type]]=OP_Rates!$E74)*(Calc_TUR_Net_1[[Rate type]:[Rate type]]=OP_Rates!$C74),0),MATCH(OP_Rates!J$65,Calc_TUR_Net_1[[#Headers],[Ausnet]:[United Energy]],0)),8),
ROUND(INDEX(Calc_TUR_NetCL_1[[Ausnet]:[United Energy]],MATCH(OP_Rates!$E74,Calc_TUR_Net_1[[Customer type]:[Customer type]],0),MATCH(OP_Rates!J$65,Calc_TUR_Net_1[[#Headers],[Ausnet]:[United Energy]],0)),8)),
IF($F74="Environmental",
ROUND(SUMIFS(Calc_TUR_Env_1[Powercor],Calc_TUR_Env_1[[Customer type]:[Customer type]],OP_Rates!$E74,Calc_TUR_Env_1[[Rate type]:[Rate type]],OP_Rates!$C74),8))),0,1))</f>
        <v>0</v>
      </c>
      <c r="K74" s="123" cm="1">
        <f t="array" ref="K74">IF(K39="-","-",
IF(ROUND(K39,8)=
IF($F74="Network",
IF($C74&lt;&gt;"Controlled load",
ROUND(INDEX(Calc_TUR_Net_1[[Ausnet]:[United Energy]],MATCH(1,(Calc_TUR_Net_1[[Customer type]:[Customer type]]=OP_Rates!$E74)*(Calc_TUR_Net_1[[Rate type]:[Rate type]]=OP_Rates!$C74),0),MATCH(OP_Rates!K$65,Calc_TUR_Net_1[[#Headers],[Ausnet]:[United Energy]],0)),8),
ROUND(INDEX(Calc_TUR_NetCL_1[[Ausnet]:[United Energy]],MATCH(OP_Rates!$E74,Calc_TUR_Net_1[[Customer type]:[Customer type]],0),MATCH(OP_Rates!K$65,Calc_TUR_Net_1[[#Headers],[Ausnet]:[United Energy]],0)),8)),
IF($F74="Environmental",
ROUND(SUMIFS(Calc_TUR_Env_1[United Energy],Calc_TUR_Env_1[[Customer type]:[Customer type]],OP_Rates!$E74,Calc_TUR_Env_1[[Rate type]:[Rate type]],OP_Rates!$C74),8))),0,1))</f>
        <v>0</v>
      </c>
      <c r="M74" s="39"/>
      <c r="N74" s="39"/>
      <c r="O74" s="39"/>
      <c r="P74" s="14"/>
      <c r="Q74" s="123"/>
      <c r="R74" s="123"/>
      <c r="S74" s="123"/>
      <c r="T74" s="123"/>
      <c r="U74" s="123"/>
    </row>
    <row r="75" spans="2:22" outlineLevel="1" collapsed="1" x14ac:dyDescent="0.25">
      <c r="G75" s="61"/>
      <c r="H75" s="61"/>
      <c r="I75" s="61"/>
      <c r="J75" s="61"/>
      <c r="K75" s="61"/>
      <c r="Q75" s="61"/>
      <c r="R75" s="61"/>
      <c r="S75" s="61"/>
      <c r="T75" s="61"/>
      <c r="U75" s="61"/>
    </row>
    <row r="78" spans="2:22" ht="16.5" thickBot="1" x14ac:dyDescent="0.3">
      <c r="B78" s="155">
        <f ca="1">MAX(B$3:B77)+0.01</f>
        <v>5.0199999999999996</v>
      </c>
      <c r="C78" s="19" t="str">
        <f>"VDO rates - "&amp;Calc_Rates!$D$267</f>
        <v>VDO rates - VDO 2023-24 - Final</v>
      </c>
      <c r="D78" s="19"/>
      <c r="E78" s="19"/>
      <c r="F78" s="19"/>
      <c r="G78" s="19"/>
      <c r="H78" s="19"/>
      <c r="I78" s="19"/>
      <c r="J78" s="19"/>
      <c r="K78" s="19"/>
      <c r="L78" s="19"/>
      <c r="M78" s="19"/>
      <c r="N78" s="19"/>
      <c r="O78" s="19"/>
      <c r="P78" s="19"/>
      <c r="Q78" s="19"/>
      <c r="R78" s="19"/>
      <c r="S78" s="19"/>
      <c r="T78" s="19"/>
      <c r="U78" s="19"/>
      <c r="V78" s="19"/>
    </row>
    <row r="79" spans="2:22" outlineLevel="1" x14ac:dyDescent="0.25"/>
    <row r="80" spans="2:22" ht="15.75" outlineLevel="1" x14ac:dyDescent="0.25">
      <c r="C80" s="20" t="s">
        <v>59</v>
      </c>
      <c r="M80" s="20" t="s">
        <v>60</v>
      </c>
      <c r="P80" s="61"/>
      <c r="Q80" s="61"/>
      <c r="R80" s="61"/>
    </row>
    <row r="81" spans="1:24" ht="15.75" outlineLevel="1" x14ac:dyDescent="0.25">
      <c r="C81" s="90" t="s">
        <v>61</v>
      </c>
      <c r="D81" s="90" t="s">
        <v>62</v>
      </c>
      <c r="E81" s="90" t="s">
        <v>63</v>
      </c>
      <c r="F81" s="90" t="s">
        <v>64</v>
      </c>
      <c r="G81" s="40" t="s">
        <v>65</v>
      </c>
      <c r="H81" s="40" t="s">
        <v>66</v>
      </c>
      <c r="I81" s="40" t="s">
        <v>67</v>
      </c>
      <c r="J81" s="40" t="s">
        <v>68</v>
      </c>
      <c r="K81" s="40" t="s">
        <v>69</v>
      </c>
      <c r="M81" s="90" t="s">
        <v>61</v>
      </c>
      <c r="N81" s="90" t="s">
        <v>62</v>
      </c>
      <c r="O81" s="90" t="s">
        <v>63</v>
      </c>
      <c r="P81" s="90" t="s">
        <v>64</v>
      </c>
      <c r="Q81" s="40" t="s">
        <v>65</v>
      </c>
      <c r="R81" s="40" t="s">
        <v>66</v>
      </c>
      <c r="S81" s="40" t="s">
        <v>67</v>
      </c>
      <c r="T81" s="40" t="s">
        <v>68</v>
      </c>
      <c r="U81" s="40" t="s">
        <v>69</v>
      </c>
    </row>
    <row r="82" spans="1:24" outlineLevel="1" x14ac:dyDescent="0.25">
      <c r="C82" s="14" t="s">
        <v>70</v>
      </c>
      <c r="D82" s="14" t="s">
        <v>71</v>
      </c>
      <c r="E82" s="14" t="s">
        <v>72</v>
      </c>
      <c r="F82" s="14" t="s">
        <v>64</v>
      </c>
      <c r="G82" s="112" cm="1">
        <f t="array" ref="G82">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1.3250999999999999</v>
      </c>
      <c r="H82" s="112" cm="1">
        <f t="array" ref="H82">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1.1525000000000001</v>
      </c>
      <c r="I82" s="112" cm="1">
        <f t="array" ref="I82">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1.1437999999999999</v>
      </c>
      <c r="J82" s="112" cm="1">
        <f t="array" ref="J82">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1.3002</v>
      </c>
      <c r="K82" s="112" cm="1">
        <f t="array" ref="K82">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1.0813999999999999</v>
      </c>
      <c r="M82" s="14" t="s">
        <v>70</v>
      </c>
      <c r="N82" s="14" t="s">
        <v>71</v>
      </c>
      <c r="O82" s="14" t="s">
        <v>73</v>
      </c>
      <c r="P82" s="14" t="s">
        <v>64</v>
      </c>
      <c r="Q82" s="112" cm="1">
        <f t="array" ref="Q82">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1.3250999999999999</v>
      </c>
      <c r="R82" s="112" cm="1">
        <f t="array" ref="R82">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1.3433999999999999</v>
      </c>
      <c r="S82" s="112" cm="1">
        <f t="array" ref="S82">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1.3057000000000001</v>
      </c>
      <c r="T82" s="112" cm="1">
        <f t="array" ref="T82">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1.4275</v>
      </c>
      <c r="U82" s="112" cm="1">
        <f t="array" ref="U82">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1.2404999999999999</v>
      </c>
    </row>
    <row r="83" spans="1:24" outlineLevel="1" x14ac:dyDescent="0.25">
      <c r="C83" s="14" t="s">
        <v>74</v>
      </c>
      <c r="D83" s="14" t="s">
        <v>75</v>
      </c>
      <c r="E83" s="14" t="s">
        <v>72</v>
      </c>
      <c r="F83" s="14" t="s">
        <v>64</v>
      </c>
      <c r="G83" s="112" cm="1">
        <f t="array" ref="G83">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0.3851</v>
      </c>
      <c r="H83" s="112" cm="1">
        <f t="array" ref="H83">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3" s="112" cm="1">
        <f t="array" ref="I83">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3" s="112" cm="1">
        <f t="array" ref="J83">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3" s="112" cm="1">
        <f t="array" ref="K83">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3" s="14" t="s">
        <v>74</v>
      </c>
      <c r="N83" s="14" t="s">
        <v>75</v>
      </c>
      <c r="O83" s="14" t="s">
        <v>73</v>
      </c>
      <c r="P83" s="14" t="s">
        <v>64</v>
      </c>
      <c r="Q83" s="112" cm="1">
        <f t="array" ref="Q83">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0.41549999999999998</v>
      </c>
      <c r="R83" s="112" cm="1">
        <f t="array" ref="R83">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3" s="112" cm="1">
        <f t="array" ref="S83">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3" s="112" cm="1">
        <f t="array" ref="T83">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3" s="112" cm="1">
        <f t="array" ref="U83">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4" spans="1:24" ht="15.75" outlineLevel="1" x14ac:dyDescent="0.25">
      <c r="A84" s="1" t="s">
        <v>36</v>
      </c>
      <c r="C84" s="14" t="s">
        <v>76</v>
      </c>
      <c r="D84" s="14" t="s">
        <v>75</v>
      </c>
      <c r="E84" s="14" t="s">
        <v>72</v>
      </c>
      <c r="F84" s="14" t="s">
        <v>64</v>
      </c>
      <c r="G84" s="112" cm="1">
        <f t="array" ref="G84">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0.39550000000000002</v>
      </c>
      <c r="H84" s="112" cm="1">
        <f t="array" ref="H84">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v>
      </c>
      <c r="I84" s="112" cm="1">
        <f t="array" ref="I84">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v>
      </c>
      <c r="J84" s="112" cm="1">
        <f t="array" ref="J84">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v>
      </c>
      <c r="K84" s="112" cm="1">
        <f t="array" ref="K84">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v>
      </c>
      <c r="M84" s="14" t="s">
        <v>76</v>
      </c>
      <c r="N84" s="14" t="s">
        <v>75</v>
      </c>
      <c r="O84" s="14" t="s">
        <v>73</v>
      </c>
      <c r="P84" s="14" t="s">
        <v>64</v>
      </c>
      <c r="Q84" s="112" cm="1">
        <f t="array" ref="Q84">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0.43809999999999999</v>
      </c>
      <c r="R84" s="112" cm="1">
        <f t="array" ref="R84">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4" s="112" cm="1">
        <f t="array" ref="S84">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4" s="112" cm="1">
        <f t="array" ref="T84">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4" s="112" cm="1">
        <f t="array" ref="U84">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85" spans="1:24" ht="15.75" outlineLevel="1" x14ac:dyDescent="0.25">
      <c r="A85" s="1"/>
      <c r="C85" s="14" t="s">
        <v>77</v>
      </c>
      <c r="D85" s="14" t="s">
        <v>75</v>
      </c>
      <c r="E85" s="14" t="s">
        <v>72</v>
      </c>
      <c r="F85" s="14" t="s">
        <v>64</v>
      </c>
      <c r="G85" s="112" cm="1">
        <f t="array" ref="G85">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v>
      </c>
      <c r="H85" s="112" cm="1">
        <f t="array" ref="H85">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0.28710000000000002</v>
      </c>
      <c r="I85" s="112" cm="1">
        <f t="array" ref="I85">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0.32519999999999999</v>
      </c>
      <c r="J85" s="112" cm="1">
        <f t="array" ref="J85">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0.32919999999999999</v>
      </c>
      <c r="K85" s="112" cm="1">
        <f t="array" ref="K85">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0.31740000000000002</v>
      </c>
      <c r="M85" s="14" t="s">
        <v>77</v>
      </c>
      <c r="N85" s="14" t="s">
        <v>75</v>
      </c>
      <c r="O85" s="14" t="s">
        <v>73</v>
      </c>
      <c r="P85" s="14" t="s">
        <v>64</v>
      </c>
      <c r="Q85" s="112" cm="1">
        <f t="array" ref="Q85">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5" s="112" cm="1">
        <f t="array" ref="R85">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0.28339999999999999</v>
      </c>
      <c r="S85" s="112" cm="1">
        <f t="array" ref="S85">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0.33069999999999999</v>
      </c>
      <c r="T85" s="112" cm="1">
        <f t="array" ref="T85">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0.30620000000000003</v>
      </c>
      <c r="U85" s="112" cm="1">
        <f t="array" ref="U85">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0.30280000000000001</v>
      </c>
    </row>
    <row r="86" spans="1:24" ht="15.75" outlineLevel="1" x14ac:dyDescent="0.25">
      <c r="A86" s="1"/>
      <c r="C86" s="14" t="s">
        <v>78</v>
      </c>
      <c r="D86" s="14" t="s">
        <v>71</v>
      </c>
      <c r="E86" s="14" t="s">
        <v>72</v>
      </c>
      <c r="F86" s="14" t="s">
        <v>64</v>
      </c>
      <c r="G86" s="112" cm="1">
        <f t="array" ref="G86">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1.3250999999999999</v>
      </c>
      <c r="H86" s="112" cm="1">
        <f t="array" ref="H86">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1.1525000000000001</v>
      </c>
      <c r="I86" s="112" cm="1">
        <f t="array" ref="I86">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1.1437999999999999</v>
      </c>
      <c r="J86" s="112" cm="1">
        <f t="array" ref="J86">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1.3002</v>
      </c>
      <c r="K86" s="112" cm="1">
        <f t="array" ref="K86">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1.0813999999999999</v>
      </c>
      <c r="M86" s="14" t="s">
        <v>78</v>
      </c>
      <c r="N86" s="14" t="s">
        <v>71</v>
      </c>
      <c r="O86" s="14" t="s">
        <v>73</v>
      </c>
      <c r="P86" s="14" t="s">
        <v>64</v>
      </c>
      <c r="Q86" s="112" cm="1">
        <f t="array" ref="Q86">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1.3250999999999999</v>
      </c>
      <c r="R86" s="112" cm="1">
        <f t="array" ref="R86">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1.3433999999999999</v>
      </c>
      <c r="S86" s="112" cm="1">
        <f t="array" ref="S86">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1.68</v>
      </c>
      <c r="T86" s="112" cm="1">
        <f t="array" ref="T86">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1.4275</v>
      </c>
      <c r="U86" s="112" cm="1">
        <f t="array" ref="U86">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1.2404999999999999</v>
      </c>
    </row>
    <row r="87" spans="1:24" ht="15.75" outlineLevel="1" x14ac:dyDescent="0.25">
      <c r="A87" s="1"/>
      <c r="C87" s="14" t="s">
        <v>79</v>
      </c>
      <c r="D87" s="14" t="s">
        <v>75</v>
      </c>
      <c r="E87" s="14" t="s">
        <v>72</v>
      </c>
      <c r="F87" s="14" t="s">
        <v>64</v>
      </c>
      <c r="G87" s="112" cm="1">
        <f t="array" ref="G87">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0.49320000000000003</v>
      </c>
      <c r="H87" s="112" cm="1">
        <f t="array" ref="H87">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0.37190000000000001</v>
      </c>
      <c r="I87" s="112" cm="1">
        <f t="array" ref="I87">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0.39250000000000002</v>
      </c>
      <c r="J87" s="112" cm="1">
        <f t="array" ref="J87">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0.42649999999999999</v>
      </c>
      <c r="K87" s="112" cm="1">
        <f t="array" ref="K87">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0.41199999999999998</v>
      </c>
      <c r="M87" s="14" t="s">
        <v>79</v>
      </c>
      <c r="N87" s="14" t="s">
        <v>75</v>
      </c>
      <c r="O87" s="14" t="s">
        <v>73</v>
      </c>
      <c r="P87" s="14" t="s">
        <v>64</v>
      </c>
      <c r="Q87" s="112" cm="1">
        <f t="array" ref="Q87">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0.42680000000000001</v>
      </c>
      <c r="R87" s="112" cm="1">
        <f t="array" ref="R87">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0.34279999999999999</v>
      </c>
      <c r="S87" s="112" cm="1">
        <f t="array" ref="S87">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0.36870000000000003</v>
      </c>
      <c r="T87" s="112" cm="1">
        <f t="array" ref="T87">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0.39500000000000002</v>
      </c>
      <c r="U87" s="112" cm="1">
        <f t="array" ref="U87">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0.37280000000000002</v>
      </c>
    </row>
    <row r="88" spans="1:24" ht="15.75" outlineLevel="1" x14ac:dyDescent="0.25">
      <c r="A88" s="1"/>
      <c r="C88" s="14" t="s">
        <v>80</v>
      </c>
      <c r="D88" s="14" t="s">
        <v>75</v>
      </c>
      <c r="E88" s="14" t="s">
        <v>72</v>
      </c>
      <c r="F88" s="14" t="s">
        <v>64</v>
      </c>
      <c r="G88" s="112" cm="1">
        <f t="array" ref="G88">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0.28689999999999999</v>
      </c>
      <c r="H88" s="112" cm="1">
        <f t="array" ref="H88">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0.24410000000000001</v>
      </c>
      <c r="I88" s="112" cm="1">
        <f t="array" ref="I88">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0.27100000000000002</v>
      </c>
      <c r="J88" s="112" cm="1">
        <f t="array" ref="J88">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0.2772</v>
      </c>
      <c r="K88" s="112" cm="1">
        <f t="array" ref="K88">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0.26650000000000001</v>
      </c>
      <c r="M88" s="14" t="s">
        <v>80</v>
      </c>
      <c r="N88" s="14" t="s">
        <v>75</v>
      </c>
      <c r="O88" s="14" t="s">
        <v>73</v>
      </c>
      <c r="P88" s="14" t="s">
        <v>64</v>
      </c>
      <c r="Q88" s="112" cm="1">
        <f t="array" ref="Q88">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0.25369999999999998</v>
      </c>
      <c r="R88" s="112" cm="1">
        <f t="array" ref="R88">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0.223</v>
      </c>
      <c r="S88" s="112" cm="1">
        <f t="array" ref="S88">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0.23080000000000001</v>
      </c>
      <c r="T88" s="112" cm="1">
        <f t="array" ref="T88">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0.23730000000000001</v>
      </c>
      <c r="U88" s="112" cm="1">
        <f t="array" ref="U88">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0.2336</v>
      </c>
    </row>
    <row r="89" spans="1:24" ht="15.75" outlineLevel="1" x14ac:dyDescent="0.25">
      <c r="A89" s="1"/>
      <c r="C89" s="14" t="s">
        <v>81</v>
      </c>
      <c r="D89" s="14" t="s">
        <v>75</v>
      </c>
      <c r="E89" s="14" t="s">
        <v>72</v>
      </c>
      <c r="F89" s="14" t="s">
        <v>64</v>
      </c>
      <c r="G89" s="112" cm="1">
        <f t="array" ref="G89">ROUND(
SUMIFS(OP_Rates_RES_2[Ausnet],OP_Rates_RES_2[[Rate name]:[Rate name]],OP_TotalRates_RES_2[[#This Row],[Rate name]:[Rate name]])+
SUMIFS(OP_RatesTU_RES_2[Ausnet],
OP_RatesTU_RES_2[[Rate name]:[Rate name]],
IF(OP_TotalRates_RES_2[[#This Row],[Unit]:[Unit]]&lt;&gt;"$",OP_TotalRates_RES_2[[#This Row],[Rate name]:[Rate name]],
IF(OP_TotalRates_RES_2[[#This Row],[Rate name]:[Rate name]]="Anytime - supply","Anytime","TOU"))),4)</f>
        <v>0.28689999999999999</v>
      </c>
      <c r="H89" s="112" cm="1">
        <f t="array" ref="H89">ROUND(
SUMIFS(OP_Rates_RES_2[Citipower],OP_Rates_RES_2[[Rate name]:[Rate name]],OP_TotalRates_RES_2[[#This Row],[Rate name]:[Rate name]])+
SUMIFS(OP_RatesTU_RES_2[Citipower],
OP_RatesTU_RES_2[[Rate name]:[Rate name]],
IF(OP_TotalRates_RES_2[[#This Row],[Unit]:[Unit]]&lt;&gt;"$",OP_TotalRates_RES_2[[#This Row],[Rate name]:[Rate name]],
IF(OP_TotalRates_RES_2[[#This Row],[Rate name]:[Rate name]]="Anytime - supply","Anytime","TOU"))),4)</f>
        <v>0.2271</v>
      </c>
      <c r="I89" s="112" cm="1">
        <f t="array" ref="I89">ROUND(
SUMIFS(OP_Rates_RES_2[Jemena],OP_Rates_RES_2[[Rate name]:[Rate name]],OP_TotalRates_RES_2[[#This Row],[Rate name]:[Rate name]])+
SUMIFS(OP_RatesTU_RES_2[Jemena],
OP_RatesTU_RES_2[[Rate name]:[Rate name]],
IF(OP_TotalRates_RES_2[[#This Row],[Unit]:[Unit]]&lt;&gt;"$",OP_TotalRates_RES_2[[#This Row],[Rate name]:[Rate name]],
IF(OP_TotalRates_RES_2[[#This Row],[Rate name]:[Rate name]]="Anytime - supply","Anytime","TOU"))),4)</f>
        <v>0.26390000000000002</v>
      </c>
      <c r="J89" s="112" cm="1">
        <f t="array" ref="J89">ROUND(
SUMIFS(OP_Rates_RES_2[Powercor],OP_Rates_RES_2[[Rate name]:[Rate name]],OP_TotalRates_RES_2[[#This Row],[Rate name]:[Rate name]])+
SUMIFS(OP_RatesTU_RES_2[Powercor],
OP_RatesTU_RES_2[[Rate name]:[Rate name]],
IF(OP_TotalRates_RES_2[[#This Row],[Unit]:[Unit]]&lt;&gt;"$",OP_TotalRates_RES_2[[#This Row],[Rate name]:[Rate name]],
IF(OP_TotalRates_RES_2[[#This Row],[Rate name]:[Rate name]]="Anytime - supply","Anytime","TOU"))),4)</f>
        <v>0.25590000000000002</v>
      </c>
      <c r="K89" s="112" cm="1">
        <f t="array" ref="K89">ROUND(
SUMIFS(OP_Rates_RES_2[United Energy],OP_Rates_RES_2[[Rate name]:[Rate name]],OP_TotalRates_RES_2[[#This Row],[Rate name]:[Rate name]])+
SUMIFS(OP_RatesTU_RES_2[United Energy],
OP_RatesTU_RES_2[[Rate name]:[Rate name]],
IF(OP_TotalRates_RES_2[[#This Row],[Unit]:[Unit]]&lt;&gt;"$",OP_TotalRates_RES_2[[#This Row],[Rate name]:[Rate name]],
IF(OP_TotalRates_RES_2[[#This Row],[Rate name]:[Rate name]]="Anytime - supply","Anytime","TOU"))),4)</f>
        <v>0.24660000000000001</v>
      </c>
      <c r="M89" s="31"/>
      <c r="N89" s="31"/>
      <c r="O89" s="14"/>
      <c r="P89" s="39" t="s">
        <v>64</v>
      </c>
      <c r="Q89" s="112" cm="1">
        <f t="array" ref="Q89">ROUND(
SUMIFS(OP_Rates_SME_2[Ausnet],OP_Rates_SME_2[[Rate name]:[Rate name]],OP_TotalRates_SME_2[[#This Row],[Rate name]:[Rate name]])+
SUMIFS(OP_RatesTU_SME_2[Ausnet],
OP_RatesTU_SME_2[[Rate name]:[Rate name]],
IF(OP_TotalRates_SME_2[[#This Row],[Unit]:[Unit]]&lt;&gt;"$",OP_TotalRates_SME_2[[#This Row],[Rate name]:[Rate name]],
IF(OP_TotalRates_SME_2[[#This Row],[Rate name]:[Rate name]]="Anytime - supply","Anytime","TOU"))),4)</f>
        <v>0</v>
      </c>
      <c r="R89" s="112" cm="1">
        <f t="array" ref="R89">ROUND(
SUMIFS(OP_Rates_SME_2[Citipower],OP_Rates_SME_2[[Rate name]:[Rate name]],OP_TotalRates_SME_2[[#This Row],[Rate name]:[Rate name]])+
SUMIFS(OP_RatesTU_SME_2[Citipower],
OP_RatesTU_SME_2[[Rate name]:[Rate name]],
IF(OP_TotalRates_SME_2[[#This Row],[Unit]:[Unit]]&lt;&gt;"$",OP_TotalRates_SME_2[[#This Row],[Rate name]:[Rate name]],
IF(OP_TotalRates_SME_2[[#This Row],[Rate name]:[Rate name]]="Anytime - supply","Anytime","TOU"))),4)</f>
        <v>0</v>
      </c>
      <c r="S89" s="112" cm="1">
        <f t="array" ref="S89">ROUND(
SUMIFS(OP_Rates_SME_2[Jemena],OP_Rates_SME_2[[Rate name]:[Rate name]],OP_TotalRates_SME_2[[#This Row],[Rate name]:[Rate name]])+
SUMIFS(OP_RatesTU_SME_2[Jemena],
OP_RatesTU_SME_2[[Rate name]:[Rate name]],
IF(OP_TotalRates_SME_2[[#This Row],[Unit]:[Unit]]&lt;&gt;"$",OP_TotalRates_SME_2[[#This Row],[Rate name]:[Rate name]],
IF(OP_TotalRates_SME_2[[#This Row],[Rate name]:[Rate name]]="Anytime - supply","Anytime","TOU"))),4)</f>
        <v>0</v>
      </c>
      <c r="T89" s="112" cm="1">
        <f t="array" ref="T89">ROUND(
SUMIFS(OP_Rates_SME_2[Powercor],OP_Rates_SME_2[[Rate name]:[Rate name]],OP_TotalRates_SME_2[[#This Row],[Rate name]:[Rate name]])+
SUMIFS(OP_RatesTU_SME_2[Powercor],
OP_RatesTU_SME_2[[Rate name]:[Rate name]],
IF(OP_TotalRates_SME_2[[#This Row],[Unit]:[Unit]]&lt;&gt;"$",OP_TotalRates_SME_2[[#This Row],[Rate name]:[Rate name]],
IF(OP_TotalRates_SME_2[[#This Row],[Rate name]:[Rate name]]="Anytime - supply","Anytime","TOU"))),4)</f>
        <v>0</v>
      </c>
      <c r="U89" s="112" cm="1">
        <f t="array" ref="U89">ROUND(
SUMIFS(OP_Rates_SME_2[United Energy],OP_Rates_SME_2[[Rate name]:[Rate name]],OP_TotalRates_SME_2[[#This Row],[Rate name]:[Rate name]])+
SUMIFS(OP_RatesTU_SME_2[United Energy],
OP_RatesTU_SME_2[[Rate name]:[Rate name]],
IF(OP_TotalRates_SME_2[[#This Row],[Unit]:[Unit]]&lt;&gt;"$",OP_TotalRates_SME_2[[#This Row],[Rate name]:[Rate name]],
IF(OP_TotalRates_SME_2[[#This Row],[Rate name]:[Rate name]]="Anytime - supply","Anytime","TOU"))),4)</f>
        <v>0</v>
      </c>
    </row>
    <row r="90" spans="1:24" ht="15.75" outlineLevel="1" x14ac:dyDescent="0.25">
      <c r="A90" s="1"/>
    </row>
    <row r="91" spans="1:24" ht="15.75" outlineLevel="1" x14ac:dyDescent="0.25">
      <c r="A91" s="1"/>
      <c r="C91" s="20" t="s">
        <v>82</v>
      </c>
      <c r="H91" s="61"/>
      <c r="M91" s="20" t="s">
        <v>83</v>
      </c>
      <c r="R91" s="61"/>
      <c r="X91" s="54"/>
    </row>
    <row r="92" spans="1:24" ht="15.75" outlineLevel="2" x14ac:dyDescent="0.25">
      <c r="A92" s="1"/>
      <c r="C92" s="121" t="s">
        <v>61</v>
      </c>
      <c r="D92" s="121" t="s">
        <v>62</v>
      </c>
      <c r="E92" s="121" t="s">
        <v>63</v>
      </c>
      <c r="F92" s="30" t="s">
        <v>64</v>
      </c>
      <c r="G92" s="40" t="s">
        <v>65</v>
      </c>
      <c r="H92" s="40" t="s">
        <v>66</v>
      </c>
      <c r="I92" s="40" t="s">
        <v>67</v>
      </c>
      <c r="J92" s="40" t="s">
        <v>68</v>
      </c>
      <c r="K92" s="59" t="s">
        <v>69</v>
      </c>
      <c r="M92" s="121" t="s">
        <v>61</v>
      </c>
      <c r="N92" s="121" t="s">
        <v>62</v>
      </c>
      <c r="O92" s="121" t="s">
        <v>63</v>
      </c>
      <c r="P92" s="30" t="s">
        <v>64</v>
      </c>
      <c r="Q92" s="40" t="s">
        <v>65</v>
      </c>
      <c r="R92" s="40" t="s">
        <v>66</v>
      </c>
      <c r="S92" s="40" t="s">
        <v>67</v>
      </c>
      <c r="T92" s="40" t="s">
        <v>68</v>
      </c>
      <c r="U92" s="59" t="s">
        <v>69</v>
      </c>
    </row>
    <row r="93" spans="1:24" ht="15.75" outlineLevel="2" x14ac:dyDescent="0.25">
      <c r="A93" s="1"/>
      <c r="C93" s="14" t="s">
        <v>70</v>
      </c>
      <c r="D93" s="14" t="s">
        <v>71</v>
      </c>
      <c r="E93" s="14" t="s">
        <v>72</v>
      </c>
      <c r="F93" s="14" t="s">
        <v>64</v>
      </c>
      <c r="G93" s="42">
        <f>IF(SUMIFS(Calc_Rates!G$279:G$309,Calc_Rates!$C$279:$C$309,OP_Rates!$C93,Calc_Rates!$F$279:$F$309,OP_Rates!$E93)=0,"-",SUMIFS(Calc_Rates!G$279:G$309,Calc_Rates!$C$279:$C$309,OP_Rates!$C93,Calc_Rates!$F$279:$F$309,OP_Rates!$E93))</f>
        <v>1.325062480625995</v>
      </c>
      <c r="H93" s="42">
        <f>IF(SUMIFS(Calc_Rates!H$279:H$309,Calc_Rates!$C$279:$C$309,OP_Rates!$C93,Calc_Rates!$F$279:$F$309,OP_Rates!$E93)=0,"-",SUMIFS(Calc_Rates!H$279:H$309,Calc_Rates!$C$279:$C$309,OP_Rates!$C93,Calc_Rates!$F$279:$F$309,OP_Rates!$E93))</f>
        <v>1.1524695196540524</v>
      </c>
      <c r="I93" s="42">
        <f>IF(SUMIFS(Calc_Rates!I$279:I$309,Calc_Rates!$C$279:$C$309,OP_Rates!$C93,Calc_Rates!$F$279:$F$309,OP_Rates!$E93)=0,"-",SUMIFS(Calc_Rates!I$279:I$309,Calc_Rates!$C$279:$C$309,OP_Rates!$C93,Calc_Rates!$F$279:$F$309,OP_Rates!$E93))</f>
        <v>1.1438046408406388</v>
      </c>
      <c r="J93" s="42">
        <f>IF(SUMIFS(Calc_Rates!J$279:J$309,Calc_Rates!$C$279:$C$309,OP_Rates!$C93,Calc_Rates!$F$279:$F$309,OP_Rates!$E93)=0,"-",SUMIFS(Calc_Rates!J$279:J$309,Calc_Rates!$C$279:$C$309,OP_Rates!$C93,Calc_Rates!$F$279:$F$309,OP_Rates!$E93))</f>
        <v>1.3001579443005118</v>
      </c>
      <c r="K93" s="42">
        <f>IF(SUMIFS(Calc_Rates!K$279:K$309,Calc_Rates!$C$279:$C$309,OP_Rates!$C93,Calc_Rates!$F$279:$F$309,OP_Rates!$E93)=0,"-",SUMIFS(Calc_Rates!K$279:K$309,Calc_Rates!$C$279:$C$309,OP_Rates!$C93,Calc_Rates!$F$279:$F$309,OP_Rates!$E93))</f>
        <v>1.0813510101548778</v>
      </c>
      <c r="M93" s="14" t="s">
        <v>70</v>
      </c>
      <c r="N93" s="14" t="s">
        <v>71</v>
      </c>
      <c r="O93" s="14" t="s">
        <v>73</v>
      </c>
      <c r="P93" s="14" t="s">
        <v>64</v>
      </c>
      <c r="Q93" s="42">
        <f>IF(SUMIFS(Calc_Rates!G$279:G$309,Calc_Rates!$C$279:$C$309,OP_Rates!$M93,Calc_Rates!$F$279:$F$309,OP_Rates!$O93)=0,"-",SUMIFS(Calc_Rates!G$279:G$309,Calc_Rates!$C$279:$C$309,OP_Rates!$M93,Calc_Rates!$F$279:$F$309,OP_Rates!$O93))</f>
        <v>1.325062480625995</v>
      </c>
      <c r="R93" s="42">
        <f>IF(SUMIFS(Calc_Rates!H$279:H$309,Calc_Rates!$C$279:$C$309,OP_Rates!$M93,Calc_Rates!$F$279:$F$309,OP_Rates!$O93)=0,"-",SUMIFS(Calc_Rates!H$279:H$309,Calc_Rates!$C$279:$C$309,OP_Rates!$M93,Calc_Rates!$F$279:$F$309,OP_Rates!$O93))</f>
        <v>1.3434365596540525</v>
      </c>
      <c r="S93" s="42">
        <f>IF(SUMIFS(Calc_Rates!I$279:I$309,Calc_Rates!$C$279:$C$309,OP_Rates!$M93,Calc_Rates!$F$279:$F$309,OP_Rates!$O93)=0,"-",SUMIFS(Calc_Rates!I$279:I$309,Calc_Rates!$C$279:$C$309,OP_Rates!$M93,Calc_Rates!$F$279:$F$309,OP_Rates!$O93))</f>
        <v>1.305701847398016</v>
      </c>
      <c r="T93" s="42">
        <f>IF(SUMIFS(Calc_Rates!J$279:J$309,Calc_Rates!$C$279:$C$309,OP_Rates!$M93,Calc_Rates!$F$279:$F$309,OP_Rates!$O93)=0,"-",SUMIFS(Calc_Rates!J$279:J$309,Calc_Rates!$C$279:$C$309,OP_Rates!$M93,Calc_Rates!$F$279:$F$309,OP_Rates!$O93))</f>
        <v>1.427469304300512</v>
      </c>
      <c r="U93" s="42">
        <f>IF(SUMIFS(Calc_Rates!K$279:K$309,Calc_Rates!$C$279:$C$309,OP_Rates!$M93,Calc_Rates!$F$279:$F$309,OP_Rates!$O93)=0,"-",SUMIFS(Calc_Rates!K$279:K$309,Calc_Rates!$C$279:$C$309,OP_Rates!$M93,Calc_Rates!$F$279:$F$309,OP_Rates!$O93))</f>
        <v>1.2404902101548778</v>
      </c>
    </row>
    <row r="94" spans="1:24" ht="15.75" outlineLevel="2" x14ac:dyDescent="0.25">
      <c r="A94" s="1"/>
      <c r="C94" s="14" t="s">
        <v>74</v>
      </c>
      <c r="D94" s="14" t="s">
        <v>75</v>
      </c>
      <c r="E94" s="14" t="s">
        <v>72</v>
      </c>
      <c r="F94" s="14" t="s">
        <v>64</v>
      </c>
      <c r="G94" s="42">
        <f>IF(SUMIFS(Calc_Rates!G$323:G$401,Calc_Rates!$C$323:$C$401,OP_Rates!$C94&amp;" charge",Calc_Rates!$F$323:$F$401,OP_Rates!$E94)=0,"-",SUMIFS(Calc_Rates!G$323:G$401,Calc_Rates!$C$323:$C$401,OP_Rates!$C94&amp;" charge",Calc_Rates!$F$323:$F$401,OP_Rates!$E94))</f>
        <v>0.38657823556645299</v>
      </c>
      <c r="H94" s="42" t="str">
        <f>IF(SUMIFS(Calc_Rates!H$323:H$401,Calc_Rates!$C$323:$C$401,OP_Rates!$C94&amp;" charge",Calc_Rates!$F$323:$F$401,OP_Rates!$E94)=0,"-",SUMIFS(Calc_Rates!H$323:H$401,Calc_Rates!$C$323:$C$401,OP_Rates!$C94&amp;" charge",Calc_Rates!$F$323:$F$401,OP_Rates!$E94))</f>
        <v>-</v>
      </c>
      <c r="I94" s="42" t="str">
        <f>IF(SUMIFS(Calc_Rates!I$323:I$401,Calc_Rates!$C$323:$C$401,OP_Rates!$C94&amp;" charge",Calc_Rates!$F$323:$F$401,OP_Rates!$E94)=0,"-",SUMIFS(Calc_Rates!I$323:I$401,Calc_Rates!$C$323:$C$401,OP_Rates!$C94&amp;" charge",Calc_Rates!$F$323:$F$401,OP_Rates!$E94))</f>
        <v>-</v>
      </c>
      <c r="J94" s="42" t="str">
        <f>IF(SUMIFS(Calc_Rates!J$323:J$401,Calc_Rates!$C$323:$C$401,OP_Rates!$C94&amp;" charge",Calc_Rates!$F$323:$F$401,OP_Rates!$E94)=0,"-",SUMIFS(Calc_Rates!J$323:J$401,Calc_Rates!$C$323:$C$401,OP_Rates!$C94&amp;" charge",Calc_Rates!$F$323:$F$401,OP_Rates!$E94))</f>
        <v>-</v>
      </c>
      <c r="K94" s="42" t="str">
        <f>IF(SUMIFS(Calc_Rates!K$323:K$401,Calc_Rates!$C$323:$C$401,OP_Rates!$C94&amp;" charge",Calc_Rates!$F$323:$F$401,OP_Rates!$E94)=0,"-",SUMIFS(Calc_Rates!K$323:K$401,Calc_Rates!$C$323:$C$401,OP_Rates!$C94&amp;" charge",Calc_Rates!$F$323:$F$401,OP_Rates!$E94))</f>
        <v>-</v>
      </c>
      <c r="M94" s="14" t="s">
        <v>74</v>
      </c>
      <c r="N94" s="14" t="s">
        <v>75</v>
      </c>
      <c r="O94" s="14" t="s">
        <v>73</v>
      </c>
      <c r="P94" s="14" t="s">
        <v>64</v>
      </c>
      <c r="Q94" s="42">
        <f>IF(SUMIFS(Calc_Rates!G$323:G$401,Calc_Rates!$C$323:$C$401,OP_Rates!$M94&amp;" charge",Calc_Rates!$F$323:$F$401,OP_Rates!$O94)=0,"-",SUMIFS(Calc_Rates!G$323:G$401,Calc_Rates!$C$323:$C$401,OP_Rates!$M94&amp;" charge",Calc_Rates!$F$323:$F$401,OP_Rates!$O94))</f>
        <v>0.41691269268373082</v>
      </c>
      <c r="R94" s="42" t="str">
        <f>IF(SUMIFS(Calc_Rates!H$323:H$401,Calc_Rates!$C$323:$C$401,OP_Rates!$M94&amp;" charge",Calc_Rates!$F$323:$F$401,OP_Rates!$O94)=0,"-",SUMIFS(Calc_Rates!H$323:H$401,Calc_Rates!$C$323:$C$401,OP_Rates!$M94&amp;" charge",Calc_Rates!$F$323:$F$401,OP_Rates!$O94))</f>
        <v>-</v>
      </c>
      <c r="S94" s="42" t="str">
        <f>IF(SUMIFS(Calc_Rates!I$323:I$401,Calc_Rates!$C$323:$C$401,OP_Rates!$M94&amp;" charge",Calc_Rates!$F$323:$F$401,OP_Rates!$O94)=0,"-",SUMIFS(Calc_Rates!I$323:I$401,Calc_Rates!$C$323:$C$401,OP_Rates!$M94&amp;" charge",Calc_Rates!$F$323:$F$401,OP_Rates!$O94))</f>
        <v>-</v>
      </c>
      <c r="T94" s="42" t="str">
        <f>IF(SUMIFS(Calc_Rates!J$323:J$401,Calc_Rates!$C$323:$C$401,OP_Rates!$M94&amp;" charge",Calc_Rates!$F$323:$F$401,OP_Rates!$O94)=0,"-",SUMIFS(Calc_Rates!J$323:J$401,Calc_Rates!$C$323:$C$401,OP_Rates!$M94&amp;" charge",Calc_Rates!$F$323:$F$401,OP_Rates!$O94))</f>
        <v>-</v>
      </c>
      <c r="U94" s="42" t="str">
        <f>IF(SUMIFS(Calc_Rates!K$323:K$401,Calc_Rates!$C$323:$C$401,OP_Rates!$M94&amp;" charge",Calc_Rates!$F$323:$F$401,OP_Rates!$O94)=0,"-",SUMIFS(Calc_Rates!K$323:K$401,Calc_Rates!$C$323:$C$401,OP_Rates!$M94&amp;" charge",Calc_Rates!$F$323:$F$401,OP_Rates!$O94))</f>
        <v>-</v>
      </c>
    </row>
    <row r="95" spans="1:24" ht="15.75" outlineLevel="2" x14ac:dyDescent="0.25">
      <c r="A95" s="1"/>
      <c r="C95" s="14" t="s">
        <v>76</v>
      </c>
      <c r="D95" s="14" t="s">
        <v>75</v>
      </c>
      <c r="E95" s="14" t="s">
        <v>72</v>
      </c>
      <c r="F95" s="14" t="s">
        <v>64</v>
      </c>
      <c r="G95" s="42">
        <f>IF(SUMIFS(Calc_Rates!G$323:G$401,Calc_Rates!$C$323:$C$401,OP_Rates!$C95&amp;" charge",Calc_Rates!$F$323:$F$401,OP_Rates!$E95)=0,"-",SUMIFS(Calc_Rates!G$323:G$401,Calc_Rates!$C$323:$C$401,OP_Rates!$C95&amp;" charge",Calc_Rates!$F$323:$F$401,OP_Rates!$E95))</f>
        <v>0.39692799921917177</v>
      </c>
      <c r="H95" s="42" t="str">
        <f>IF(SUMIFS(Calc_Rates!H$323:H$401,Calc_Rates!$C$323:$C$401,OP_Rates!$C95&amp;" charge",Calc_Rates!$F$323:$F$401,OP_Rates!$E95)=0,"-",SUMIFS(Calc_Rates!H$323:H$401,Calc_Rates!$C$323:$C$401,OP_Rates!$C95&amp;" charge",Calc_Rates!$F$323:$F$401,OP_Rates!$E95))</f>
        <v>-</v>
      </c>
      <c r="I95" s="42" t="str">
        <f>IF(SUMIFS(Calc_Rates!I$323:I$401,Calc_Rates!$C$323:$C$401,OP_Rates!$C95&amp;" charge",Calc_Rates!$F$323:$F$401,OP_Rates!$E95)=0,"-",SUMIFS(Calc_Rates!I$323:I$401,Calc_Rates!$C$323:$C$401,OP_Rates!$C95&amp;" charge",Calc_Rates!$F$323:$F$401,OP_Rates!$E95))</f>
        <v>-</v>
      </c>
      <c r="J95" s="42" t="str">
        <f>IF(SUMIFS(Calc_Rates!J$323:J$401,Calc_Rates!$C$323:$C$401,OP_Rates!$C95&amp;" charge",Calc_Rates!$F$323:$F$401,OP_Rates!$E95)=0,"-",SUMIFS(Calc_Rates!J$323:J$401,Calc_Rates!$C$323:$C$401,OP_Rates!$C95&amp;" charge",Calc_Rates!$F$323:$F$401,OP_Rates!$E95))</f>
        <v>-</v>
      </c>
      <c r="K95" s="42" t="str">
        <f>IF(SUMIFS(Calc_Rates!K$323:K$401,Calc_Rates!$C$323:$C$401,OP_Rates!$C95&amp;" charge",Calc_Rates!$F$323:$F$401,OP_Rates!$E95)=0,"-",SUMIFS(Calc_Rates!K$323:K$401,Calc_Rates!$C$323:$C$401,OP_Rates!$C95&amp;" charge",Calc_Rates!$F$323:$F$401,OP_Rates!$E95))</f>
        <v>-</v>
      </c>
      <c r="M95" s="14" t="s">
        <v>76</v>
      </c>
      <c r="N95" s="14" t="s">
        <v>75</v>
      </c>
      <c r="O95" s="14" t="s">
        <v>73</v>
      </c>
      <c r="P95" s="14" t="s">
        <v>64</v>
      </c>
      <c r="Q95" s="42">
        <f>IF(SUMIFS(Calc_Rates!G$323:G$401,Calc_Rates!$C$323:$C$401,OP_Rates!$M95&amp;" charge",Calc_Rates!$F$323:$F$401,OP_Rates!$O95)=0,"-",SUMIFS(Calc_Rates!G$323:G$401,Calc_Rates!$C$323:$C$401,OP_Rates!$M95&amp;" charge",Calc_Rates!$F$323:$F$401,OP_Rates!$O95))</f>
        <v>0.4395923127307314</v>
      </c>
      <c r="R95" s="42" t="str">
        <f>IF(SUMIFS(Calc_Rates!H$323:H$401,Calc_Rates!$C$323:$C$401,OP_Rates!$M95&amp;" charge",Calc_Rates!$F$323:$F$401,OP_Rates!$O95)=0,"-",SUMIFS(Calc_Rates!H$323:H$401,Calc_Rates!$C$323:$C$401,OP_Rates!$M95&amp;" charge",Calc_Rates!$F$323:$F$401,OP_Rates!$O95))</f>
        <v>-</v>
      </c>
      <c r="S95" s="42" t="str">
        <f>IF(SUMIFS(Calc_Rates!I$323:I$401,Calc_Rates!$C$323:$C$401,OP_Rates!$M95&amp;" charge",Calc_Rates!$F$323:$F$401,OP_Rates!$O95)=0,"-",SUMIFS(Calc_Rates!I$323:I$401,Calc_Rates!$C$323:$C$401,OP_Rates!$M95&amp;" charge",Calc_Rates!$F$323:$F$401,OP_Rates!$O95))</f>
        <v>-</v>
      </c>
      <c r="T95" s="42" t="str">
        <f>IF(SUMIFS(Calc_Rates!J$323:J$401,Calc_Rates!$C$323:$C$401,OP_Rates!$M95&amp;" charge",Calc_Rates!$F$323:$F$401,OP_Rates!$O95)=0,"-",SUMIFS(Calc_Rates!J$323:J$401,Calc_Rates!$C$323:$C$401,OP_Rates!$M95&amp;" charge",Calc_Rates!$F$323:$F$401,OP_Rates!$O95))</f>
        <v>-</v>
      </c>
      <c r="U95" s="42" t="str">
        <f>IF(SUMIFS(Calc_Rates!K$323:K$401,Calc_Rates!$C$323:$C$401,OP_Rates!$M95&amp;" charge",Calc_Rates!$F$323:$F$401,OP_Rates!$O95)=0,"-",SUMIFS(Calc_Rates!K$323:K$401,Calc_Rates!$C$323:$C$401,OP_Rates!$M95&amp;" charge",Calc_Rates!$F$323:$F$401,OP_Rates!$O95))</f>
        <v>-</v>
      </c>
    </row>
    <row r="96" spans="1:24" outlineLevel="2" x14ac:dyDescent="0.25">
      <c r="C96" s="14" t="s">
        <v>77</v>
      </c>
      <c r="D96" s="14" t="s">
        <v>75</v>
      </c>
      <c r="E96" s="14" t="s">
        <v>72</v>
      </c>
      <c r="F96" s="14" t="s">
        <v>64</v>
      </c>
      <c r="G96" s="42" t="str">
        <f>IF(SUMIFS(Calc_Rates!G$323:G$401,Calc_Rates!$C$323:$C$401,OP_Rates!$C96&amp;" charge",Calc_Rates!$F$323:$F$401,OP_Rates!$E96)=0,"-",SUMIFS(Calc_Rates!G$323:G$401,Calc_Rates!$C$323:$C$401,OP_Rates!$C96&amp;" charge",Calc_Rates!$F$323:$F$401,OP_Rates!$E96))</f>
        <v>-</v>
      </c>
      <c r="H96" s="42">
        <f>IF(SUMIFS(Calc_Rates!H$323:H$401,Calc_Rates!$C$323:$C$401,OP_Rates!$C96&amp;" charge",Calc_Rates!$F$323:$F$401,OP_Rates!$E96)=0,"-",SUMIFS(Calc_Rates!H$323:H$401,Calc_Rates!$C$323:$C$401,OP_Rates!$C96&amp;" charge",Calc_Rates!$F$323:$F$401,OP_Rates!$E96))</f>
        <v>0.28845811455258646</v>
      </c>
      <c r="I96" s="42">
        <f>IF(SUMIFS(Calc_Rates!I$323:I$401,Calc_Rates!$C$323:$C$401,OP_Rates!$C96&amp;" charge",Calc_Rates!$F$323:$F$401,OP_Rates!$E96)=0,"-",SUMIFS(Calc_Rates!I$323:I$401,Calc_Rates!$C$323:$C$401,OP_Rates!$C96&amp;" charge",Calc_Rates!$F$323:$F$401,OP_Rates!$E96))</f>
        <v>0.32661849935995851</v>
      </c>
      <c r="J96" s="42">
        <f>IF(SUMIFS(Calc_Rates!J$323:J$401,Calc_Rates!$C$323:$C$401,OP_Rates!$C96&amp;" charge",Calc_Rates!$F$323:$F$401,OP_Rates!$E96)=0,"-",SUMIFS(Calc_Rates!J$323:J$401,Calc_Rates!$C$323:$C$401,OP_Rates!$C96&amp;" charge",Calc_Rates!$F$323:$F$401,OP_Rates!$E96))</f>
        <v>0.33065780817640628</v>
      </c>
      <c r="K96" s="42">
        <f>IF(SUMIFS(Calc_Rates!K$323:K$401,Calc_Rates!$C$323:$C$401,OP_Rates!$C96&amp;" charge",Calc_Rates!$F$323:$F$401,OP_Rates!$E96)=0,"-",SUMIFS(Calc_Rates!K$323:K$401,Calc_Rates!$C$323:$C$401,OP_Rates!$C96&amp;" charge",Calc_Rates!$F$323:$F$401,OP_Rates!$E96))</f>
        <v>0.318811294983181</v>
      </c>
      <c r="M96" s="14" t="s">
        <v>77</v>
      </c>
      <c r="N96" s="14" t="s">
        <v>75</v>
      </c>
      <c r="O96" s="14" t="s">
        <v>73</v>
      </c>
      <c r="P96" s="14" t="s">
        <v>64</v>
      </c>
      <c r="Q96" s="42" t="str">
        <f>IF(SUMIFS(Calc_Rates!G$323:G$401,Calc_Rates!$C$323:$C$401,OP_Rates!$M96&amp;" charge",Calc_Rates!$F$323:$F$401,OP_Rates!$O96)=0,"-",SUMIFS(Calc_Rates!G$323:G$401,Calc_Rates!$C$323:$C$401,OP_Rates!$M96&amp;" charge",Calc_Rates!$F$323:$F$401,OP_Rates!$O96))</f>
        <v>-</v>
      </c>
      <c r="R96" s="42">
        <f>IF(SUMIFS(Calc_Rates!H$323:H$401,Calc_Rates!$C$323:$C$401,OP_Rates!$M96&amp;" charge",Calc_Rates!$F$323:$F$401,OP_Rates!$O96)=0,"-",SUMIFS(Calc_Rates!H$323:H$401,Calc_Rates!$C$323:$C$401,OP_Rates!$M96&amp;" charge",Calc_Rates!$F$323:$F$401,OP_Rates!$O96))</f>
        <v>0.28475573576841606</v>
      </c>
      <c r="S96" s="42">
        <f>IF(SUMIFS(Calc_Rates!I$323:I$401,Calc_Rates!$C$323:$C$401,OP_Rates!$M96&amp;" charge",Calc_Rates!$F$323:$F$401,OP_Rates!$O96)=0,"-",SUMIFS(Calc_Rates!I$323:I$401,Calc_Rates!$C$323:$C$401,OP_Rates!$M96&amp;" charge",Calc_Rates!$F$323:$F$401,OP_Rates!$O96))</f>
        <v>0.33213936394300336</v>
      </c>
      <c r="T96" s="42">
        <f>IF(SUMIFS(Calc_Rates!J$323:J$401,Calc_Rates!$C$323:$C$401,OP_Rates!$M96&amp;" charge",Calc_Rates!$F$323:$F$401,OP_Rates!$O96)=0,"-",SUMIFS(Calc_Rates!J$323:J$401,Calc_Rates!$C$323:$C$401,OP_Rates!$M96&amp;" charge",Calc_Rates!$F$323:$F$401,OP_Rates!$O96))</f>
        <v>0.3075991809598615</v>
      </c>
      <c r="U96" s="42">
        <f>IF(SUMIFS(Calc_Rates!K$323:K$401,Calc_Rates!$C$323:$C$401,OP_Rates!$M96&amp;" charge",Calc_Rates!$F$323:$F$401,OP_Rates!$O96)=0,"-",SUMIFS(Calc_Rates!K$323:K$401,Calc_Rates!$C$323:$C$401,OP_Rates!$M96&amp;" charge",Calc_Rates!$F$323:$F$401,OP_Rates!$O96))</f>
        <v>0.30424774089870804</v>
      </c>
    </row>
    <row r="97" spans="3:23" outlineLevel="2" x14ac:dyDescent="0.25">
      <c r="C97" s="14" t="s">
        <v>78</v>
      </c>
      <c r="D97" s="14" t="s">
        <v>71</v>
      </c>
      <c r="E97" s="14" t="s">
        <v>72</v>
      </c>
      <c r="F97" s="14" t="s">
        <v>64</v>
      </c>
      <c r="G97" s="42">
        <f>IF(SUMIFS(Calc_Rates!G$279:G$309,Calc_Rates!$C$279:$C$309,OP_Rates!$C97,Calc_Rates!$F$279:$F$309,OP_Rates!$E97)=0,"-",SUMIFS(Calc_Rates!G$279:G$309,Calc_Rates!$C$279:$C$309,OP_Rates!$C97,Calc_Rates!$F$279:$F$309,OP_Rates!$E97))</f>
        <v>1.325062480625995</v>
      </c>
      <c r="H97" s="42">
        <f>IF(SUMIFS(Calc_Rates!H$279:H$309,Calc_Rates!$C$279:$C$309,OP_Rates!$C97,Calc_Rates!$F$279:$F$309,OP_Rates!$E97)=0,"-",SUMIFS(Calc_Rates!H$279:H$309,Calc_Rates!$C$279:$C$309,OP_Rates!$C97,Calc_Rates!$F$279:$F$309,OP_Rates!$E97))</f>
        <v>1.1524695196540524</v>
      </c>
      <c r="I97" s="42">
        <f>IF(SUMIFS(Calc_Rates!I$279:I$309,Calc_Rates!$C$279:$C$309,OP_Rates!$C97,Calc_Rates!$F$279:$F$309,OP_Rates!$E97)=0,"-",SUMIFS(Calc_Rates!I$279:I$309,Calc_Rates!$C$279:$C$309,OP_Rates!$C97,Calc_Rates!$F$279:$F$309,OP_Rates!$E97))</f>
        <v>1.1438046408406388</v>
      </c>
      <c r="J97" s="42">
        <f>IF(SUMIFS(Calc_Rates!J$279:J$309,Calc_Rates!$C$279:$C$309,OP_Rates!$C97,Calc_Rates!$F$279:$F$309,OP_Rates!$E97)=0,"-",SUMIFS(Calc_Rates!J$279:J$309,Calc_Rates!$C$279:$C$309,OP_Rates!$C97,Calc_Rates!$F$279:$F$309,OP_Rates!$E97))</f>
        <v>1.3001579443005118</v>
      </c>
      <c r="K97" s="42">
        <f>IF(SUMIFS(Calc_Rates!K$279:K$309,Calc_Rates!$C$279:$C$309,OP_Rates!$C97,Calc_Rates!$F$279:$F$309,OP_Rates!$E97)=0,"-",SUMIFS(Calc_Rates!K$279:K$309,Calc_Rates!$C$279:$C$309,OP_Rates!$C97,Calc_Rates!$F$279:$F$309,OP_Rates!$E97))</f>
        <v>1.0813510101548778</v>
      </c>
      <c r="M97" s="14" t="s">
        <v>78</v>
      </c>
      <c r="N97" s="14" t="s">
        <v>71</v>
      </c>
      <c r="O97" s="14" t="s">
        <v>73</v>
      </c>
      <c r="P97" s="14" t="s">
        <v>64</v>
      </c>
      <c r="Q97" s="42">
        <f>IF(SUMIFS(Calc_Rates!G$279:G$309,Calc_Rates!$C$279:$C$309,OP_Rates!$M97,Calc_Rates!$F$279:$F$309,OP_Rates!$O97)=0,"-",SUMIFS(Calc_Rates!G$279:G$309,Calc_Rates!$C$279:$C$309,OP_Rates!$M97,Calc_Rates!$F$279:$F$309,OP_Rates!$O97))</f>
        <v>1.325062480625995</v>
      </c>
      <c r="R97" s="42">
        <f>IF(SUMIFS(Calc_Rates!H$279:H$309,Calc_Rates!$C$279:$C$309,OP_Rates!$M97,Calc_Rates!$F$279:$F$309,OP_Rates!$O97)=0,"-",SUMIFS(Calc_Rates!H$279:H$309,Calc_Rates!$C$279:$C$309,OP_Rates!$M97,Calc_Rates!$F$279:$F$309,OP_Rates!$O97))</f>
        <v>1.3434365596540525</v>
      </c>
      <c r="S97" s="42">
        <f>IF(SUMIFS(Calc_Rates!I$279:I$309,Calc_Rates!$C$279:$C$309,OP_Rates!$M97,Calc_Rates!$F$279:$F$309,OP_Rates!$O97)=0,"-",SUMIFS(Calc_Rates!I$279:I$309,Calc_Rates!$C$279:$C$309,OP_Rates!$M97,Calc_Rates!$F$279:$F$309,OP_Rates!$O97))</f>
        <v>1.6800004703488358</v>
      </c>
      <c r="T97" s="42">
        <f>IF(SUMIFS(Calc_Rates!J$279:J$309,Calc_Rates!$C$279:$C$309,OP_Rates!$M97,Calc_Rates!$F$279:$F$309,OP_Rates!$O97)=0,"-",SUMIFS(Calc_Rates!J$279:J$309,Calc_Rates!$C$279:$C$309,OP_Rates!$M97,Calc_Rates!$F$279:$F$309,OP_Rates!$O97))</f>
        <v>1.427469304300512</v>
      </c>
      <c r="U97" s="42">
        <f>IF(SUMIFS(Calc_Rates!K$279:K$309,Calc_Rates!$C$279:$C$309,OP_Rates!$M97,Calc_Rates!$F$279:$F$309,OP_Rates!$O97)=0,"-",SUMIFS(Calc_Rates!K$279:K$309,Calc_Rates!$C$279:$C$309,OP_Rates!$M97,Calc_Rates!$F$279:$F$309,OP_Rates!$O97))</f>
        <v>1.2404902101548778</v>
      </c>
    </row>
    <row r="98" spans="3:23" outlineLevel="2" x14ac:dyDescent="0.25">
      <c r="C98" s="14" t="s">
        <v>79</v>
      </c>
      <c r="D98" s="14" t="s">
        <v>75</v>
      </c>
      <c r="E98" s="14" t="s">
        <v>72</v>
      </c>
      <c r="F98" s="14" t="s">
        <v>64</v>
      </c>
      <c r="G98" s="42">
        <f>IF(SUMIFS(Calc_Rates!G$323:G$401,Calc_Rates!$C$323:$C$401,OP_Rates!$C98&amp;" charge",Calc_Rates!$F$323:$F$401,OP_Rates!$E98)=0,"-",SUMIFS(Calc_Rates!G$323:G$401,Calc_Rates!$C$323:$C$401,OP_Rates!$C98&amp;" charge",Calc_Rates!$F$323:$F$401,OP_Rates!$E98))</f>
        <v>0.49469346468589248</v>
      </c>
      <c r="H98" s="42">
        <f>IF(SUMIFS(Calc_Rates!H$323:H$401,Calc_Rates!$C$323:$C$401,OP_Rates!$C98&amp;" charge",Calc_Rates!$F$323:$F$401,OP_Rates!$E98)=0,"-",SUMIFS(Calc_Rates!H$323:H$401,Calc_Rates!$C$323:$C$401,OP_Rates!$C98&amp;" charge",Calc_Rates!$F$323:$F$401,OP_Rates!$E98))</f>
        <v>0.37325491455258653</v>
      </c>
      <c r="I98" s="42">
        <f>IF(SUMIFS(Calc_Rates!I$323:I$401,Calc_Rates!$C$323:$C$401,OP_Rates!$C98&amp;" charge",Calc_Rates!$F$323:$F$401,OP_Rates!$E98)=0,"-",SUMIFS(Calc_Rates!I$323:I$401,Calc_Rates!$C$323:$C$401,OP_Rates!$C98&amp;" charge",Calc_Rates!$F$323:$F$401,OP_Rates!$E98))</f>
        <v>0.39393321935995851</v>
      </c>
      <c r="J98" s="42">
        <f>IF(SUMIFS(Calc_Rates!J$323:J$401,Calc_Rates!$C$323:$C$401,OP_Rates!$C98&amp;" charge",Calc_Rates!$F$323:$F$401,OP_Rates!$E98)=0,"-",SUMIFS(Calc_Rates!J$323:J$401,Calc_Rates!$C$323:$C$401,OP_Rates!$C98&amp;" charge",Calc_Rates!$F$323:$F$401,OP_Rates!$E98))</f>
        <v>0.4278837281764063</v>
      </c>
      <c r="K98" s="42">
        <f>IF(SUMIFS(Calc_Rates!K$323:K$401,Calc_Rates!$C$323:$C$401,OP_Rates!$C98&amp;" charge",Calc_Rates!$F$323:$F$401,OP_Rates!$E98)=0,"-",SUMIFS(Calc_Rates!K$323:K$401,Calc_Rates!$C$323:$C$401,OP_Rates!$C98&amp;" charge",Calc_Rates!$F$323:$F$401,OP_Rates!$E98))</f>
        <v>0.41336553498318096</v>
      </c>
      <c r="M98" s="14" t="s">
        <v>79</v>
      </c>
      <c r="N98" s="14" t="s">
        <v>75</v>
      </c>
      <c r="O98" s="14" t="s">
        <v>73</v>
      </c>
      <c r="P98" s="14" t="s">
        <v>64</v>
      </c>
      <c r="Q98" s="42">
        <f>IF(SUMIFS(Calc_Rates!G$323:G$401,Calc_Rates!$C$323:$C$401,OP_Rates!$M98&amp;" charge",Calc_Rates!$F$323:$F$401,OP_Rates!$O98)=0,"-",SUMIFS(Calc_Rates!G$323:G$401,Calc_Rates!$C$323:$C$401,OP_Rates!$M98&amp;" charge",Calc_Rates!$F$323:$F$401,OP_Rates!$O98))</f>
        <v>0.42822711830324334</v>
      </c>
      <c r="R98" s="42">
        <f>IF(SUMIFS(Calc_Rates!H$323:H$401,Calc_Rates!$C$323:$C$401,OP_Rates!$M98&amp;" charge",Calc_Rates!$F$323:$F$401,OP_Rates!$O98)=0,"-",SUMIFS(Calc_Rates!H$323:H$401,Calc_Rates!$C$323:$C$401,OP_Rates!$M98&amp;" charge",Calc_Rates!$F$323:$F$401,OP_Rates!$O98))</f>
        <v>0.34422965576841608</v>
      </c>
      <c r="S98" s="42">
        <f>IF(SUMIFS(Calc_Rates!I$323:I$401,Calc_Rates!$C$323:$C$401,OP_Rates!$M98&amp;" charge",Calc_Rates!$F$323:$F$401,OP_Rates!$O98)=0,"-",SUMIFS(Calc_Rates!I$323:I$401,Calc_Rates!$C$323:$C$401,OP_Rates!$M98&amp;" charge",Calc_Rates!$F$323:$F$401,OP_Rates!$O98))</f>
        <v>0.37004237194300338</v>
      </c>
      <c r="T98" s="42">
        <f>IF(SUMIFS(Calc_Rates!J$323:J$401,Calc_Rates!$C$323:$C$401,OP_Rates!$M98&amp;" charge",Calc_Rates!$F$323:$F$401,OP_Rates!$O98)=0,"-",SUMIFS(Calc_Rates!J$323:J$401,Calc_Rates!$C$323:$C$401,OP_Rates!$M98&amp;" charge",Calc_Rates!$F$323:$F$401,OP_Rates!$O98))</f>
        <v>0.39646158095986145</v>
      </c>
      <c r="U98" s="42">
        <f>IF(SUMIFS(Calc_Rates!K$323:K$401,Calc_Rates!$C$323:$C$401,OP_Rates!$M98&amp;" charge",Calc_Rates!$F$323:$F$401,OP_Rates!$O98)=0,"-",SUMIFS(Calc_Rates!K$323:K$401,Calc_Rates!$C$323:$C$401,OP_Rates!$M98&amp;" charge",Calc_Rates!$F$323:$F$401,OP_Rates!$O98))</f>
        <v>0.37417606089870803</v>
      </c>
    </row>
    <row r="99" spans="3:23" outlineLevel="2" x14ac:dyDescent="0.25">
      <c r="C99" s="14" t="s">
        <v>80</v>
      </c>
      <c r="D99" s="14" t="s">
        <v>75</v>
      </c>
      <c r="E99" s="14" t="s">
        <v>72</v>
      </c>
      <c r="F99" s="14" t="s">
        <v>64</v>
      </c>
      <c r="G99" s="42">
        <f>IF(SUMIFS(Calc_Rates!G$323:G$401,Calc_Rates!$C$323:$C$401,OP_Rates!$C99&amp;" charge",Calc_Rates!$F$323:$F$401,OP_Rates!$E99)=0,"-",SUMIFS(Calc_Rates!G$323:G$401,Calc_Rates!$C$323:$C$401,OP_Rates!$C99&amp;" charge",Calc_Rates!$F$323:$F$401,OP_Rates!$E99))</f>
        <v>0.28832208003155868</v>
      </c>
      <c r="H99" s="42">
        <f>IF(SUMIFS(Calc_Rates!H$323:H$401,Calc_Rates!$C$323:$C$401,OP_Rates!$C99&amp;" charge",Calc_Rates!$F$323:$F$401,OP_Rates!$E99)=0,"-",SUMIFS(Calc_Rates!H$323:H$401,Calc_Rates!$C$323:$C$401,OP_Rates!$C99&amp;" charge",Calc_Rates!$F$323:$F$401,OP_Rates!$E99))</f>
        <v>0.2454789145525865</v>
      </c>
      <c r="I99" s="42">
        <f>IF(SUMIFS(Calc_Rates!I$323:I$401,Calc_Rates!$C$323:$C$401,OP_Rates!$C99&amp;" charge",Calc_Rates!$F$323:$F$401,OP_Rates!$E99)=0,"-",SUMIFS(Calc_Rates!I$323:I$401,Calc_Rates!$C$323:$C$401,OP_Rates!$C99&amp;" charge",Calc_Rates!$F$323:$F$401,OP_Rates!$E99))</f>
        <v>0.2724298593599585</v>
      </c>
      <c r="J99" s="42">
        <f>IF(SUMIFS(Calc_Rates!J$323:J$401,Calc_Rates!$C$323:$C$401,OP_Rates!$C99&amp;" charge",Calc_Rates!$F$323:$F$401,OP_Rates!$E99)=0,"-",SUMIFS(Calc_Rates!J$323:J$401,Calc_Rates!$C$323:$C$401,OP_Rates!$C99&amp;" charge",Calc_Rates!$F$323:$F$401,OP_Rates!$E99))</f>
        <v>0.2786181281764063</v>
      </c>
      <c r="K99" s="42">
        <f>IF(SUMIFS(Calc_Rates!K$323:K$401,Calc_Rates!$C$323:$C$401,OP_Rates!$C99&amp;" charge",Calc_Rates!$F$323:$F$401,OP_Rates!$E99)=0,"-",SUMIFS(Calc_Rates!K$323:K$401,Calc_Rates!$C$323:$C$401,OP_Rates!$C99&amp;" charge",Calc_Rates!$F$323:$F$401,OP_Rates!$E99))</f>
        <v>0.26793321498318096</v>
      </c>
      <c r="M99" s="14" t="s">
        <v>80</v>
      </c>
      <c r="N99" s="14" t="s">
        <v>75</v>
      </c>
      <c r="O99" s="14" t="s">
        <v>73</v>
      </c>
      <c r="P99" s="14" t="s">
        <v>64</v>
      </c>
      <c r="Q99" s="42">
        <f>IF(SUMIFS(Calc_Rates!G$323:G$401,Calc_Rates!$C$323:$C$401,OP_Rates!$M99&amp;" charge",Calc_Rates!$F$323:$F$401,OP_Rates!$O99)=0,"-",SUMIFS(Calc_Rates!G$323:G$401,Calc_Rates!$C$323:$C$401,OP_Rates!$M99&amp;" charge",Calc_Rates!$F$323:$F$401,OP_Rates!$O99))</f>
        <v>0.2551501740500301</v>
      </c>
      <c r="R99" s="42">
        <f>IF(SUMIFS(Calc_Rates!H$323:H$401,Calc_Rates!$C$323:$C$401,OP_Rates!$M99&amp;" charge",Calc_Rates!$F$323:$F$401,OP_Rates!$O99)=0,"-",SUMIFS(Calc_Rates!H$323:H$401,Calc_Rates!$C$323:$C$401,OP_Rates!$M99&amp;" charge",Calc_Rates!$F$323:$F$401,OP_Rates!$O99))</f>
        <v>0.22435253576841607</v>
      </c>
      <c r="S99" s="42">
        <f>IF(SUMIFS(Calc_Rates!I$323:I$401,Calc_Rates!$C$323:$C$401,OP_Rates!$M99&amp;" charge",Calc_Rates!$F$323:$F$401,OP_Rates!$O99)=0,"-",SUMIFS(Calc_Rates!I$323:I$401,Calc_Rates!$C$323:$C$401,OP_Rates!$M99&amp;" charge",Calc_Rates!$F$323:$F$401,OP_Rates!$O99))</f>
        <v>0.23214883594300342</v>
      </c>
      <c r="T99" s="42">
        <f>IF(SUMIFS(Calc_Rates!J$323:J$401,Calc_Rates!$C$323:$C$401,OP_Rates!$M99&amp;" charge",Calc_Rates!$F$323:$F$401,OP_Rates!$O99)=0,"-",SUMIFS(Calc_Rates!J$323:J$401,Calc_Rates!$C$323:$C$401,OP_Rates!$M99&amp;" charge",Calc_Rates!$F$323:$F$401,OP_Rates!$O99))</f>
        <v>0.23871630095986146</v>
      </c>
      <c r="U99" s="42">
        <f>IF(SUMIFS(Calc_Rates!K$323:K$401,Calc_Rates!$C$323:$C$401,OP_Rates!$M99&amp;" charge",Calc_Rates!$F$323:$F$401,OP_Rates!$O99)=0,"-",SUMIFS(Calc_Rates!K$323:K$401,Calc_Rates!$C$323:$C$401,OP_Rates!$M99&amp;" charge",Calc_Rates!$F$323:$F$401,OP_Rates!$O99))</f>
        <v>0.23501638089870802</v>
      </c>
    </row>
    <row r="100" spans="3:23" outlineLevel="2" x14ac:dyDescent="0.25">
      <c r="C100" s="14" t="s">
        <v>81</v>
      </c>
      <c r="D100" s="14" t="s">
        <v>75</v>
      </c>
      <c r="E100" s="14" t="s">
        <v>72</v>
      </c>
      <c r="F100" s="14" t="s">
        <v>64</v>
      </c>
      <c r="G100" s="42">
        <f>IF(SUMIFS(Calc_Rates!G$323:G$401,Calc_Rates!$C$323:$C$401,OP_Rates!$C100&amp;" charge",Calc_Rates!$F$323:$F$401,OP_Rates!$E100)=0,"-",SUMIFS(Calc_Rates!G$323:G$401,Calc_Rates!$C$323:$C$401,OP_Rates!$C100&amp;" charge",Calc_Rates!$F$323:$F$401,OP_Rates!$E100))</f>
        <v>0.28832208003155868</v>
      </c>
      <c r="H100" s="42">
        <f>IF(SUMIFS(Calc_Rates!H$323:H$401,Calc_Rates!$C$323:$C$401,OP_Rates!$C100&amp;" charge",Calc_Rates!$F$323:$F$401,OP_Rates!$E100)=0,"-",SUMIFS(Calc_Rates!H$323:H$401,Calc_Rates!$C$323:$C$401,OP_Rates!$C100&amp;" charge",Calc_Rates!$F$323:$F$401,OP_Rates!$E100))</f>
        <v>0.22851955455258649</v>
      </c>
      <c r="I100" s="42">
        <f>IF(SUMIFS(Calc_Rates!I$323:I$401,Calc_Rates!$C$323:$C$401,OP_Rates!$C100&amp;" charge",Calc_Rates!$F$323:$F$401,OP_Rates!$E100)=0,"-",SUMIFS(Calc_Rates!I$323:I$401,Calc_Rates!$C$323:$C$401,OP_Rates!$C100&amp;" charge",Calc_Rates!$F$323:$F$401,OP_Rates!$E100))</f>
        <v>0.26526278735995851</v>
      </c>
      <c r="J100" s="42">
        <f>IF(SUMIFS(Calc_Rates!J$323:J$401,Calc_Rates!$C$323:$C$401,OP_Rates!$C100&amp;" charge",Calc_Rates!$F$323:$F$401,OP_Rates!$E100)=0,"-",SUMIFS(Calc_Rates!J$323:J$401,Calc_Rates!$C$323:$C$401,OP_Rates!$C100&amp;" charge",Calc_Rates!$F$323:$F$401,OP_Rates!$E100))</f>
        <v>0.25736084817640631</v>
      </c>
      <c r="K100" s="42">
        <f>IF(SUMIFS(Calc_Rates!K$323:K$401,Calc_Rates!$C$323:$C$401,OP_Rates!$C100&amp;" charge",Calc_Rates!$F$323:$F$401,OP_Rates!$E100)=0,"-",SUMIFS(Calc_Rates!K$323:K$401,Calc_Rates!$C$323:$C$401,OP_Rates!$C100&amp;" charge",Calc_Rates!$F$323:$F$401,OP_Rates!$E100))</f>
        <v>0.24795369498318096</v>
      </c>
      <c r="M100" s="14"/>
      <c r="N100" s="14"/>
      <c r="O100" s="14"/>
      <c r="P100" s="14" t="s">
        <v>64</v>
      </c>
      <c r="Q100" s="42"/>
      <c r="R100" s="42"/>
      <c r="S100" s="42"/>
      <c r="T100" s="42"/>
      <c r="U100" s="42"/>
    </row>
    <row r="101" spans="3:23" outlineLevel="1" x14ac:dyDescent="0.25"/>
    <row r="102" spans="3:23" ht="15.75" outlineLevel="1" x14ac:dyDescent="0.25">
      <c r="C102" s="20" t="s">
        <v>84</v>
      </c>
      <c r="M102" s="20" t="s">
        <v>85</v>
      </c>
    </row>
    <row r="103" spans="3:23" ht="15.75" outlineLevel="2" x14ac:dyDescent="0.25">
      <c r="C103" s="121" t="s">
        <v>61</v>
      </c>
      <c r="D103" s="121" t="s">
        <v>62</v>
      </c>
      <c r="E103" s="121" t="s">
        <v>63</v>
      </c>
      <c r="F103" s="30" t="s">
        <v>50</v>
      </c>
      <c r="G103" s="40" t="s">
        <v>65</v>
      </c>
      <c r="H103" s="40" t="s">
        <v>66</v>
      </c>
      <c r="I103" s="40" t="s">
        <v>67</v>
      </c>
      <c r="J103" s="40" t="s">
        <v>68</v>
      </c>
      <c r="K103" s="59" t="s">
        <v>69</v>
      </c>
      <c r="M103" s="121" t="s">
        <v>61</v>
      </c>
      <c r="N103" s="121" t="s">
        <v>62</v>
      </c>
      <c r="O103" s="121" t="s">
        <v>63</v>
      </c>
      <c r="P103" s="30" t="s">
        <v>50</v>
      </c>
      <c r="Q103" s="40" t="s">
        <v>65</v>
      </c>
      <c r="R103" s="40" t="s">
        <v>66</v>
      </c>
      <c r="S103" s="40" t="s">
        <v>67</v>
      </c>
      <c r="T103" s="40" t="s">
        <v>68</v>
      </c>
      <c r="U103" s="59" t="s">
        <v>69</v>
      </c>
    </row>
    <row r="104" spans="3:23" outlineLevel="2" x14ac:dyDescent="0.25">
      <c r="C104" s="39" t="s">
        <v>86</v>
      </c>
      <c r="D104" s="39" t="s">
        <v>71</v>
      </c>
      <c r="E104" s="39" t="s">
        <v>72</v>
      </c>
      <c r="F104" s="39" t="s">
        <v>87</v>
      </c>
      <c r="G104" s="122" t="str" cm="1">
        <f t="array" ref="G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4" s="122" t="str" cm="1">
        <f t="array" ref="H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4" s="122" t="str" cm="1">
        <f t="array" ref="I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4" s="122" t="str" cm="1">
        <f t="array" ref="J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4" s="122" t="str" cm="1">
        <f t="array" ref="K104">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4" s="39" t="s">
        <v>86</v>
      </c>
      <c r="N104" s="39" t="s">
        <v>71</v>
      </c>
      <c r="O104" s="39" t="s">
        <v>73</v>
      </c>
      <c r="P104" s="39" t="s">
        <v>87</v>
      </c>
      <c r="Q104" s="122" t="str" cm="1">
        <f t="array" ref="Q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4" s="122" t="str" cm="1">
        <f t="array" ref="R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4" s="122" t="str" cm="1">
        <f t="array" ref="S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4" s="122" t="str" cm="1">
        <f t="array" ref="T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4" s="122" t="str" cm="1">
        <f t="array" ref="U104">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5" spans="3:23" outlineLevel="2" x14ac:dyDescent="0.25">
      <c r="C105" s="39" t="s">
        <v>88</v>
      </c>
      <c r="D105" s="39" t="s">
        <v>71</v>
      </c>
      <c r="E105" s="39" t="s">
        <v>72</v>
      </c>
      <c r="F105" s="39" t="s">
        <v>87</v>
      </c>
      <c r="G105" s="122" t="str" cm="1">
        <f t="array" ref="G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5" s="122" t="str" cm="1">
        <f t="array" ref="H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5" s="122" t="str" cm="1">
        <f t="array" ref="I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5" s="122" t="str" cm="1">
        <f t="array" ref="J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5" s="122" t="str" cm="1">
        <f t="array" ref="K105">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5" s="39" t="s">
        <v>88</v>
      </c>
      <c r="N105" s="39" t="s">
        <v>71</v>
      </c>
      <c r="O105" s="39" t="s">
        <v>73</v>
      </c>
      <c r="P105" s="39" t="s">
        <v>87</v>
      </c>
      <c r="Q105" s="122" t="str" cm="1">
        <f t="array" ref="Q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5" s="122" t="str" cm="1">
        <f t="array" ref="R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5" s="122" t="str" cm="1">
        <f t="array" ref="S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5" s="122" t="str" cm="1">
        <f t="array" ref="T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5" s="122" t="str" cm="1">
        <f t="array" ref="U105">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c r="W105" s="54"/>
    </row>
    <row r="106" spans="3:23" outlineLevel="2" x14ac:dyDescent="0.25">
      <c r="C106" s="39" t="s">
        <v>81</v>
      </c>
      <c r="D106" s="39" t="s">
        <v>75</v>
      </c>
      <c r="E106" s="39" t="s">
        <v>72</v>
      </c>
      <c r="F106" s="39" t="s">
        <v>87</v>
      </c>
      <c r="G106" s="122" t="str" cm="1">
        <f t="array" ref="G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v>
      </c>
      <c r="H106" s="122" t="str" cm="1">
        <f t="array" ref="H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v>
      </c>
      <c r="I106" s="122" t="str" cm="1">
        <f t="array" ref="I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v>
      </c>
      <c r="J106" s="122" t="str" cm="1">
        <f t="array" ref="J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v>
      </c>
      <c r="K106" s="122" t="str" cm="1">
        <f t="array" ref="K106">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v>
      </c>
      <c r="M106" s="39"/>
      <c r="N106" s="39"/>
      <c r="O106" s="39"/>
      <c r="P106" s="39"/>
      <c r="Q106" s="122" t="str" cm="1">
        <f t="array" ref="Q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06" s="122" t="str" cm="1">
        <f t="array" ref="R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06" s="122" t="str" cm="1">
        <f t="array" ref="S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06" s="122" t="str" cm="1">
        <f t="array" ref="T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06" s="122" t="str" cm="1">
        <f t="array" ref="U106">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07" spans="3:23" outlineLevel="2" x14ac:dyDescent="0.25">
      <c r="C107" s="39" t="s">
        <v>74</v>
      </c>
      <c r="D107" s="39" t="s">
        <v>75</v>
      </c>
      <c r="E107" s="39" t="s">
        <v>72</v>
      </c>
      <c r="F107" s="39" t="s">
        <v>89</v>
      </c>
      <c r="G107" s="122" cm="1">
        <f t="array" ref="G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07" s="122" cm="1">
        <f t="array" ref="H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7" s="122" cm="1">
        <f t="array" ref="I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7" s="122" cm="1">
        <f t="array" ref="J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7" s="122" cm="1">
        <f t="array" ref="K107">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7" s="39" t="s">
        <v>74</v>
      </c>
      <c r="N107" s="39" t="s">
        <v>75</v>
      </c>
      <c r="O107" s="39" t="s">
        <v>73</v>
      </c>
      <c r="P107" s="39" t="s">
        <v>89</v>
      </c>
      <c r="Q107" s="122" cm="1">
        <f t="array" ref="Q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07" s="122" cm="1">
        <f t="array" ref="R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7" s="122" cm="1">
        <f t="array" ref="S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7" s="122" cm="1">
        <f t="array" ref="T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7" s="122" cm="1">
        <f t="array" ref="U107">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8" spans="3:23" outlineLevel="2" x14ac:dyDescent="0.25">
      <c r="C108" s="39" t="s">
        <v>76</v>
      </c>
      <c r="D108" s="39" t="s">
        <v>75</v>
      </c>
      <c r="E108" s="39" t="s">
        <v>72</v>
      </c>
      <c r="F108" s="39" t="s">
        <v>89</v>
      </c>
      <c r="G108" s="122" cm="1">
        <f t="array" ref="G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08" s="122" cm="1">
        <f t="array" ref="H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0</v>
      </c>
      <c r="I108" s="122" cm="1">
        <f t="array" ref="I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0</v>
      </c>
      <c r="J108" s="122" cm="1">
        <f t="array" ref="J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0</v>
      </c>
      <c r="K108" s="122" cm="1">
        <f t="array" ref="K108">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0</v>
      </c>
      <c r="M108" s="39" t="s">
        <v>76</v>
      </c>
      <c r="N108" s="39" t="s">
        <v>75</v>
      </c>
      <c r="O108" s="39" t="s">
        <v>73</v>
      </c>
      <c r="P108" s="39" t="s">
        <v>89</v>
      </c>
      <c r="Q108" s="122" cm="1">
        <f t="array" ref="Q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08" s="122" cm="1">
        <f t="array" ref="R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0</v>
      </c>
      <c r="S108" s="122" cm="1">
        <f t="array" ref="S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0</v>
      </c>
      <c r="T108" s="122" cm="1">
        <f t="array" ref="T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0</v>
      </c>
      <c r="U108" s="122" cm="1">
        <f t="array" ref="U108">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0</v>
      </c>
    </row>
    <row r="109" spans="3:23" outlineLevel="2" x14ac:dyDescent="0.25">
      <c r="C109" s="39" t="s">
        <v>77</v>
      </c>
      <c r="D109" s="39" t="s">
        <v>75</v>
      </c>
      <c r="E109" s="39" t="s">
        <v>72</v>
      </c>
      <c r="F109" s="39" t="s">
        <v>89</v>
      </c>
      <c r="G109" s="122" cm="1">
        <f t="array" ref="G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0</v>
      </c>
      <c r="H109" s="122" cm="1">
        <f t="array" ref="H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09" s="122" cm="1">
        <f t="array" ref="I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09" s="122" cm="1">
        <f t="array" ref="J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09" s="122" cm="1">
        <f t="array" ref="K109">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09" s="39" t="s">
        <v>77</v>
      </c>
      <c r="N109" s="39" t="s">
        <v>75</v>
      </c>
      <c r="O109" s="39" t="s">
        <v>73</v>
      </c>
      <c r="P109" s="39" t="s">
        <v>89</v>
      </c>
      <c r="Q109" s="122" cm="1">
        <f t="array" ref="Q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0</v>
      </c>
      <c r="R109" s="122" cm="1">
        <f t="array" ref="R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-1.4016011881474891E-3</v>
      </c>
      <c r="S109" s="122" cm="1">
        <f t="array" ref="S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-1.3896720485833702E-3</v>
      </c>
      <c r="T109" s="122" cm="1">
        <f t="array" ref="T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-1.432313335205126E-3</v>
      </c>
      <c r="U109" s="122" cm="1">
        <f t="array" ref="U109">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-1.3977880905040913E-3</v>
      </c>
    </row>
    <row r="110" spans="3:23" outlineLevel="2" x14ac:dyDescent="0.25">
      <c r="C110" s="39" t="s">
        <v>79</v>
      </c>
      <c r="D110" s="39" t="s">
        <v>75</v>
      </c>
      <c r="E110" s="39" t="s">
        <v>72</v>
      </c>
      <c r="F110" s="39" t="s">
        <v>89</v>
      </c>
      <c r="G110" s="122" cm="1">
        <f t="array" ref="G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10" s="122" cm="1">
        <f t="array" ref="H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10" s="122" cm="1">
        <f t="array" ref="I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10" s="122" cm="1">
        <f t="array" ref="J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10" s="122" cm="1">
        <f t="array" ref="K110">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10" s="39" t="s">
        <v>79</v>
      </c>
      <c r="N110" s="39" t="s">
        <v>75</v>
      </c>
      <c r="O110" s="39" t="s">
        <v>73</v>
      </c>
      <c r="P110" s="39" t="s">
        <v>89</v>
      </c>
      <c r="Q110" s="122" cm="1">
        <f t="array" ref="Q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10" s="122" cm="1">
        <f t="array" ref="R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-1.4016011881474891E-3</v>
      </c>
      <c r="S110" s="122" cm="1">
        <f t="array" ref="S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-1.3896720485833702E-3</v>
      </c>
      <c r="T110" s="122" cm="1">
        <f t="array" ref="T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-1.432313335205126E-3</v>
      </c>
      <c r="U110" s="122" cm="1">
        <f t="array" ref="U110">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-1.3977880905040913E-3</v>
      </c>
    </row>
    <row r="111" spans="3:23" outlineLevel="2" x14ac:dyDescent="0.25">
      <c r="C111" s="39" t="s">
        <v>80</v>
      </c>
      <c r="D111" s="39" t="s">
        <v>75</v>
      </c>
      <c r="E111" s="39" t="s">
        <v>72</v>
      </c>
      <c r="F111" s="39" t="s">
        <v>89</v>
      </c>
      <c r="G111" s="122" cm="1">
        <f t="array" ref="G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11" s="122" cm="1">
        <f t="array" ref="H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11" s="122" cm="1">
        <f t="array" ref="I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11" s="122" cm="1">
        <f t="array" ref="J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11" s="122" cm="1">
        <f t="array" ref="K111">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11" s="39" t="s">
        <v>80</v>
      </c>
      <c r="N111" s="39" t="s">
        <v>75</v>
      </c>
      <c r="O111" s="39" t="s">
        <v>73</v>
      </c>
      <c r="P111" s="39" t="s">
        <v>89</v>
      </c>
      <c r="Q111" s="122" cm="1">
        <f t="array" ref="Q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-1.4451020409271499E-3</v>
      </c>
      <c r="R111" s="122" cm="1">
        <f t="array" ref="R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-1.4016011881474891E-3</v>
      </c>
      <c r="S111" s="122" cm="1">
        <f t="array" ref="S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-1.3896720485833702E-3</v>
      </c>
      <c r="T111" s="122" cm="1">
        <f t="array" ref="T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-1.432313335205126E-3</v>
      </c>
      <c r="U111" s="122" cm="1">
        <f t="array" ref="U111">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-1.3977880905040913E-3</v>
      </c>
    </row>
    <row r="112" spans="3:23" outlineLevel="2" x14ac:dyDescent="0.25">
      <c r="C112" s="39" t="s">
        <v>81</v>
      </c>
      <c r="D112" s="39" t="s">
        <v>75</v>
      </c>
      <c r="E112" s="39" t="s">
        <v>72</v>
      </c>
      <c r="F112" s="39" t="s">
        <v>89</v>
      </c>
      <c r="G112" s="122" cm="1">
        <f t="array" ref="G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name]]),0),MATCH(OP_RatesTU_RES_2[[#Headers],[Ausnet]],Calc_TUR_Net_2[[#Headers],[Ausnet]:[United Energy]],0)),
INDEX(Calc_TUR_NetCL_2[[Ausnet]:[United Energy]],MATCH(OP_RatesTU_RES_2[[#This Row],[Customer type]:[Customer type]],Calc_TUR_NetCL_2[[Customer type]:[Customer type]],0),MATCH(OP_RatesTU_RES_2[[#Headers],[Ausnet]],Calc_TUR_NetCL_2[[#Headers],[Ausnet]:[United Energy]],0))),
IF(OP_RatesTU_RES_2[[#This Row],[Cost element]:[Cost element]]="Environmental",
SUMIFS(INDEX(Calc_TUR_ENV_2[[Ausnet]:[United Energy]],0,MATCH(OP_RatesTU_RES_2[[#Headers],[Ausnet]],Calc_TUR_ENV_2[[#Headers],[Ausnet]:[United Energy]],0)),
Calc_TUR_ENV_2[[Customer type]:[Customer type]],OP_RatesTU_RES_2[[#This Row],[Customer type]:[Customer type]],Calc_TUR_ENV_2[[Rate type]:[Rate type]],OP_RatesTU_RES_2[[#This Row],[Rate name]:[Rate name]]),
"-")),"-")</f>
        <v>-1.4451020409271499E-3</v>
      </c>
      <c r="H112" s="122" cm="1">
        <f t="array" ref="H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name]]),0),MATCH(OP_RatesTU_RES_2[[#Headers],[Citipower]],Calc_TUR_Net_2[[#Headers],[Ausnet]:[United Energy]],0)),
INDEX(Calc_TUR_NetCL_2[[Ausnet]:[United Energy]],MATCH(OP_RatesTU_RES_2[[#This Row],[Customer type]:[Customer type]],Calc_TUR_NetCL_2[[Customer type]:[Customer type]],0),MATCH(OP_RatesTU_RES_2[[#Headers],[Citipower]],Calc_TUR_NetCL_2[[#Headers],[Ausnet]:[United Energy]],0))),
IF(OP_RatesTU_RES_2[[#This Row],[Cost element]:[Cost element]]="Environmental",
SUMIFS(INDEX(Calc_TUR_ENV_2[[Ausnet]:[United Energy]],0,MATCH(OP_RatesTU_RES_2[[#Headers],[Citipower]],Calc_TUR_ENV_2[[#Headers],[Ausnet]:[United Energy]],0)),
Calc_TUR_ENV_2[[Customer type]:[Customer type]],OP_RatesTU_RES_2[[#This Row],[Customer type]:[Customer type]],Calc_TUR_ENV_2[[Rate type]:[Rate type]],OP_RatesTU_RES_2[[#This Row],[Rate name]:[Rate name]]),
"-")),"-")</f>
        <v>-1.4016011881474891E-3</v>
      </c>
      <c r="I112" s="122" cm="1">
        <f t="array" ref="I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name]]),0),MATCH(OP_RatesTU_RES_2[[#Headers],[Jemena]],Calc_TUR_Net_2[[#Headers],[Ausnet]:[United Energy]],0)),
INDEX(Calc_TUR_NetCL_2[[Ausnet]:[United Energy]],MATCH(OP_RatesTU_RES_2[[#This Row],[Customer type]:[Customer type]],Calc_TUR_NetCL_2[[Customer type]:[Customer type]],0),MATCH(OP_RatesTU_RES_2[[#Headers],[Jemena]],Calc_TUR_NetCL_2[[#Headers],[Ausnet]:[United Energy]],0))),
IF(OP_RatesTU_RES_2[[#This Row],[Cost element]:[Cost element]]="Environmental",
SUMIFS(INDEX(Calc_TUR_ENV_2[[Ausnet]:[United Energy]],0,MATCH(OP_RatesTU_RES_2[[#Headers],[Jemena]],Calc_TUR_ENV_2[[#Headers],[Ausnet]:[United Energy]],0)),
Calc_TUR_ENV_2[[Customer type]:[Customer type]],OP_RatesTU_RES_2[[#This Row],[Customer type]:[Customer type]],Calc_TUR_ENV_2[[Rate type]:[Rate type]],OP_RatesTU_RES_2[[#This Row],[Rate name]:[Rate name]]),
"-")),"-")</f>
        <v>-1.3896720485833702E-3</v>
      </c>
      <c r="J112" s="122" cm="1">
        <f t="array" ref="J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name]]),0),MATCH(OP_RatesTU_RES_2[[#Headers],[Powercor]],Calc_TUR_Net_2[[#Headers],[Ausnet]:[United Energy]],0)),
INDEX(Calc_TUR_NetCL_2[[Ausnet]:[United Energy]],MATCH(OP_RatesTU_RES_2[[#This Row],[Customer type]:[Customer type]],Calc_TUR_NetCL_2[[Customer type]:[Customer type]],0),MATCH(OP_RatesTU_RES_2[[#Headers],[Powercor]],Calc_TUR_NetCL_2[[#Headers],[Ausnet]:[United Energy]],0))),
IF(OP_RatesTU_RES_2[[#This Row],[Cost element]:[Cost element]]="Environmental",
SUMIFS(INDEX(Calc_TUR_ENV_2[[Ausnet]:[United Energy]],0,MATCH(OP_RatesTU_RES_2[[#Headers],[Powercor]],Calc_TUR_ENV_2[[#Headers],[Ausnet]:[United Energy]],0)),
Calc_TUR_ENV_2[[Customer type]:[Customer type]],OP_RatesTU_RES_2[[#This Row],[Customer type]:[Customer type]],Calc_TUR_ENV_2[[Rate type]:[Rate type]],OP_RatesTU_RES_2[[#This Row],[Rate name]:[Rate name]]),
"-")),"-")</f>
        <v>-1.432313335205126E-3</v>
      </c>
      <c r="K112" s="122" cm="1">
        <f t="array" ref="K112">IFERROR(
IF(OP_RatesTU_RES_2[[#This Row],[Cost element]:[Cost element]]="Network",
IF(OP_RatesTU_RES_2[[#This Row],[Rate name]:[Rate name]]&lt;&gt;"Controlled load",
INDEX(Calc_TUR_Net_2[[Ausnet]:[United Energy]],MATCH(1,(Calc_TUR_Net_2[[Customer type]:[Customer type]]=OP_RatesTU_RES_2[[#This Row],[Customer type]:[Customer type]])*(Calc_TUR_Net_2[[Rate type]:[Rate type]]=OP_RatesTU_RES_2[[#This Row],[Rate name]:[Rate name]]),0),MATCH(OP_RatesTU_RES_2[[#Headers],[United Energy]],Calc_TUR_Net_2[[#Headers],[Ausnet]:[United Energy]],0)),
INDEX(Calc_TUR_NetCL_2[[Ausnet]:[United Energy]],MATCH(OP_RatesTU_RES_2[[#This Row],[Customer type]:[Customer type]],Calc_TUR_NetCL_2[[Customer type]:[Customer type]],0),MATCH(OP_RatesTU_RES_2[[#Headers],[United Energy]],Calc_TUR_NetCL_2[[#Headers],[Ausnet]:[United Energy]],0))),
IF(OP_RatesTU_RES_2[[#This Row],[Cost element]:[Cost element]]="Environmental",
SUMIFS(INDEX(Calc_TUR_ENV_2[[Ausnet]:[United Energy]],0,MATCH(OP_RatesTU_RES_2[[#Headers],[United Energy]],Calc_TUR_ENV_2[[#Headers],[Ausnet]:[United Energy]],0)),
Calc_TUR_ENV_2[[Customer type]:[Customer type]],OP_RatesTU_RES_2[[#This Row],[Customer type]:[Customer type]],Calc_TUR_ENV_2[[Rate type]:[Rate type]],OP_RatesTU_RES_2[[#This Row],[Rate name]:[Rate name]]),
"-")),"-")</f>
        <v>-1.3977880905040913E-3</v>
      </c>
      <c r="M112" s="39"/>
      <c r="N112" s="39"/>
      <c r="O112" s="39"/>
      <c r="P112" s="39"/>
      <c r="Q112" s="122" t="str" cm="1">
        <f t="array" ref="Q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name]]),0),MATCH(OP_RatesTU_SME_2[[#Headers],[Ausnet]],Calc_TUR_Net_2[[#Headers],[Ausnet]:[United Energy]],0)),
IF(OP_RatesTU_SME_2[[#This Row],[Cost element]:[Cost element]]="Environmental",
SUMIFS(INDEX(Calc_TUR_ENV_2[[Ausnet]:[United Energy]],0,MATCH(OP_RatesTU_SME_2[[#Headers],[Ausnet]],Calc_TUR_ENV_2[[#Headers],[Ausnet]:[United Energy]],0)),
Calc_TUR_ENV_2[[Customer type]:[Customer type]],OP_RatesTU_SME_2[[#This Row],[Customer type]:[Customer type]],Calc_TUR_ENV_2[[Rate type]:[Rate type]],OP_RatesTU_SME_2[[#This Row],[Rate name]:[Rate name]]),"-")),
"-")</f>
        <v>-</v>
      </c>
      <c r="R112" s="122" t="str" cm="1">
        <f t="array" ref="R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name]]),0),MATCH(OP_RatesTU_SME_2[[#Headers],[Citipower]],Calc_TUR_Net_2[[#Headers],[Ausnet]:[United Energy]],0)),
IF(OP_RatesTU_SME_2[[#This Row],[Cost element]:[Cost element]]="Environmental",
SUMIFS(INDEX(Calc_TUR_ENV_2[[Ausnet]:[United Energy]],0,MATCH(OP_RatesTU_SME_2[[#Headers],[Citipower]],Calc_TUR_ENV_2[[#Headers],[Ausnet]:[United Energy]],0)),
Calc_TUR_ENV_2[[Customer type]:[Customer type]],OP_RatesTU_SME_2[[#This Row],[Customer type]:[Customer type]],Calc_TUR_ENV_2[[Rate type]:[Rate type]],OP_RatesTU_SME_2[[#This Row],[Rate name]:[Rate name]]),"-")),
"-")</f>
        <v>-</v>
      </c>
      <c r="S112" s="122" t="str" cm="1">
        <f t="array" ref="S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name]]),0),MATCH(OP_RatesTU_SME_2[[#Headers],[Jemena]],Calc_TUR_Net_2[[#Headers],[Ausnet]:[United Energy]],0)),
IF(OP_RatesTU_SME_2[[#This Row],[Cost element]:[Cost element]]="Environmental",
SUMIFS(INDEX(Calc_TUR_ENV_2[[Ausnet]:[United Energy]],0,MATCH(OP_RatesTU_SME_2[[#Headers],[Jemena]],Calc_TUR_ENV_2[[#Headers],[Ausnet]:[United Energy]],0)),
Calc_TUR_ENV_2[[Customer type]:[Customer type]],OP_RatesTU_SME_2[[#This Row],[Customer type]:[Customer type]],Calc_TUR_ENV_2[[Rate type]:[Rate type]],OP_RatesTU_SME_2[[#This Row],[Rate name]:[Rate name]]),"-")),
"-")</f>
        <v>-</v>
      </c>
      <c r="T112" s="122" t="str" cm="1">
        <f t="array" ref="T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name]]),0),MATCH(OP_RatesTU_SME_2[[#Headers],[Powercor]],Calc_TUR_Net_2[[#Headers],[Ausnet]:[United Energy]],0)),
IF(OP_RatesTU_SME_2[[#This Row],[Cost element]:[Cost element]]="Environmental",
SUMIFS(INDEX(Calc_TUR_ENV_2[[Ausnet]:[United Energy]],0,MATCH(OP_RatesTU_SME_2[[#Headers],[Powercor]],Calc_TUR_ENV_2[[#Headers],[Ausnet]:[United Energy]],0)),
Calc_TUR_ENV_2[[Customer type]:[Customer type]],OP_RatesTU_SME_2[[#This Row],[Customer type]:[Customer type]],Calc_TUR_ENV_2[[Rate type]:[Rate type]],OP_RatesTU_SME_2[[#This Row],[Rate name]:[Rate name]]),"-")),
"-")</f>
        <v>-</v>
      </c>
      <c r="U112" s="122" t="str" cm="1">
        <f t="array" ref="U112">IFERROR(
IF(OP_RatesTU_SME_2[[#This Row],[Cost element]:[Cost element]]="Network",
INDEX(Calc_TUR_Net_2[[Ausnet]:[United Energy]],MATCH(1,(Calc_TUR_Net_2[[Customer type]:[Customer type]]=OP_RatesTU_SME_2[[#This Row],[Customer type]:[Customer type]])*(Calc_TUR_Net_2[[Rate type]:[Rate type]]=OP_RatesTU_SME_2[[#This Row],[Rate name]:[Rate name]]),0),MATCH(OP_RatesTU_SME_2[[#Headers],[United Energy]],Calc_TUR_Net_2[[#Headers],[Ausnet]:[United Energy]],0)),
IF(OP_RatesTU_SME_2[[#This Row],[Cost element]:[Cost element]]="Environmental",
SUMIFS(INDEX(Calc_TUR_ENV_2[[Ausnet]:[United Energy]],0,MATCH(OP_RatesTU_SME_2[[#Headers],[United Energy]],Calc_TUR_ENV_2[[#Headers],[Ausnet]:[United Energy]],0)),
Calc_TUR_ENV_2[[Customer type]:[Customer type]],OP_RatesTU_SME_2[[#This Row],[Customer type]:[Customer type]],Calc_TUR_ENV_2[[Rate type]:[Rate type]],OP_RatesTU_SME_2[[#This Row],[Rate name]:[Rate name]]),"-")),
"-")</f>
        <v>-</v>
      </c>
    </row>
    <row r="113" spans="3:21" outlineLevel="1" x14ac:dyDescent="0.25">
      <c r="P113" s="61"/>
      <c r="Q113" s="61"/>
      <c r="R113" s="61"/>
    </row>
    <row r="114" spans="3:21" ht="15.75" hidden="1" outlineLevel="1" x14ac:dyDescent="0.25">
      <c r="C114" s="57" t="s">
        <v>16</v>
      </c>
      <c r="G114" s="54"/>
      <c r="H114" s="54"/>
      <c r="I114" s="54"/>
      <c r="J114" s="54"/>
      <c r="K114" s="54"/>
      <c r="P114" s="61"/>
      <c r="Q114" s="61"/>
      <c r="R114" s="61"/>
    </row>
    <row r="115" spans="3:21" ht="15.75" hidden="1" outlineLevel="2" x14ac:dyDescent="0.25">
      <c r="C115" s="20" t="str">
        <f>C$80&amp;" - checks"</f>
        <v>VDO residential rates - checks</v>
      </c>
      <c r="M115" s="20" t="str">
        <f>M$80&amp;" - checks"</f>
        <v>VDO small business rates - checks</v>
      </c>
    </row>
    <row r="116" spans="3:21" ht="15.75" hidden="1" outlineLevel="2" x14ac:dyDescent="0.25">
      <c r="C116" s="29" t="s">
        <v>61</v>
      </c>
      <c r="D116" s="29" t="s">
        <v>62</v>
      </c>
      <c r="E116" s="29" t="s">
        <v>63</v>
      </c>
      <c r="G116" s="32" t="s">
        <v>65</v>
      </c>
      <c r="H116" s="32" t="s">
        <v>66</v>
      </c>
      <c r="I116" s="32" t="s">
        <v>67</v>
      </c>
      <c r="J116" s="32" t="s">
        <v>68</v>
      </c>
      <c r="K116" s="32" t="s">
        <v>69</v>
      </c>
      <c r="M116" s="29" t="s">
        <v>61</v>
      </c>
      <c r="N116" s="29" t="s">
        <v>62</v>
      </c>
      <c r="O116" s="29" t="s">
        <v>63</v>
      </c>
      <c r="Q116" s="32" t="s">
        <v>65</v>
      </c>
      <c r="R116" s="32" t="s">
        <v>66</v>
      </c>
      <c r="S116" s="32" t="s">
        <v>67</v>
      </c>
      <c r="T116" s="32" t="s">
        <v>68</v>
      </c>
      <c r="U116" s="32" t="s">
        <v>69</v>
      </c>
    </row>
    <row r="117" spans="3:21" ht="15.75" hidden="1" outlineLevel="2" x14ac:dyDescent="0.25">
      <c r="C117" s="39" t="s">
        <v>70</v>
      </c>
      <c r="D117" s="39" t="s">
        <v>71</v>
      </c>
      <c r="E117" s="39" t="s">
        <v>72</v>
      </c>
      <c r="G117" s="67">
        <f>IF(ROUND(G82,4)=ROUND(
SUMIFS(OP_Rates_RES_2[Ausnet],OP_Rates_RES_2[[Rate name]:[Rate name]],$C117)+
SUMIFS(OP_RatesTU_RES_2[Ausnet],OP_RatesTU_RES_2[[Rate name]:[Rate name]],
IF($D117&lt;&gt;"$",$C117,
IF($C117="Anytime - supply","Anytime","TOU"))),4),
0,1)</f>
        <v>0</v>
      </c>
      <c r="H117" s="67">
        <f>IF(ROUND(H82,4)=ROUND(
SUMIFS(OP_Rates_RES_2[Citipower],OP_Rates_RES_2[[Rate name]:[Rate name]],$C117)+
SUMIFS(OP_RatesTU_RES_2[Citipower],OP_RatesTU_RES_2[[Rate name]:[Rate name]],
IF($D117&lt;&gt;"$",$C117,
IF($C117="Anytime - supply","Anytime","TOU"))),4),
0,1)</f>
        <v>0</v>
      </c>
      <c r="I117" s="67">
        <f>IF(ROUND(I82,4)=ROUND(
SUMIFS(OP_Rates_RES_2[Jemena],OP_Rates_RES_2[[Rate name]:[Rate name]],$C117)+
SUMIFS(OP_RatesTU_RES_2[Jemena],OP_RatesTU_RES_2[[Rate name]:[Rate name]],
IF($D117&lt;&gt;"$",$C117,
IF($C117="Anytime - supply","Anytime","TOU"))),4),
0,1)</f>
        <v>0</v>
      </c>
      <c r="J117" s="67">
        <f>IF(ROUND(J82,4)=ROUND(
SUMIFS(OP_Rates_RES_2[Powercor],OP_Rates_RES_2[[Rate name]:[Rate name]],$C117)+
SUMIFS(OP_RatesTU_RES_2[Powercor],OP_RatesTU_RES_2[[Rate name]:[Rate name]],
IF($D117&lt;&gt;"$",$C117,
IF($C117="Anytime - supply","Anytime","TOU"))),4),
0,1)</f>
        <v>0</v>
      </c>
      <c r="K117" s="67">
        <f>IF(ROUND(K82,4)=ROUND(
SUMIFS(OP_Rates_RES_2[United Energy],OP_Rates_RES_2[[Rate name]:[Rate name]],$C117)+
SUMIFS(OP_RatesTU_RES_2[United Energy],OP_RatesTU_RES_2[[Rate name]:[Rate name]],
IF($D117&lt;&gt;"$",$C117,
IF($C117="Anytime - supply","Anytime","TOU"))),4),
0,1)</f>
        <v>0</v>
      </c>
      <c r="M117" s="39" t="s">
        <v>70</v>
      </c>
      <c r="N117" s="39" t="s">
        <v>71</v>
      </c>
      <c r="O117" s="39" t="s">
        <v>73</v>
      </c>
      <c r="Q117" s="67">
        <f>IF(ROUND(Q82,4)=ROUND(
SUMIFS(OP_Rates_SME_2[Ausnet],OP_Rates_SME_2[[Rate name]:[Rate name]],$M117)+
SUMIFS(OP_RatesTU_SME_2[Ausnet],OP_RatesTU_SME_2[[Rate name]:[Rate name]],
IF($N117&lt;&gt;"$",$M117,
IF($M117="Anytime - supply","Anytime","TOU"))),4),
0,1)</f>
        <v>0</v>
      </c>
      <c r="R117" s="67">
        <f>IF(ROUND(R82,4)=ROUND(
SUMIFS(OP_Rates_SME_2[Citipower],OP_Rates_SME_2[[Rate name]:[Rate name]],$M117)+
SUMIFS(OP_RatesTU_SME_2[Citipower],OP_RatesTU_SME_2[[Rate name]:[Rate name]],
IF($N117&lt;&gt;"$",$M117,
IF($M117="Anytime - supply","Anytime","TOU"))),4),
0,1)</f>
        <v>0</v>
      </c>
      <c r="S117" s="67">
        <f>IF(ROUND(S82,4)=ROUND(
SUMIFS(OP_Rates_SME_2[Jemena],OP_Rates_SME_2[[Rate name]:[Rate name]],$M117)+
SUMIFS(OP_RatesTU_SME_2[Jemena],OP_RatesTU_SME_2[[Rate name]:[Rate name]],
IF($N117&lt;&gt;"$",$M117,
IF($M117="Anytime - supply","Anytime","TOU"))),4),
0,1)</f>
        <v>0</v>
      </c>
      <c r="T117" s="67">
        <f>IF(ROUND(T82,4)=ROUND(
SUMIFS(OP_Rates_SME_2[Powercor],OP_Rates_SME_2[[Rate name]:[Rate name]],$M117)+
SUMIFS(OP_RatesTU_SME_2[Powercor],OP_RatesTU_SME_2[[Rate name]:[Rate name]],
IF($N117&lt;&gt;"$",$M117,
IF($M117="Anytime - supply","Anytime","TOU"))),4),
0,1)</f>
        <v>0</v>
      </c>
      <c r="U117" s="67">
        <f>IF(ROUND(U82,4)=ROUND(
SUMIFS(OP_Rates_SME_2[United Energy],OP_Rates_SME_2[[Rate name]:[Rate name]],$M117)+
SUMIFS(OP_RatesTU_SME_2[United Energy],OP_RatesTU_SME_2[[Rate name]:[Rate name]],
IF($N117&lt;&gt;"$",$M117,
IF($M117="Anytime - supply","Anytime","TOU"))),4),
0,1)</f>
        <v>0</v>
      </c>
    </row>
    <row r="118" spans="3:21" ht="15.75" hidden="1" outlineLevel="2" x14ac:dyDescent="0.25">
      <c r="C118" s="39" t="s">
        <v>74</v>
      </c>
      <c r="D118" s="39" t="s">
        <v>75</v>
      </c>
      <c r="E118" s="39" t="s">
        <v>72</v>
      </c>
      <c r="G118" s="67">
        <f>IF(ROUND(G83,4)=ROUND(
SUMIFS(OP_Rates_RES_2[Ausnet],OP_Rates_RES_2[[Rate name]:[Rate name]],$C118)+
SUMIFS(OP_RatesTU_RES_2[Ausnet],OP_RatesTU_RES_2[[Rate name]:[Rate name]],
IF($D118&lt;&gt;"$",$C118,
IF($C118="Anytime - supply","Anytime","TOU"))),4),
0,1)</f>
        <v>0</v>
      </c>
      <c r="H118" s="67">
        <f>IF(ROUND(H83,4)=ROUND(
SUMIFS(OP_Rates_RES_2[Citipower],OP_Rates_RES_2[[Rate name]:[Rate name]],$C118)+
SUMIFS(OP_RatesTU_RES_2[Citipower],OP_RatesTU_RES_2[[Rate name]:[Rate name]],
IF($D118&lt;&gt;"$",$C118,
IF($C118="Anytime - supply","Anytime","TOU"))),4),
0,1)</f>
        <v>0</v>
      </c>
      <c r="I118" s="67">
        <f>IF(ROUND(I83,4)=ROUND(
SUMIFS(OP_Rates_RES_2[Jemena],OP_Rates_RES_2[[Rate name]:[Rate name]],$C118)+
SUMIFS(OP_RatesTU_RES_2[Jemena],OP_RatesTU_RES_2[[Rate name]:[Rate name]],
IF($D118&lt;&gt;"$",$C118,
IF($C118="Anytime - supply","Anytime","TOU"))),4),
0,1)</f>
        <v>0</v>
      </c>
      <c r="J118" s="67">
        <f>IF(ROUND(J83,4)=ROUND(
SUMIFS(OP_Rates_RES_2[Powercor],OP_Rates_RES_2[[Rate name]:[Rate name]],$C118)+
SUMIFS(OP_RatesTU_RES_2[Powercor],OP_RatesTU_RES_2[[Rate name]:[Rate name]],
IF($D118&lt;&gt;"$",$C118,
IF($C118="Anytime - supply","Anytime","TOU"))),4),
0,1)</f>
        <v>0</v>
      </c>
      <c r="K118" s="67">
        <f>IF(ROUND(K83,4)=ROUND(
SUMIFS(OP_Rates_RES_2[United Energy],OP_Rates_RES_2[[Rate name]:[Rate name]],$C118)+
SUMIFS(OP_RatesTU_RES_2[United Energy],OP_RatesTU_RES_2[[Rate name]:[Rate name]],
IF($D118&lt;&gt;"$",$C118,
IF($C118="Anytime - supply","Anytime","TOU"))),4),
0,1)</f>
        <v>0</v>
      </c>
      <c r="M118" s="39" t="s">
        <v>74</v>
      </c>
      <c r="N118" s="39" t="s">
        <v>75</v>
      </c>
      <c r="O118" s="39" t="s">
        <v>73</v>
      </c>
      <c r="Q118" s="67">
        <f>IF(ROUND(Q83,4)=ROUND(
SUMIFS(OP_Rates_SME_2[Ausnet],OP_Rates_SME_2[[Rate name]:[Rate name]],$M118)+
SUMIFS(OP_RatesTU_SME_2[Ausnet],OP_RatesTU_SME_2[[Rate name]:[Rate name]],
IF($N118&lt;&gt;"$",$M118,
IF($M118="Anytime - supply","Anytime","TOU"))),4),
0,1)</f>
        <v>0</v>
      </c>
      <c r="R118" s="67">
        <f>IF(ROUND(R83,4)=ROUND(
SUMIFS(OP_Rates_SME_2[Citipower],OP_Rates_SME_2[[Rate name]:[Rate name]],$M118)+
SUMIFS(OP_RatesTU_SME_2[Citipower],OP_RatesTU_SME_2[[Rate name]:[Rate name]],
IF($N118&lt;&gt;"$",$M118,
IF($M118="Anytime - supply","Anytime","TOU"))),4),
0,1)</f>
        <v>0</v>
      </c>
      <c r="S118" s="67">
        <f>IF(ROUND(S83,4)=ROUND(
SUMIFS(OP_Rates_SME_2[Jemena],OP_Rates_SME_2[[Rate name]:[Rate name]],$M118)+
SUMIFS(OP_RatesTU_SME_2[Jemena],OP_RatesTU_SME_2[[Rate name]:[Rate name]],
IF($N118&lt;&gt;"$",$M118,
IF($M118="Anytime - supply","Anytime","TOU"))),4),
0,1)</f>
        <v>0</v>
      </c>
      <c r="T118" s="67">
        <f>IF(ROUND(T83,4)=ROUND(
SUMIFS(OP_Rates_SME_2[Powercor],OP_Rates_SME_2[[Rate name]:[Rate name]],$M118)+
SUMIFS(OP_RatesTU_SME_2[Powercor],OP_RatesTU_SME_2[[Rate name]:[Rate name]],
IF($N118&lt;&gt;"$",$M118,
IF($M118="Anytime - supply","Anytime","TOU"))),4),
0,1)</f>
        <v>0</v>
      </c>
      <c r="U118" s="67">
        <f>IF(ROUND(U83,4)=ROUND(
SUMIFS(OP_Rates_SME_2[United Energy],OP_Rates_SME_2[[Rate name]:[Rate name]],$M118)+
SUMIFS(OP_RatesTU_SME_2[United Energy],OP_RatesTU_SME_2[[Rate name]:[Rate name]],
IF($N118&lt;&gt;"$",$M118,
IF($M118="Anytime - supply","Anytime","TOU"))),4),
0,1)</f>
        <v>0</v>
      </c>
    </row>
    <row r="119" spans="3:21" ht="15.75" hidden="1" outlineLevel="2" x14ac:dyDescent="0.25">
      <c r="C119" s="39" t="s">
        <v>76</v>
      </c>
      <c r="D119" s="39" t="s">
        <v>75</v>
      </c>
      <c r="E119" s="39" t="s">
        <v>72</v>
      </c>
      <c r="G119" s="67">
        <f>IF(ROUND(G84,4)=ROUND(
SUMIFS(OP_Rates_RES_2[Ausnet],OP_Rates_RES_2[[Rate name]:[Rate name]],$C119)+
SUMIFS(OP_RatesTU_RES_2[Ausnet],OP_RatesTU_RES_2[[Rate name]:[Rate name]],
IF($D119&lt;&gt;"$",$C119,
IF($C119="Anytime - supply","Anytime","TOU"))),4),
0,1)</f>
        <v>0</v>
      </c>
      <c r="H119" s="67">
        <f>IF(ROUND(H84,4)=ROUND(
SUMIFS(OP_Rates_RES_2[Citipower],OP_Rates_RES_2[[Rate name]:[Rate name]],$C119)+
SUMIFS(OP_RatesTU_RES_2[Citipower],OP_RatesTU_RES_2[[Rate name]:[Rate name]],
IF($D119&lt;&gt;"$",$C119,
IF($C119="Anytime - supply","Anytime","TOU"))),4),
0,1)</f>
        <v>0</v>
      </c>
      <c r="I119" s="67">
        <f>IF(ROUND(I84,4)=ROUND(
SUMIFS(OP_Rates_RES_2[Jemena],OP_Rates_RES_2[[Rate name]:[Rate name]],$C119)+
SUMIFS(OP_RatesTU_RES_2[Jemena],OP_RatesTU_RES_2[[Rate name]:[Rate name]],
IF($D119&lt;&gt;"$",$C119,
IF($C119="Anytime - supply","Anytime","TOU"))),4),
0,1)</f>
        <v>0</v>
      </c>
      <c r="J119" s="67">
        <f>IF(ROUND(J84,4)=ROUND(
SUMIFS(OP_Rates_RES_2[Powercor],OP_Rates_RES_2[[Rate name]:[Rate name]],$C119)+
SUMIFS(OP_RatesTU_RES_2[Powercor],OP_RatesTU_RES_2[[Rate name]:[Rate name]],
IF($D119&lt;&gt;"$",$C119,
IF($C119="Anytime - supply","Anytime","TOU"))),4),
0,1)</f>
        <v>0</v>
      </c>
      <c r="K119" s="67">
        <f>IF(ROUND(K84,4)=ROUND(
SUMIFS(OP_Rates_RES_2[United Energy],OP_Rates_RES_2[[Rate name]:[Rate name]],$C119)+
SUMIFS(OP_RatesTU_RES_2[United Energy],OP_RatesTU_RES_2[[Rate name]:[Rate name]],
IF($D119&lt;&gt;"$",$C119,
IF($C119="Anytime - supply","Anytime","TOU"))),4),
0,1)</f>
        <v>0</v>
      </c>
      <c r="M119" s="39" t="s">
        <v>76</v>
      </c>
      <c r="N119" s="39" t="s">
        <v>75</v>
      </c>
      <c r="O119" s="39" t="s">
        <v>73</v>
      </c>
      <c r="Q119" s="67">
        <f>IF(ROUND(Q84,4)=ROUND(
SUMIFS(OP_Rates_SME_2[Ausnet],OP_Rates_SME_2[[Rate name]:[Rate name]],$M119)+
SUMIFS(OP_RatesTU_SME_2[Ausnet],OP_RatesTU_SME_2[[Rate name]:[Rate name]],
IF($N119&lt;&gt;"$",$M119,
IF($M119="Anytime - supply","Anytime","TOU"))),4),
0,1)</f>
        <v>0</v>
      </c>
      <c r="R119" s="67">
        <f>IF(ROUND(R84,4)=ROUND(
SUMIFS(OP_Rates_SME_2[Citipower],OP_Rates_SME_2[[Rate name]:[Rate name]],$M119)+
SUMIFS(OP_RatesTU_SME_2[Citipower],OP_RatesTU_SME_2[[Rate name]:[Rate name]],
IF($N119&lt;&gt;"$",$M119,
IF($M119="Anytime - supply","Anytime","TOU"))),4),
0,1)</f>
        <v>0</v>
      </c>
      <c r="S119" s="67">
        <f>IF(ROUND(S84,4)=ROUND(
SUMIFS(OP_Rates_SME_2[Jemena],OP_Rates_SME_2[[Rate name]:[Rate name]],$M119)+
SUMIFS(OP_RatesTU_SME_2[Jemena],OP_RatesTU_SME_2[[Rate name]:[Rate name]],
IF($N119&lt;&gt;"$",$M119,
IF($M119="Anytime - supply","Anytime","TOU"))),4),
0,1)</f>
        <v>0</v>
      </c>
      <c r="T119" s="67">
        <f>IF(ROUND(T84,4)=ROUND(
SUMIFS(OP_Rates_SME_2[Powercor],OP_Rates_SME_2[[Rate name]:[Rate name]],$M119)+
SUMIFS(OP_RatesTU_SME_2[Powercor],OP_RatesTU_SME_2[[Rate name]:[Rate name]],
IF($N119&lt;&gt;"$",$M119,
IF($M119="Anytime - supply","Anytime","TOU"))),4),
0,1)</f>
        <v>0</v>
      </c>
      <c r="U119" s="67">
        <f>IF(ROUND(U84,4)=ROUND(
SUMIFS(OP_Rates_SME_2[United Energy],OP_Rates_SME_2[[Rate name]:[Rate name]],$M119)+
SUMIFS(OP_RatesTU_SME_2[United Energy],OP_RatesTU_SME_2[[Rate name]:[Rate name]],
IF($N119&lt;&gt;"$",$M119,
IF($M119="Anytime - supply","Anytime","TOU"))),4),
0,1)</f>
        <v>0</v>
      </c>
    </row>
    <row r="120" spans="3:21" ht="15.75" hidden="1" outlineLevel="2" x14ac:dyDescent="0.25">
      <c r="C120" s="39" t="s">
        <v>77</v>
      </c>
      <c r="D120" s="39" t="s">
        <v>75</v>
      </c>
      <c r="E120" s="39" t="s">
        <v>72</v>
      </c>
      <c r="G120" s="67">
        <f>IF(ROUND(G85,4)=ROUND(
SUMIFS(OP_Rates_RES_2[Ausnet],OP_Rates_RES_2[[Rate name]:[Rate name]],$C120)+
SUMIFS(OP_RatesTU_RES_2[Ausnet],OP_RatesTU_RES_2[[Rate name]:[Rate name]],
IF($D120&lt;&gt;"$",$C120,
IF($C120="Anytime - supply","Anytime","TOU"))),4),
0,1)</f>
        <v>0</v>
      </c>
      <c r="H120" s="67">
        <f>IF(ROUND(H85,4)=ROUND(
SUMIFS(OP_Rates_RES_2[Citipower],OP_Rates_RES_2[[Rate name]:[Rate name]],$C120)+
SUMIFS(OP_RatesTU_RES_2[Citipower],OP_RatesTU_RES_2[[Rate name]:[Rate name]],
IF($D120&lt;&gt;"$",$C120,
IF($C120="Anytime - supply","Anytime","TOU"))),4),
0,1)</f>
        <v>0</v>
      </c>
      <c r="I120" s="67">
        <f>IF(ROUND(I85,4)=ROUND(
SUMIFS(OP_Rates_RES_2[Jemena],OP_Rates_RES_2[[Rate name]:[Rate name]],$C120)+
SUMIFS(OP_RatesTU_RES_2[Jemena],OP_RatesTU_RES_2[[Rate name]:[Rate name]],
IF($D120&lt;&gt;"$",$C120,
IF($C120="Anytime - supply","Anytime","TOU"))),4),
0,1)</f>
        <v>0</v>
      </c>
      <c r="J120" s="67">
        <f>IF(ROUND(J85,4)=ROUND(
SUMIFS(OP_Rates_RES_2[Powercor],OP_Rates_RES_2[[Rate name]:[Rate name]],$C120)+
SUMIFS(OP_RatesTU_RES_2[Powercor],OP_RatesTU_RES_2[[Rate name]:[Rate name]],
IF($D120&lt;&gt;"$",$C120,
IF($C120="Anytime - supply","Anytime","TOU"))),4),
0,1)</f>
        <v>0</v>
      </c>
      <c r="K120" s="67">
        <f>IF(ROUND(K85,4)=ROUND(
SUMIFS(OP_Rates_RES_2[United Energy],OP_Rates_RES_2[[Rate name]:[Rate name]],$C120)+
SUMIFS(OP_RatesTU_RES_2[United Energy],OP_RatesTU_RES_2[[Rate name]:[Rate name]],
IF($D120&lt;&gt;"$",$C120,
IF($C120="Anytime - supply","Anytime","TOU"))),4),
0,1)</f>
        <v>0</v>
      </c>
      <c r="M120" s="39" t="s">
        <v>77</v>
      </c>
      <c r="N120" s="39" t="s">
        <v>75</v>
      </c>
      <c r="O120" s="39" t="s">
        <v>73</v>
      </c>
      <c r="Q120" s="67">
        <f>IF(ROUND(Q85,4)=ROUND(
SUMIFS(OP_Rates_SME_2[Ausnet],OP_Rates_SME_2[[Rate name]:[Rate name]],$M120)+
SUMIFS(OP_RatesTU_SME_2[Ausnet],OP_RatesTU_SME_2[[Rate name]:[Rate name]],
IF($N120&lt;&gt;"$",$M120,
IF($M120="Anytime - supply","Anytime","TOU"))),4),
0,1)</f>
        <v>0</v>
      </c>
      <c r="R120" s="67">
        <f>IF(ROUND(R85,4)=ROUND(
SUMIFS(OP_Rates_SME_2[Citipower],OP_Rates_SME_2[[Rate name]:[Rate name]],$M120)+
SUMIFS(OP_RatesTU_SME_2[Citipower],OP_RatesTU_SME_2[[Rate name]:[Rate name]],
IF($N120&lt;&gt;"$",$M120,
IF($M120="Anytime - supply","Anytime","TOU"))),4),
0,1)</f>
        <v>0</v>
      </c>
      <c r="S120" s="67">
        <f>IF(ROUND(S85,4)=ROUND(
SUMIFS(OP_Rates_SME_2[Jemena],OP_Rates_SME_2[[Rate name]:[Rate name]],$M120)+
SUMIFS(OP_RatesTU_SME_2[Jemena],OP_RatesTU_SME_2[[Rate name]:[Rate name]],
IF($N120&lt;&gt;"$",$M120,
IF($M120="Anytime - supply","Anytime","TOU"))),4),
0,1)</f>
        <v>0</v>
      </c>
      <c r="T120" s="67">
        <f>IF(ROUND(T85,4)=ROUND(
SUMIFS(OP_Rates_SME_2[Powercor],OP_Rates_SME_2[[Rate name]:[Rate name]],$M120)+
SUMIFS(OP_RatesTU_SME_2[Powercor],OP_RatesTU_SME_2[[Rate name]:[Rate name]],
IF($N120&lt;&gt;"$",$M120,
IF($M120="Anytime - supply","Anytime","TOU"))),4),
0,1)</f>
        <v>0</v>
      </c>
      <c r="U120" s="67">
        <f>IF(ROUND(U85,4)=ROUND(
SUMIFS(OP_Rates_SME_2[United Energy],OP_Rates_SME_2[[Rate name]:[Rate name]],$M120)+
SUMIFS(OP_RatesTU_SME_2[United Energy],OP_RatesTU_SME_2[[Rate name]:[Rate name]],
IF($N120&lt;&gt;"$",$M120,
IF($M120="Anytime - supply","Anytime","TOU"))),4),
0,1)</f>
        <v>0</v>
      </c>
    </row>
    <row r="121" spans="3:21" ht="15.75" hidden="1" outlineLevel="2" x14ac:dyDescent="0.25">
      <c r="C121" s="39" t="s">
        <v>78</v>
      </c>
      <c r="D121" s="39" t="s">
        <v>71</v>
      </c>
      <c r="E121" s="39" t="s">
        <v>72</v>
      </c>
      <c r="G121" s="67">
        <f>IF(ROUND(G86,4)=ROUND(
SUMIFS(OP_Rates_RES_2[Ausnet],OP_Rates_RES_2[[Rate name]:[Rate name]],$C121)+
SUMIFS(OP_RatesTU_RES_2[Ausnet],OP_RatesTU_RES_2[[Rate name]:[Rate name]],
IF($D121&lt;&gt;"$",$C121,
IF($C121="Anytime - supply","Anytime","TOU"))),4),
0,1)</f>
        <v>0</v>
      </c>
      <c r="H121" s="67">
        <f>IF(ROUND(H86,4)=ROUND(
SUMIFS(OP_Rates_RES_2[Citipower],OP_Rates_RES_2[[Rate name]:[Rate name]],$C121)+
SUMIFS(OP_RatesTU_RES_2[Citipower],OP_RatesTU_RES_2[[Rate name]:[Rate name]],
IF($D121&lt;&gt;"$",$C121,
IF($C121="Anytime - supply","Anytime","TOU"))),4),
0,1)</f>
        <v>0</v>
      </c>
      <c r="I121" s="67">
        <f>IF(ROUND(I86,4)=ROUND(
SUMIFS(OP_Rates_RES_2[Jemena],OP_Rates_RES_2[[Rate name]:[Rate name]],$C121)+
SUMIFS(OP_RatesTU_RES_2[Jemena],OP_RatesTU_RES_2[[Rate name]:[Rate name]],
IF($D121&lt;&gt;"$",$C121,
IF($C121="Anytime - supply","Anytime","TOU"))),4),
0,1)</f>
        <v>0</v>
      </c>
      <c r="J121" s="67">
        <f>IF(ROUND(J86,4)=ROUND(
SUMIFS(OP_Rates_RES_2[Powercor],OP_Rates_RES_2[[Rate name]:[Rate name]],$C121)+
SUMIFS(OP_RatesTU_RES_2[Powercor],OP_RatesTU_RES_2[[Rate name]:[Rate name]],
IF($D121&lt;&gt;"$",$C121,
IF($C121="Anytime - supply","Anytime","TOU"))),4),
0,1)</f>
        <v>0</v>
      </c>
      <c r="K121" s="67">
        <f>IF(ROUND(K86,4)=ROUND(
SUMIFS(OP_Rates_RES_2[United Energy],OP_Rates_RES_2[[Rate name]:[Rate name]],$C121)+
SUMIFS(OP_RatesTU_RES_2[United Energy],OP_RatesTU_RES_2[[Rate name]:[Rate name]],
IF($D121&lt;&gt;"$",$C121,
IF($C121="Anytime - supply","Anytime","TOU"))),4),
0,1)</f>
        <v>0</v>
      </c>
      <c r="M121" s="39" t="s">
        <v>78</v>
      </c>
      <c r="N121" s="39" t="s">
        <v>71</v>
      </c>
      <c r="O121" s="39" t="s">
        <v>73</v>
      </c>
      <c r="Q121" s="67">
        <f>IF(ROUND(Q86,4)=ROUND(
SUMIFS(OP_Rates_SME_2[Ausnet],OP_Rates_SME_2[[Rate name]:[Rate name]],$M121)+
SUMIFS(OP_RatesTU_SME_2[Ausnet],OP_RatesTU_SME_2[[Rate name]:[Rate name]],
IF($N121&lt;&gt;"$",$M121,
IF($M121="Anytime - supply","Anytime","TOU"))),4),
0,1)</f>
        <v>0</v>
      </c>
      <c r="R121" s="67">
        <f>IF(ROUND(R86,4)=ROUND(
SUMIFS(OP_Rates_SME_2[Citipower],OP_Rates_SME_2[[Rate name]:[Rate name]],$M121)+
SUMIFS(OP_RatesTU_SME_2[Citipower],OP_RatesTU_SME_2[[Rate name]:[Rate name]],
IF($N121&lt;&gt;"$",$M121,
IF($M121="Anytime - supply","Anytime","TOU"))),4),
0,1)</f>
        <v>0</v>
      </c>
      <c r="S121" s="67">
        <f>IF(ROUND(S86,4)=ROUND(
SUMIFS(OP_Rates_SME_2[Jemena],OP_Rates_SME_2[[Rate name]:[Rate name]],$M121)+
SUMIFS(OP_RatesTU_SME_2[Jemena],OP_RatesTU_SME_2[[Rate name]:[Rate name]],
IF($N121&lt;&gt;"$",$M121,
IF($M121="Anytime - supply","Anytime","TOU"))),4),
0,1)</f>
        <v>0</v>
      </c>
      <c r="T121" s="67">
        <f>IF(ROUND(T86,4)=ROUND(
SUMIFS(OP_Rates_SME_2[Powercor],OP_Rates_SME_2[[Rate name]:[Rate name]],$M121)+
SUMIFS(OP_RatesTU_SME_2[Powercor],OP_RatesTU_SME_2[[Rate name]:[Rate name]],
IF($N121&lt;&gt;"$",$M121,
IF($M121="Anytime - supply","Anytime","TOU"))),4),
0,1)</f>
        <v>0</v>
      </c>
      <c r="U121" s="67">
        <f>IF(ROUND(U86,4)=ROUND(
SUMIFS(OP_Rates_SME_2[United Energy],OP_Rates_SME_2[[Rate name]:[Rate name]],$M121)+
SUMIFS(OP_RatesTU_SME_2[United Energy],OP_RatesTU_SME_2[[Rate name]:[Rate name]],
IF($N121&lt;&gt;"$",$M121,
IF($M121="Anytime - supply","Anytime","TOU"))),4),
0,1)</f>
        <v>0</v>
      </c>
    </row>
    <row r="122" spans="3:21" ht="15.75" hidden="1" outlineLevel="2" x14ac:dyDescent="0.25">
      <c r="C122" s="39" t="s">
        <v>79</v>
      </c>
      <c r="D122" s="39" t="s">
        <v>75</v>
      </c>
      <c r="E122" s="39" t="s">
        <v>72</v>
      </c>
      <c r="G122" s="67">
        <f>IF(ROUND(G87,4)=ROUND(
SUMIFS(OP_Rates_RES_2[Ausnet],OP_Rates_RES_2[[Rate name]:[Rate name]],$C122)+
SUMIFS(OP_RatesTU_RES_2[Ausnet],OP_RatesTU_RES_2[[Rate name]:[Rate name]],
IF($D122&lt;&gt;"$",$C122,
IF($C122="Anytime - supply","Anytime","TOU"))),4),
0,1)</f>
        <v>0</v>
      </c>
      <c r="H122" s="67">
        <f>IF(ROUND(H87,4)=ROUND(
SUMIFS(OP_Rates_RES_2[Citipower],OP_Rates_RES_2[[Rate name]:[Rate name]],$C122)+
SUMIFS(OP_RatesTU_RES_2[Citipower],OP_RatesTU_RES_2[[Rate name]:[Rate name]],
IF($D122&lt;&gt;"$",$C122,
IF($C122="Anytime - supply","Anytime","TOU"))),4),
0,1)</f>
        <v>0</v>
      </c>
      <c r="I122" s="67">
        <f>IF(ROUND(I87,4)=ROUND(
SUMIFS(OP_Rates_RES_2[Jemena],OP_Rates_RES_2[[Rate name]:[Rate name]],$C122)+
SUMIFS(OP_RatesTU_RES_2[Jemena],OP_RatesTU_RES_2[[Rate name]:[Rate name]],
IF($D122&lt;&gt;"$",$C122,
IF($C122="Anytime - supply","Anytime","TOU"))),4),
0,1)</f>
        <v>0</v>
      </c>
      <c r="J122" s="67">
        <f>IF(ROUND(J87,4)=ROUND(
SUMIFS(OP_Rates_RES_2[Powercor],OP_Rates_RES_2[[Rate name]:[Rate name]],$C122)+
SUMIFS(OP_RatesTU_RES_2[Powercor],OP_RatesTU_RES_2[[Rate name]:[Rate name]],
IF($D122&lt;&gt;"$",$C122,
IF($C122="Anytime - supply","Anytime","TOU"))),4),
0,1)</f>
        <v>0</v>
      </c>
      <c r="K122" s="67">
        <f>IF(ROUND(K87,4)=ROUND(
SUMIFS(OP_Rates_RES_2[United Energy],OP_Rates_RES_2[[Rate name]:[Rate name]],$C122)+
SUMIFS(OP_RatesTU_RES_2[United Energy],OP_RatesTU_RES_2[[Rate name]:[Rate name]],
IF($D122&lt;&gt;"$",$C122,
IF($C122="Anytime - supply","Anytime","TOU"))),4),
0,1)</f>
        <v>0</v>
      </c>
      <c r="M122" s="39" t="s">
        <v>79</v>
      </c>
      <c r="N122" s="39" t="s">
        <v>75</v>
      </c>
      <c r="O122" s="39" t="s">
        <v>73</v>
      </c>
      <c r="Q122" s="67">
        <f>IF(ROUND(Q87,4)=ROUND(
SUMIFS(OP_Rates_SME_2[Ausnet],OP_Rates_SME_2[[Rate name]:[Rate name]],$M122)+
SUMIFS(OP_RatesTU_SME_2[Ausnet],OP_RatesTU_SME_2[[Rate name]:[Rate name]],
IF($N122&lt;&gt;"$",$M122,
IF($M122="Anytime - supply","Anytime","TOU"))),4),
0,1)</f>
        <v>0</v>
      </c>
      <c r="R122" s="67">
        <f>IF(ROUND(R87,4)=ROUND(
SUMIFS(OP_Rates_SME_2[Citipower],OP_Rates_SME_2[[Rate name]:[Rate name]],$M122)+
SUMIFS(OP_RatesTU_SME_2[Citipower],OP_RatesTU_SME_2[[Rate name]:[Rate name]],
IF($N122&lt;&gt;"$",$M122,
IF($M122="Anytime - supply","Anytime","TOU"))),4),
0,1)</f>
        <v>0</v>
      </c>
      <c r="S122" s="67">
        <f>IF(ROUND(S87,4)=ROUND(
SUMIFS(OP_Rates_SME_2[Jemena],OP_Rates_SME_2[[Rate name]:[Rate name]],$M122)+
SUMIFS(OP_RatesTU_SME_2[Jemena],OP_RatesTU_SME_2[[Rate name]:[Rate name]],
IF($N122&lt;&gt;"$",$M122,
IF($M122="Anytime - supply","Anytime","TOU"))),4),
0,1)</f>
        <v>0</v>
      </c>
      <c r="T122" s="67">
        <f>IF(ROUND(T87,4)=ROUND(
SUMIFS(OP_Rates_SME_2[Powercor],OP_Rates_SME_2[[Rate name]:[Rate name]],$M122)+
SUMIFS(OP_RatesTU_SME_2[Powercor],OP_RatesTU_SME_2[[Rate name]:[Rate name]],
IF($N122&lt;&gt;"$",$M122,
IF($M122="Anytime - supply","Anytime","TOU"))),4),
0,1)</f>
        <v>0</v>
      </c>
      <c r="U122" s="67">
        <f>IF(ROUND(U87,4)=ROUND(
SUMIFS(OP_Rates_SME_2[United Energy],OP_Rates_SME_2[[Rate name]:[Rate name]],$M122)+
SUMIFS(OP_RatesTU_SME_2[United Energy],OP_RatesTU_SME_2[[Rate name]:[Rate name]],
IF($N122&lt;&gt;"$",$M122,
IF($M122="Anytime - supply","Anytime","TOU"))),4),
0,1)</f>
        <v>0</v>
      </c>
    </row>
    <row r="123" spans="3:21" ht="15.75" hidden="1" outlineLevel="2" x14ac:dyDescent="0.25">
      <c r="C123" s="39" t="s">
        <v>80</v>
      </c>
      <c r="D123" s="39" t="s">
        <v>75</v>
      </c>
      <c r="E123" s="39" t="s">
        <v>72</v>
      </c>
      <c r="G123" s="67">
        <f>IF(ROUND(G88,4)=ROUND(
SUMIFS(OP_Rates_RES_2[Ausnet],OP_Rates_RES_2[[Rate name]:[Rate name]],$C123)+
SUMIFS(OP_RatesTU_RES_2[Ausnet],OP_RatesTU_RES_2[[Rate name]:[Rate name]],
IF($D123&lt;&gt;"$",$C123,
IF($C123="Anytime - supply","Anytime","TOU"))),4),
0,1)</f>
        <v>0</v>
      </c>
      <c r="H123" s="67">
        <f>IF(ROUND(H88,4)=ROUND(
SUMIFS(OP_Rates_RES_2[Citipower],OP_Rates_RES_2[[Rate name]:[Rate name]],$C123)+
SUMIFS(OP_RatesTU_RES_2[Citipower],OP_RatesTU_RES_2[[Rate name]:[Rate name]],
IF($D123&lt;&gt;"$",$C123,
IF($C123="Anytime - supply","Anytime","TOU"))),4),
0,1)</f>
        <v>0</v>
      </c>
      <c r="I123" s="67">
        <f>IF(ROUND(I88,4)=ROUND(
SUMIFS(OP_Rates_RES_2[Jemena],OP_Rates_RES_2[[Rate name]:[Rate name]],$C123)+
SUMIFS(OP_RatesTU_RES_2[Jemena],OP_RatesTU_RES_2[[Rate name]:[Rate name]],
IF($D123&lt;&gt;"$",$C123,
IF($C123="Anytime - supply","Anytime","TOU"))),4),
0,1)</f>
        <v>0</v>
      </c>
      <c r="J123" s="67">
        <f>IF(ROUND(J88,4)=ROUND(
SUMIFS(OP_Rates_RES_2[Powercor],OP_Rates_RES_2[[Rate name]:[Rate name]],$C123)+
SUMIFS(OP_RatesTU_RES_2[Powercor],OP_RatesTU_RES_2[[Rate name]:[Rate name]],
IF($D123&lt;&gt;"$",$C123,
IF($C123="Anytime - supply","Anytime","TOU"))),4),
0,1)</f>
        <v>0</v>
      </c>
      <c r="K123" s="67">
        <f>IF(ROUND(K88,4)=ROUND(
SUMIFS(OP_Rates_RES_2[United Energy],OP_Rates_RES_2[[Rate name]:[Rate name]],$C123)+
SUMIFS(OP_RatesTU_RES_2[United Energy],OP_RatesTU_RES_2[[Rate name]:[Rate name]],
IF($D123&lt;&gt;"$",$C123,
IF($C123="Anytime - supply","Anytime","TOU"))),4),
0,1)</f>
        <v>0</v>
      </c>
      <c r="M123" s="39" t="s">
        <v>80</v>
      </c>
      <c r="N123" s="39" t="s">
        <v>75</v>
      </c>
      <c r="O123" s="39" t="s">
        <v>73</v>
      </c>
      <c r="Q123" s="67">
        <f>IF(ROUND(Q88,4)=ROUND(
SUMIFS(OP_Rates_SME_2[Ausnet],OP_Rates_SME_2[[Rate name]:[Rate name]],$M123)+
SUMIFS(OP_RatesTU_SME_2[Ausnet],OP_RatesTU_SME_2[[Rate name]:[Rate name]],
IF($N123&lt;&gt;"$",$M123,
IF($M123="Anytime - supply","Anytime","TOU"))),4),
0,1)</f>
        <v>0</v>
      </c>
      <c r="R123" s="67">
        <f>IF(ROUND(R88,4)=ROUND(
SUMIFS(OP_Rates_SME_2[Citipower],OP_Rates_SME_2[[Rate name]:[Rate name]],$M123)+
SUMIFS(OP_RatesTU_SME_2[Citipower],OP_RatesTU_SME_2[[Rate name]:[Rate name]],
IF($N123&lt;&gt;"$",$M123,
IF($M123="Anytime - supply","Anytime","TOU"))),4),
0,1)</f>
        <v>0</v>
      </c>
      <c r="S123" s="67">
        <f>IF(ROUND(S88,4)=ROUND(
SUMIFS(OP_Rates_SME_2[Jemena],OP_Rates_SME_2[[Rate name]:[Rate name]],$M123)+
SUMIFS(OP_RatesTU_SME_2[Jemena],OP_RatesTU_SME_2[[Rate name]:[Rate name]],
IF($N123&lt;&gt;"$",$M123,
IF($M123="Anytime - supply","Anytime","TOU"))),4),
0,1)</f>
        <v>0</v>
      </c>
      <c r="T123" s="67">
        <f>IF(ROUND(T88,4)=ROUND(
SUMIFS(OP_Rates_SME_2[Powercor],OP_Rates_SME_2[[Rate name]:[Rate name]],$M123)+
SUMIFS(OP_RatesTU_SME_2[Powercor],OP_RatesTU_SME_2[[Rate name]:[Rate name]],
IF($N123&lt;&gt;"$",$M123,
IF($M123="Anytime - supply","Anytime","TOU"))),4),
0,1)</f>
        <v>0</v>
      </c>
      <c r="U123" s="67">
        <f>IF(ROUND(U88,4)=ROUND(
SUMIFS(OP_Rates_SME_2[United Energy],OP_Rates_SME_2[[Rate name]:[Rate name]],$M123)+
SUMIFS(OP_RatesTU_SME_2[United Energy],OP_RatesTU_SME_2[[Rate name]:[Rate name]],
IF($N123&lt;&gt;"$",$M123,
IF($M123="Anytime - supply","Anytime","TOU"))),4),
0,1)</f>
        <v>0</v>
      </c>
    </row>
    <row r="124" spans="3:21" ht="15.75" hidden="1" outlineLevel="2" x14ac:dyDescent="0.25">
      <c r="C124" s="39" t="s">
        <v>81</v>
      </c>
      <c r="D124" s="39" t="s">
        <v>75</v>
      </c>
      <c r="E124" s="39" t="s">
        <v>72</v>
      </c>
      <c r="G124" s="67">
        <f>IF(ROUND(G89,4)=ROUND(
SUMIFS(OP_Rates_RES_2[Ausnet],OP_Rates_RES_2[[Rate name]:[Rate name]],$C124)+
SUMIFS(OP_RatesTU_RES_2[Ausnet],OP_RatesTU_RES_2[[Rate name]:[Rate name]],
IF($D124&lt;&gt;"$",$C124,
IF($C124="Anytime - supply","Anytime","TOU"))),4),
0,1)</f>
        <v>0</v>
      </c>
      <c r="H124" s="67">
        <f>IF(ROUND(H89,4)=ROUND(
SUMIFS(OP_Rates_RES_2[Citipower],OP_Rates_RES_2[[Rate name]:[Rate name]],$C124)+
SUMIFS(OP_RatesTU_RES_2[Citipower],OP_RatesTU_RES_2[[Rate name]:[Rate name]],
IF($D124&lt;&gt;"$",$C124,
IF($C124="Anytime - supply","Anytime","TOU"))),4),
0,1)</f>
        <v>0</v>
      </c>
      <c r="I124" s="67">
        <f>IF(ROUND(I89,4)=ROUND(
SUMIFS(OP_Rates_RES_2[Jemena],OP_Rates_RES_2[[Rate name]:[Rate name]],$C124)+
SUMIFS(OP_RatesTU_RES_2[Jemena],OP_RatesTU_RES_2[[Rate name]:[Rate name]],
IF($D124&lt;&gt;"$",$C124,
IF($C124="Anytime - supply","Anytime","TOU"))),4),
0,1)</f>
        <v>0</v>
      </c>
      <c r="J124" s="67">
        <f>IF(ROUND(J89,4)=ROUND(
SUMIFS(OP_Rates_RES_2[Powercor],OP_Rates_RES_2[[Rate name]:[Rate name]],$C124)+
SUMIFS(OP_RatesTU_RES_2[Powercor],OP_RatesTU_RES_2[[Rate name]:[Rate name]],
IF($D124&lt;&gt;"$",$C124,
IF($C124="Anytime - supply","Anytime","TOU"))),4),
0,1)</f>
        <v>0</v>
      </c>
      <c r="K124" s="67">
        <f>IF(ROUND(K89,4)=ROUND(
SUMIFS(OP_Rates_RES_2[United Energy],OP_Rates_RES_2[[Rate name]:[Rate name]],$C124)+
SUMIFS(OP_RatesTU_RES_2[United Energy],OP_RatesTU_RES_2[[Rate name]:[Rate name]],
IF($D124&lt;&gt;"$",$C124,
IF($C124="Anytime - supply","Anytime","TOU"))),4),
0,1)</f>
        <v>0</v>
      </c>
      <c r="M124" s="39"/>
      <c r="N124" s="39"/>
      <c r="O124" s="39"/>
      <c r="Q124" s="67"/>
      <c r="R124" s="67"/>
      <c r="S124" s="67"/>
      <c r="T124" s="67"/>
      <c r="U124" s="67"/>
    </row>
    <row r="125" spans="3:21" hidden="1" outlineLevel="2" x14ac:dyDescent="0.25">
      <c r="P125" s="61"/>
      <c r="Q125" s="61"/>
      <c r="R125" s="61"/>
    </row>
    <row r="126" spans="3:21" ht="15.75" hidden="1" outlineLevel="2" x14ac:dyDescent="0.25">
      <c r="C126" s="20" t="str">
        <f>C$91&amp;" - checks"</f>
        <v>Residential calculated rate - checks</v>
      </c>
      <c r="M126" s="20" t="str">
        <f>M$91&amp;" - checks"</f>
        <v>Small business calculated rate - checks</v>
      </c>
    </row>
    <row r="127" spans="3:21" ht="15.75" hidden="1" outlineLevel="2" x14ac:dyDescent="0.25">
      <c r="C127" s="29" t="s">
        <v>61</v>
      </c>
      <c r="D127" s="29" t="s">
        <v>62</v>
      </c>
      <c r="E127" s="29" t="s">
        <v>63</v>
      </c>
      <c r="G127" s="32" t="s">
        <v>65</v>
      </c>
      <c r="H127" s="32" t="s">
        <v>66</v>
      </c>
      <c r="I127" s="32" t="s">
        <v>67</v>
      </c>
      <c r="J127" s="32" t="s">
        <v>68</v>
      </c>
      <c r="K127" s="32" t="s">
        <v>69</v>
      </c>
      <c r="M127" s="29" t="s">
        <v>61</v>
      </c>
      <c r="N127" s="29" t="s">
        <v>62</v>
      </c>
      <c r="O127" s="29" t="s">
        <v>63</v>
      </c>
      <c r="Q127" s="32" t="s">
        <v>65</v>
      </c>
      <c r="R127" s="32" t="s">
        <v>66</v>
      </c>
      <c r="S127" s="32" t="s">
        <v>67</v>
      </c>
      <c r="T127" s="32" t="s">
        <v>68</v>
      </c>
      <c r="U127" s="32" t="s">
        <v>69</v>
      </c>
    </row>
    <row r="128" spans="3:21" ht="15.75" hidden="1" outlineLevel="2" x14ac:dyDescent="0.25">
      <c r="C128" s="14" t="s">
        <v>70</v>
      </c>
      <c r="D128" s="14" t="s">
        <v>71</v>
      </c>
      <c r="E128" s="14" t="s">
        <v>72</v>
      </c>
      <c r="G128" s="67" cm="1">
        <f t="array" ref="G128">IF(G93="-","-",
IF(ROUND(G93,8)=
ROUND(((
(SUMIFS(Calc_NetworkF_2[Ausnet],Calc_NetworkF_2[[Cost item]:[Cost item]],$C128,Calc_NetworkF_2[[Customer type]:[Customer type]],$E128)+
SUMIFS(Calc_Fixed_2[Ausnet],Calc_Fixed_2[[Customer type]:[Customer type]],"All")+
SUMIFS(Calc_Fixed_2[Ausnet],Calc_Fixed_2[[Customer type]:[Customer type]],$E128))/DiPY)*(1+Calc_ROM_2[Ausnet]))*(1+GST),8),0,1))</f>
        <v>0</v>
      </c>
      <c r="H128" s="67" cm="1">
        <f t="array" ref="H128">IF(H93="-","-",
IF(ROUND(H93,8)=
ROUND(((
(SUMIFS(Calc_NetworkF_2[Citipower],Calc_NetworkF_2[[Cost item]:[Cost item]],$C128,Calc_NetworkF_2[[Customer type]:[Customer type]],$E128)+
SUMIFS(Calc_Fixed_2[Citipower],Calc_Fixed_2[[Customer type]:[Customer type]],"All")+
SUMIFS(Calc_Fixed_2[Citipower],Calc_Fixed_2[[Customer type]:[Customer type]],$E128))/DiPY)*(1+Calc_ROM_2[Citipower]))*(1+GST),8),0,1))</f>
        <v>0</v>
      </c>
      <c r="I128" s="67" cm="1">
        <f t="array" ref="I128">IF(I93="-","-",
IF(ROUND(I93,8)=
ROUND(((
(SUMIFS(Calc_NetworkF_2[Jemena],Calc_NetworkF_2[[Cost item]:[Cost item]],$C128,Calc_NetworkF_2[[Customer type]:[Customer type]],$E128)+
SUMIFS(Calc_Fixed_2[Jemena],Calc_Fixed_2[[Customer type]:[Customer type]],"All")+
SUMIFS(Calc_Fixed_2[Jemena],Calc_Fixed_2[[Customer type]:[Customer type]],$E128))/DiPY)*(1+Calc_ROM_2[Jemena]))*(1+GST),8),0,1))</f>
        <v>0</v>
      </c>
      <c r="J128" s="67" cm="1">
        <f t="array" ref="J128">IF(J93="-","-",
IF(ROUND(J93,8)=
ROUND(((
(SUMIFS(Calc_NetworkF_2[Powercor],Calc_NetworkF_2[[Cost item]:[Cost item]],$C128,Calc_NetworkF_2[[Customer type]:[Customer type]],$E128)+
SUMIFS(Calc_Fixed_2[Powercor],Calc_Fixed_2[[Customer type]:[Customer type]],"All")+
SUMIFS(Calc_Fixed_2[Powercor],Calc_Fixed_2[[Customer type]:[Customer type]],$E128))/DiPY)*(1+Calc_ROM_2[Powercor]))*(1+GST),8),0,1))</f>
        <v>0</v>
      </c>
      <c r="K128" s="67" cm="1">
        <f t="array" ref="K128">IF(K93="-","-",
IF(ROUND(K93,8)=
ROUND(((
(SUMIFS(Calc_NetworkF_2[United Energy],Calc_NetworkF_2[[Cost item]:[Cost item]],$C128,Calc_NetworkF_2[[Customer type]:[Customer type]],$E128)+
SUMIFS(Calc_Fixed_2[United Energy],Calc_Fixed_2[[Customer type]:[Customer type]],"All")+
SUMIFS(Calc_Fixed_2[United Energy],Calc_Fixed_2[[Customer type]:[Customer type]],$E128))/DiPY)*(1+Calc_ROM_2[United Energy]))*(1+GST),8),0,1))</f>
        <v>0</v>
      </c>
      <c r="M128" s="14" t="s">
        <v>70</v>
      </c>
      <c r="N128" s="14" t="s">
        <v>71</v>
      </c>
      <c r="O128" s="14" t="s">
        <v>73</v>
      </c>
      <c r="Q128" s="67" cm="1">
        <f t="array" ref="Q128">IF(Q93="-","-",
IF(ROUND(Q93,8)=
ROUND((((SUMIFS(Calc_NetworkF_2[Ausnet],Calc_NetworkF_2[[Cost item]:[Cost item]],$M128,Calc_NetworkF_2[[Customer type]:[Customer type]],$O128)+SUMIFS(Calc_Fixed_2[Ausnet],Calc_Fixed_2[[Customer type]:[Customer type]],"All")+SUMIFS(Calc_Fixed_2[Ausnet],Calc_Fixed_2[[Customer type]:[Customer type]],$O128))/DiPY)*(1+Calc_ROM_2[Ausnet]))*(1+GST),8),0,1))</f>
        <v>0</v>
      </c>
      <c r="R128" s="67" cm="1">
        <f t="array" ref="R128">IF(R93="-","-",
IF(ROUND(R93,8)=
ROUND((((SUMIFS(Calc_NetworkF_2[Citipower],Calc_NetworkF_2[[Cost item]:[Cost item]],$M128,Calc_NetworkF_2[[Customer type]:[Customer type]],$O128)+SUMIFS(Calc_Fixed_2[Citipower],Calc_Fixed_2[[Customer type]:[Customer type]],"All")+SUMIFS(Calc_Fixed_2[Citipower],Calc_Fixed_2[[Customer type]:[Customer type]],$O128))/DiPY)*(1+Calc_ROM_2[Citipower]))*(1+GST),8),0,1))</f>
        <v>0</v>
      </c>
      <c r="S128" s="67" cm="1">
        <f t="array" ref="S128">IF(S93="-","-",
IF(ROUND(S93,8)=
ROUND((((SUMIFS(Calc_NetworkF_2[Jemena],Calc_NetworkF_2[[Cost item]:[Cost item]],$M128,Calc_NetworkF_2[[Customer type]:[Customer type]],$O128)+SUMIFS(Calc_Fixed_2[Jemena],Calc_Fixed_2[[Customer type]:[Customer type]],"All")+SUMIFS(Calc_Fixed_2[Jemena],Calc_Fixed_2[[Customer type]:[Customer type]],$O128))/DiPY)*(1+Calc_ROM_2[Jemena]))*(1+GST),8),0,1))</f>
        <v>0</v>
      </c>
      <c r="T128" s="67" cm="1">
        <f t="array" ref="T128">IF(T93="-","-",
IF(ROUND(T93,8)=
ROUND((((SUMIFS(Calc_NetworkF_2[Powercor],Calc_NetworkF_2[[Cost item]:[Cost item]],$M128,Calc_NetworkF_2[[Customer type]:[Customer type]],$O128)+SUMIFS(Calc_Fixed_2[Powercor],Calc_Fixed_2[[Customer type]:[Customer type]],"All")+SUMIFS(Calc_Fixed_2[Powercor],Calc_Fixed_2[[Customer type]:[Customer type]],$O128))/DiPY)*(1+Calc_ROM_2[Powercor]))*(1+GST),8),0,1))</f>
        <v>0</v>
      </c>
      <c r="U128" s="67" cm="1">
        <f t="array" ref="U128">IF(U93="-","-",
IF(ROUND(U93,8)=
ROUND((((SUMIFS(Calc_NetworkF_2[United Energy],Calc_NetworkF_2[[Cost item]:[Cost item]],$M128,Calc_NetworkF_2[[Customer type]:[Customer type]],$O128)+SUMIFS(Calc_Fixed_2[United Energy],Calc_Fixed_2[[Customer type]:[Customer type]],"All")+SUMIFS(Calc_Fixed_2[United Energy],Calc_Fixed_2[[Customer type]:[Customer type]],$O128))/DiPY)*(1+Calc_ROM_2[United Energy]))*(1+GST),8),0,1))</f>
        <v>0</v>
      </c>
    </row>
    <row r="129" spans="3:21" ht="15.75" hidden="1" outlineLevel="2" x14ac:dyDescent="0.25">
      <c r="C129" s="14" t="s">
        <v>74</v>
      </c>
      <c r="D129" s="14" t="s">
        <v>75</v>
      </c>
      <c r="E129" s="14" t="s">
        <v>72</v>
      </c>
      <c r="G129" s="67" cm="1">
        <f t="array" ref="G129">IF(G94="-","-",
IF(ROUND(G94,8)=ROUND(
((SUMIFS(Calc_Variable_2[Ausnet],Calc_Variable_2[[Customer type]:[Customer type]],"All")+
SUMIFS(Calc_Variable_2[Ausnet],Calc_Variable_2[[Customer type]:[Customer type]],OP_Rates!$E129)+
SUMIFS(Calc_NetworkV_2[Ausnet],Calc_NetworkV_2[[Customer type]:[Customer type]],OP_Rates!$E129,Calc_NetworkV_2[[Cost item]:[Cost item]],OP_Rates!$C129))*(1+Calc_ROM_2[Ausnet]))*(1+GST),8),0,1))</f>
        <v>0</v>
      </c>
      <c r="H129" s="67" t="str" cm="1">
        <f t="array" ref="H129">IF(H94="-","-",
IF(ROUND(H94,8)=ROUND(
((SUMIFS(Calc_Variable_2[Citipower],Calc_Variable_2[[Customer type]:[Customer type]],"All")+
SUMIFS(Calc_Variable_2[Citipower],Calc_Variable_2[[Customer type]:[Customer type]],OP_Rates!$E129)+
SUMIFS(Calc_NetworkV_2[Citipower],Calc_NetworkV_2[[Customer type]:[Customer type]],OP_Rates!$E129,Calc_NetworkV_2[[Cost item]:[Cost item]],OP_Rates!$C129))*(1+Calc_ROM_2[Citipower]))*(1+GST),8),0,1))</f>
        <v>-</v>
      </c>
      <c r="I129" s="67" t="str" cm="1">
        <f t="array" ref="I129">IF(I94="-","-",
IF(ROUND(I94,8)=ROUND(
((SUMIFS(Calc_Variable_2[Jemena],Calc_Variable_2[[Customer type]:[Customer type]],"All")+
SUMIFS(Calc_Variable_2[Jemena],Calc_Variable_2[[Customer type]:[Customer type]],OP_Rates!$E129)+
SUMIFS(Calc_NetworkV_2[Jemena],Calc_NetworkV_2[[Customer type]:[Customer type]],OP_Rates!$E129,Calc_NetworkV_2[[Cost item]:[Cost item]],OP_Rates!$C129))*(1+Calc_ROM_2[Jemena]))*(1+GST),8),0,1))</f>
        <v>-</v>
      </c>
      <c r="J129" s="67" t="str" cm="1">
        <f t="array" ref="J129">IF(J94="-","-",
IF(ROUND(J94,8)=ROUND(
((SUMIFS(Calc_Variable_2[Powercor],Calc_Variable_2[[Customer type]:[Customer type]],"All")+
SUMIFS(Calc_Variable_2[Powercor],Calc_Variable_2[[Customer type]:[Customer type]],OP_Rates!$E129)+
SUMIFS(Calc_NetworkV_2[Powercor],Calc_NetworkV_2[[Customer type]:[Customer type]],OP_Rates!$E129,Calc_NetworkV_2[[Cost item]:[Cost item]],OP_Rates!$C129))*(1+Calc_ROM_2[Powercor]))*(1+GST),8),0,1))</f>
        <v>-</v>
      </c>
      <c r="K129" s="67" t="str" cm="1">
        <f t="array" ref="K129">IF(K94="-","-",
IF(ROUND(K94,8)=ROUND(
((SUMIFS(Calc_Variable_2[United Energy],Calc_Variable_2[[Customer type]:[Customer type]],"All")+
SUMIFS(Calc_Variable_2[United Energy],Calc_Variable_2[[Customer type]:[Customer type]],OP_Rates!$E129)+
SUMIFS(Calc_NetworkV_2[United Energy],Calc_NetworkV_2[[Customer type]:[Customer type]],OP_Rates!$E129,Calc_NetworkV_2[[Cost item]:[Cost item]],OP_Rates!$C129))*(1+Calc_ROM_2[United Energy]))*(1+GST),8),0,1))</f>
        <v>-</v>
      </c>
      <c r="M129" s="14" t="s">
        <v>74</v>
      </c>
      <c r="N129" s="14" t="s">
        <v>75</v>
      </c>
      <c r="O129" s="14" t="s">
        <v>73</v>
      </c>
      <c r="Q129" s="67" cm="1">
        <f t="array" ref="Q129">IF(Q94="-","-",
IF(ROUND(Q94,8)=ROUND(
((SUMIFS(Calc_Variable_2[Ausnet],Calc_Variable_2[[Customer type]:[Customer type]],"All")+SUMIFS(Calc_Variable_2[Ausnet],Calc_Variable_2[[Customer type]:[Customer type]],OP_Rates!$O129)+
SUMIFS(Calc_NetworkV_2[Ausnet],Calc_NetworkV_2[[Customer type]:[Customer type]],OP_Rates!$O129,Calc_NetworkV_2[[Cost item]:[Cost item]],OP_Rates!$M129))*(1+Calc_ROM_2[Ausnet]))*(1+GST),8),0,1))</f>
        <v>0</v>
      </c>
      <c r="R129" s="67" t="str" cm="1">
        <f t="array" ref="R129">IF(R94="-","-",
IF(ROUND(R94,8)=ROUND(
((SUMIFS(Calc_Variable_2[Citipower],Calc_Variable_2[[Customer type]:[Customer type]],"All")+SUMIFS(Calc_Variable_2[Citipower],Calc_Variable_2[[Customer type]:[Customer type]],OP_Rates!$O129)+
SUMIFS(Calc_NetworkV_2[Citipower],Calc_NetworkV_2[[Customer type]:[Customer type]],OP_Rates!$O129,Calc_NetworkV_2[[Cost item]:[Cost item]],OP_Rates!$M129))*(1+Calc_ROM_2[Citipower]))*(1+GST),8),0,1))</f>
        <v>-</v>
      </c>
      <c r="S129" s="67" t="str" cm="1">
        <f t="array" ref="S129">IF(S94="-","-",
IF(ROUND(S94,8)=ROUND(
((SUMIFS(Calc_Variable_2[Jemena],Calc_Variable_2[[Customer type]:[Customer type]],"All")+SUMIFS(Calc_Variable_2[Jemena],Calc_Variable_2[[Customer type]:[Customer type]],OP_Rates!$O129)+
SUMIFS(Calc_NetworkV_2[Jemena],Calc_NetworkV_2[[Customer type]:[Customer type]],OP_Rates!$O129,Calc_NetworkV_2[[Cost item]:[Cost item]],OP_Rates!$M129))*(1+Calc_ROM_2[Jemena]))*(1+GST),8),0,1))</f>
        <v>-</v>
      </c>
      <c r="T129" s="67" t="str" cm="1">
        <f t="array" ref="T129">IF(T94="-","-",
IF(ROUND(T94,8)=ROUND(
((SUMIFS(Calc_Variable_2[Powercor],Calc_Variable_2[[Customer type]:[Customer type]],"All")+SUMIFS(Calc_Variable_2[Powercor],Calc_Variable_2[[Customer type]:[Customer type]],OP_Rates!$O129)+
SUMIFS(Calc_NetworkV_2[Powercor],Calc_NetworkV_2[[Customer type]:[Customer type]],OP_Rates!$O129,Calc_NetworkV_2[[Cost item]:[Cost item]],OP_Rates!$M129))*(1+Calc_ROM_2[Powercor]))*(1+GST),8),0,1))</f>
        <v>-</v>
      </c>
      <c r="U129" s="67" t="str" cm="1">
        <f t="array" ref="U129">IF(U94="-","-",
IF(ROUND(U94,8)=ROUND(
((SUMIFS(Calc_Variable_2[United Energy],Calc_Variable_2[[Customer type]:[Customer type]],"All")+SUMIFS(Calc_Variable_2[United Energy],Calc_Variable_2[[Customer type]:[Customer type]],OP_Rates!$O129)+
SUMIFS(Calc_NetworkV_2[United Energy],Calc_NetworkV_2[[Customer type]:[Customer type]],OP_Rates!$O129,Calc_NetworkV_2[[Cost item]:[Cost item]],OP_Rates!$M129))*(1+Calc_ROM_2[United Energy]))*(1+GST),8),0,1))</f>
        <v>-</v>
      </c>
    </row>
    <row r="130" spans="3:21" ht="15.75" hidden="1" outlineLevel="2" x14ac:dyDescent="0.25">
      <c r="C130" s="14" t="s">
        <v>76</v>
      </c>
      <c r="D130" s="14" t="s">
        <v>75</v>
      </c>
      <c r="E130" s="14" t="s">
        <v>72</v>
      </c>
      <c r="G130" s="67" cm="1">
        <f t="array" ref="G130">IF(G95="-","-",
IF(ROUND(G95,8)=ROUND(
((SUMIFS(Calc_Variable_2[Ausnet],Calc_Variable_2[[Customer type]:[Customer type]],"All")+
SUMIFS(Calc_Variable_2[Ausnet],Calc_Variable_2[[Customer type]:[Customer type]],OP_Rates!$E130)+
SUMIFS(Calc_NetworkV_2[Ausnet],Calc_NetworkV_2[[Customer type]:[Customer type]],OP_Rates!$E130,Calc_NetworkV_2[[Cost item]:[Cost item]],OP_Rates!$C130))*(1+Calc_ROM_2[Ausnet]))*(1+GST),8),0,1))</f>
        <v>0</v>
      </c>
      <c r="H130" s="67" t="str" cm="1">
        <f t="array" ref="H130">IF(H95="-","-",
IF(ROUND(H95,8)=ROUND(
((SUMIFS(Calc_Variable_2[Citipower],Calc_Variable_2[[Customer type]:[Customer type]],"All")+
SUMIFS(Calc_Variable_2[Citipower],Calc_Variable_2[[Customer type]:[Customer type]],OP_Rates!$E130)+
SUMIFS(Calc_NetworkV_2[Citipower],Calc_NetworkV_2[[Customer type]:[Customer type]],OP_Rates!$E130,Calc_NetworkV_2[[Cost item]:[Cost item]],OP_Rates!$C130))*(1+Calc_ROM_2[Citipower]))*(1+GST),8),0,1))</f>
        <v>-</v>
      </c>
      <c r="I130" s="67" t="str" cm="1">
        <f t="array" ref="I130">IF(I95="-","-",
IF(ROUND(I95,8)=ROUND(
((SUMIFS(Calc_Variable_2[Jemena],Calc_Variable_2[[Customer type]:[Customer type]],"All")+
SUMIFS(Calc_Variable_2[Jemena],Calc_Variable_2[[Customer type]:[Customer type]],OP_Rates!$E130)+
SUMIFS(Calc_NetworkV_2[Jemena],Calc_NetworkV_2[[Customer type]:[Customer type]],OP_Rates!$E130,Calc_NetworkV_2[[Cost item]:[Cost item]],OP_Rates!$C130))*(1+Calc_ROM_2[Jemena]))*(1+GST),8),0,1))</f>
        <v>-</v>
      </c>
      <c r="J130" s="67" t="str" cm="1">
        <f t="array" ref="J130">IF(J95="-","-",
IF(ROUND(J95,8)=ROUND(
((SUMIFS(Calc_Variable_2[Powercor],Calc_Variable_2[[Customer type]:[Customer type]],"All")+
SUMIFS(Calc_Variable_2[Powercor],Calc_Variable_2[[Customer type]:[Customer type]],OP_Rates!$E130)+
SUMIFS(Calc_NetworkV_2[Powercor],Calc_NetworkV_2[[Customer type]:[Customer type]],OP_Rates!$E130,Calc_NetworkV_2[[Cost item]:[Cost item]],OP_Rates!$C130))*(1+Calc_ROM_2[Powercor]))*(1+GST),8),0,1))</f>
        <v>-</v>
      </c>
      <c r="K130" s="67" t="str" cm="1">
        <f t="array" ref="K130">IF(K95="-","-",
IF(ROUND(K95,8)=ROUND(
((SUMIFS(Calc_Variable_2[United Energy],Calc_Variable_2[[Customer type]:[Customer type]],"All")+
SUMIFS(Calc_Variable_2[United Energy],Calc_Variable_2[[Customer type]:[Customer type]],OP_Rates!$E130)+
SUMIFS(Calc_NetworkV_2[United Energy],Calc_NetworkV_2[[Customer type]:[Customer type]],OP_Rates!$E130,Calc_NetworkV_2[[Cost item]:[Cost item]],OP_Rates!$C130))*(1+Calc_ROM_2[United Energy]))*(1+GST),8),0,1))</f>
        <v>-</v>
      </c>
      <c r="M130" s="14" t="s">
        <v>76</v>
      </c>
      <c r="N130" s="14" t="s">
        <v>75</v>
      </c>
      <c r="O130" s="14" t="s">
        <v>73</v>
      </c>
      <c r="Q130" s="67" cm="1">
        <f t="array" ref="Q130">IF(Q95="-","-",
IF(ROUND(Q95,8)=ROUND(
((SUMIFS(Calc_Variable_2[Ausnet],Calc_Variable_2[[Customer type]:[Customer type]],"All")+SUMIFS(Calc_Variable_2[Ausnet],Calc_Variable_2[[Customer type]:[Customer type]],OP_Rates!$O130)+
SUMIFS(Calc_NetworkV_2[Ausnet],Calc_NetworkV_2[[Customer type]:[Customer type]],OP_Rates!$O130,Calc_NetworkV_2[[Cost item]:[Cost item]],OP_Rates!$M130))*(1+Calc_ROM_2[Ausnet]))*(1+GST),8),0,1))</f>
        <v>0</v>
      </c>
      <c r="R130" s="67" t="str" cm="1">
        <f t="array" ref="R130">IF(R95="-","-",
IF(ROUND(R95,8)=ROUND(
((SUMIFS(Calc_Variable_2[Citipower],Calc_Variable_2[[Customer type]:[Customer type]],"All")+SUMIFS(Calc_Variable_2[Citipower],Calc_Variable_2[[Customer type]:[Customer type]],OP_Rates!$O130)+
SUMIFS(Calc_NetworkV_2[Citipower],Calc_NetworkV_2[[Customer type]:[Customer type]],OP_Rates!$O130,Calc_NetworkV_2[[Cost item]:[Cost item]],OP_Rates!$M130))*(1+Calc_ROM_2[Citipower]))*(1+GST),8),0,1))</f>
        <v>-</v>
      </c>
      <c r="S130" s="67" t="str" cm="1">
        <f t="array" ref="S130">IF(S95="-","-",
IF(ROUND(S95,8)=ROUND(
((SUMIFS(Calc_Variable_2[Jemena],Calc_Variable_2[[Customer type]:[Customer type]],"All")+SUMIFS(Calc_Variable_2[Jemena],Calc_Variable_2[[Customer type]:[Customer type]],OP_Rates!$O130)+
SUMIFS(Calc_NetworkV_2[Jemena],Calc_NetworkV_2[[Customer type]:[Customer type]],OP_Rates!$O130,Calc_NetworkV_2[[Cost item]:[Cost item]],OP_Rates!$M130))*(1+Calc_ROM_2[Jemena]))*(1+GST),8),0,1))</f>
        <v>-</v>
      </c>
      <c r="T130" s="67" t="str" cm="1">
        <f t="array" ref="T130">IF(T95="-","-",
IF(ROUND(T95,8)=ROUND(
((SUMIFS(Calc_Variable_2[Powercor],Calc_Variable_2[[Customer type]:[Customer type]],"All")+SUMIFS(Calc_Variable_2[Powercor],Calc_Variable_2[[Customer type]:[Customer type]],OP_Rates!$O130)+
SUMIFS(Calc_NetworkV_2[Powercor],Calc_NetworkV_2[[Customer type]:[Customer type]],OP_Rates!$O130,Calc_NetworkV_2[[Cost item]:[Cost item]],OP_Rates!$M130))*(1+Calc_ROM_2[Powercor]))*(1+GST),8),0,1))</f>
        <v>-</v>
      </c>
      <c r="U130" s="67" t="str" cm="1">
        <f t="array" ref="U130">IF(U95="-","-",
IF(ROUND(U95,8)=ROUND(
((SUMIFS(Calc_Variable_2[United Energy],Calc_Variable_2[[Customer type]:[Customer type]],"All")+SUMIFS(Calc_Variable_2[United Energy],Calc_Variable_2[[Customer type]:[Customer type]],OP_Rates!$O130)+
SUMIFS(Calc_NetworkV_2[United Energy],Calc_NetworkV_2[[Customer type]:[Customer type]],OP_Rates!$O130,Calc_NetworkV_2[[Cost item]:[Cost item]],OP_Rates!$M130))*(1+Calc_ROM_2[United Energy]))*(1+GST),8),0,1))</f>
        <v>-</v>
      </c>
    </row>
    <row r="131" spans="3:21" ht="15.75" hidden="1" outlineLevel="2" x14ac:dyDescent="0.25">
      <c r="C131" s="14" t="s">
        <v>77</v>
      </c>
      <c r="D131" s="14" t="s">
        <v>75</v>
      </c>
      <c r="E131" s="14" t="s">
        <v>72</v>
      </c>
      <c r="G131" s="67" t="str" cm="1">
        <f t="array" ref="G131">IF(G96="-","-",
IF(ROUND(G96,8)=ROUND(
((SUMIFS(Calc_Variable_2[Ausnet],Calc_Variable_2[[Customer type]:[Customer type]],"All")+
SUMIFS(Calc_Variable_2[Ausnet],Calc_Variable_2[[Customer type]:[Customer type]],OP_Rates!$E131)+
SUMIFS(Calc_NetworkV_2[Ausnet],Calc_NetworkV_2[[Customer type]:[Customer type]],OP_Rates!$E131,Calc_NetworkV_2[[Cost item]:[Cost item]],OP_Rates!$C131))*(1+Calc_ROM_2[Ausnet]))*(1+GST),8),0,1))</f>
        <v>-</v>
      </c>
      <c r="H131" s="67" cm="1">
        <f t="array" ref="H131">IF(H96="-","-",
IF(ROUND(H96,8)=ROUND(
((SUMIFS(Calc_Variable_2[Citipower],Calc_Variable_2[[Customer type]:[Customer type]],"All")+
SUMIFS(Calc_Variable_2[Citipower],Calc_Variable_2[[Customer type]:[Customer type]],OP_Rates!$E131)+
SUMIFS(Calc_NetworkV_2[Citipower],Calc_NetworkV_2[[Customer type]:[Customer type]],OP_Rates!$E131,Calc_NetworkV_2[[Cost item]:[Cost item]],OP_Rates!$C131))*(1+Calc_ROM_2[Citipower]))*(1+GST),8),0,1))</f>
        <v>0</v>
      </c>
      <c r="I131" s="67" cm="1">
        <f t="array" ref="I131">IF(I96="-","-",
IF(ROUND(I96,8)=ROUND(
((SUMIFS(Calc_Variable_2[Jemena],Calc_Variable_2[[Customer type]:[Customer type]],"All")+
SUMIFS(Calc_Variable_2[Jemena],Calc_Variable_2[[Customer type]:[Customer type]],OP_Rates!$E131)+
SUMIFS(Calc_NetworkV_2[Jemena],Calc_NetworkV_2[[Customer type]:[Customer type]],OP_Rates!$E131,Calc_NetworkV_2[[Cost item]:[Cost item]],OP_Rates!$C131))*(1+Calc_ROM_2[Jemena]))*(1+GST),8),0,1))</f>
        <v>0</v>
      </c>
      <c r="J131" s="67" cm="1">
        <f t="array" ref="J131">IF(J96="-","-",
IF(ROUND(J96,8)=ROUND(
((SUMIFS(Calc_Variable_2[Powercor],Calc_Variable_2[[Customer type]:[Customer type]],"All")+
SUMIFS(Calc_Variable_2[Powercor],Calc_Variable_2[[Customer type]:[Customer type]],OP_Rates!$E131)+
SUMIFS(Calc_NetworkV_2[Powercor],Calc_NetworkV_2[[Customer type]:[Customer type]],OP_Rates!$E131,Calc_NetworkV_2[[Cost item]:[Cost item]],OP_Rates!$C131))*(1+Calc_ROM_2[Powercor]))*(1+GST),8),0,1))</f>
        <v>0</v>
      </c>
      <c r="K131" s="67" cm="1">
        <f t="array" ref="K131">IF(K96="-","-",
IF(ROUND(K96,8)=ROUND(
((SUMIFS(Calc_Variable_2[United Energy],Calc_Variable_2[[Customer type]:[Customer type]],"All")+
SUMIFS(Calc_Variable_2[United Energy],Calc_Variable_2[[Customer type]:[Customer type]],OP_Rates!$E131)+
SUMIFS(Calc_NetworkV_2[United Energy],Calc_NetworkV_2[[Customer type]:[Customer type]],OP_Rates!$E131,Calc_NetworkV_2[[Cost item]:[Cost item]],OP_Rates!$C131))*(1+Calc_ROM_2[United Energy]))*(1+GST),8),0,1))</f>
        <v>0</v>
      </c>
      <c r="M131" s="14" t="s">
        <v>77</v>
      </c>
      <c r="N131" s="14" t="s">
        <v>75</v>
      </c>
      <c r="O131" s="14" t="s">
        <v>73</v>
      </c>
      <c r="Q131" s="67" t="str" cm="1">
        <f t="array" ref="Q131">IF(Q96="-","-",
IF(ROUND(Q96,8)=ROUND(
((SUMIFS(Calc_Variable_2[Ausnet],Calc_Variable_2[[Customer type]:[Customer type]],"All")+SUMIFS(Calc_Variable_2[Ausnet],Calc_Variable_2[[Customer type]:[Customer type]],OP_Rates!$O131)+
SUMIFS(Calc_NetworkV_2[Ausnet],Calc_NetworkV_2[[Customer type]:[Customer type]],OP_Rates!$O131,Calc_NetworkV_2[[Cost item]:[Cost item]],OP_Rates!$M131))*(1+Calc_ROM_2[Ausnet]))*(1+GST),8),0,1))</f>
        <v>-</v>
      </c>
      <c r="R131" s="67" cm="1">
        <f t="array" ref="R131">IF(R96="-","-",
IF(ROUND(R96,8)=ROUND(
((SUMIFS(Calc_Variable_2[Citipower],Calc_Variable_2[[Customer type]:[Customer type]],"All")+SUMIFS(Calc_Variable_2[Citipower],Calc_Variable_2[[Customer type]:[Customer type]],OP_Rates!$O131)+
SUMIFS(Calc_NetworkV_2[Citipower],Calc_NetworkV_2[[Customer type]:[Customer type]],OP_Rates!$O131,Calc_NetworkV_2[[Cost item]:[Cost item]],OP_Rates!$M131))*(1+Calc_ROM_2[Citipower]))*(1+GST),8),0,1))</f>
        <v>0</v>
      </c>
      <c r="S131" s="67" cm="1">
        <f t="array" ref="S131">IF(S96="-","-",
IF(ROUND(S96,8)=ROUND(
((SUMIFS(Calc_Variable_2[Jemena],Calc_Variable_2[[Customer type]:[Customer type]],"All")+SUMIFS(Calc_Variable_2[Jemena],Calc_Variable_2[[Customer type]:[Customer type]],OP_Rates!$O131)+
SUMIFS(Calc_NetworkV_2[Jemena],Calc_NetworkV_2[[Customer type]:[Customer type]],OP_Rates!$O131,Calc_NetworkV_2[[Cost item]:[Cost item]],OP_Rates!$M131))*(1+Calc_ROM_2[Jemena]))*(1+GST),8),0,1))</f>
        <v>0</v>
      </c>
      <c r="T131" s="67" cm="1">
        <f t="array" ref="T131">IF(T96="-","-",
IF(ROUND(T96,8)=ROUND(
((SUMIFS(Calc_Variable_2[Powercor],Calc_Variable_2[[Customer type]:[Customer type]],"All")+SUMIFS(Calc_Variable_2[Powercor],Calc_Variable_2[[Customer type]:[Customer type]],OP_Rates!$O131)+
SUMIFS(Calc_NetworkV_2[Powercor],Calc_NetworkV_2[[Customer type]:[Customer type]],OP_Rates!$O131,Calc_NetworkV_2[[Cost item]:[Cost item]],OP_Rates!$M131))*(1+Calc_ROM_2[Powercor]))*(1+GST),8),0,1))</f>
        <v>0</v>
      </c>
      <c r="U131" s="67" cm="1">
        <f t="array" ref="U131">IF(U96="-","-",
IF(ROUND(U96,8)=ROUND(
((SUMIFS(Calc_Variable_2[United Energy],Calc_Variable_2[[Customer type]:[Customer type]],"All")+SUMIFS(Calc_Variable_2[United Energy],Calc_Variable_2[[Customer type]:[Customer type]],OP_Rates!$O131)+
SUMIFS(Calc_NetworkV_2[United Energy],Calc_NetworkV_2[[Customer type]:[Customer type]],OP_Rates!$O131,Calc_NetworkV_2[[Cost item]:[Cost item]],OP_Rates!$M131))*(1+Calc_ROM_2[United Energy]))*(1+GST),8),0,1))</f>
        <v>0</v>
      </c>
    </row>
    <row r="132" spans="3:21" ht="15.75" hidden="1" outlineLevel="2" x14ac:dyDescent="0.25">
      <c r="C132" s="14" t="s">
        <v>78</v>
      </c>
      <c r="D132" s="14" t="s">
        <v>71</v>
      </c>
      <c r="E132" s="14" t="s">
        <v>72</v>
      </c>
      <c r="G132" s="67" cm="1">
        <f t="array" ref="G132">IF(G97="-","-",
IF(ROUND(G97,8)=
ROUND((((SUMIFS(Calc_NetworkF_2[Ausnet],Calc_NetworkF_2[[Cost item]:[Cost item]],$C132,Calc_NetworkF_2[[Customer type]:[Customer type]],$E132)+SUMIFS(Calc_Fixed_2[Ausnet],Calc_Fixed_2[[Customer type]:[Customer type]],"All")+SUMIFS(Calc_Fixed_2[Ausnet],Calc_Fixed_2[[Customer type]:[Customer type]],$E132))/DiPY)*(1+Calc_ROM_2[Ausnet]))*(1+GST),8),0,1))</f>
        <v>0</v>
      </c>
      <c r="H132" s="67" cm="1">
        <f t="array" ref="H132">IF(H97="-","-",
IF(ROUND(H97,8)=
ROUND((((SUMIFS(Calc_NetworkF_2[Citipower],Calc_NetworkF_2[[Cost item]:[Cost item]],$C132,Calc_NetworkF_2[[Customer type]:[Customer type]],$E132)+SUMIFS(Calc_Fixed_2[Citipower],Calc_Fixed_2[[Customer type]:[Customer type]],"All")+SUMIFS(Calc_Fixed_2[Citipower],Calc_Fixed_2[[Customer type]:[Customer type]],$E132))/DiPY)*(1+Calc_ROM_2[Citipower]))*(1+GST),8),0,1))</f>
        <v>0</v>
      </c>
      <c r="I132" s="67" cm="1">
        <f t="array" ref="I132">IF(I97="-","-",
IF(ROUND(I97,8)=
ROUND((((SUMIFS(Calc_NetworkF_2[Jemena],Calc_NetworkF_2[[Cost item]:[Cost item]],$C132,Calc_NetworkF_2[[Customer type]:[Customer type]],$E132)+SUMIFS(Calc_Fixed_2[Jemena],Calc_Fixed_2[[Customer type]:[Customer type]],"All")+SUMIFS(Calc_Fixed_2[Jemena],Calc_Fixed_2[[Customer type]:[Customer type]],$E132))/DiPY)*(1+Calc_ROM_2[Jemena]))*(1+GST),8),0,1))</f>
        <v>0</v>
      </c>
      <c r="J132" s="67" cm="1">
        <f t="array" ref="J132">IF(J97="-","-",
IF(ROUND(J97,8)=
ROUND((((SUMIFS(Calc_NetworkF_2[Powercor],Calc_NetworkF_2[[Cost item]:[Cost item]],$C132,Calc_NetworkF_2[[Customer type]:[Customer type]],$E132)+SUMIFS(Calc_Fixed_2[Powercor],Calc_Fixed_2[[Customer type]:[Customer type]],"All")+SUMIFS(Calc_Fixed_2[Powercor],Calc_Fixed_2[[Customer type]:[Customer type]],$E132))/DiPY)*(1+Calc_ROM_2[Powercor]))*(1+GST),8),0,1))</f>
        <v>0</v>
      </c>
      <c r="K132" s="67" cm="1">
        <f t="array" ref="K132">IF(K97="-","-",
IF(ROUND(K97,8)=
ROUND((((SUMIFS(Calc_NetworkF_2[United Energy],Calc_NetworkF_2[[Cost item]:[Cost item]],$C132,Calc_NetworkF_2[[Customer type]:[Customer type]],$E132)+SUMIFS(Calc_Fixed_2[United Energy],Calc_Fixed_2[[Customer type]:[Customer type]],"All")+SUMIFS(Calc_Fixed_2[United Energy],Calc_Fixed_2[[Customer type]:[Customer type]],$E132))/DiPY)*(1+Calc_ROM_2[United Energy]))*(1+GST),8),0,1))</f>
        <v>0</v>
      </c>
      <c r="M132" s="14" t="s">
        <v>78</v>
      </c>
      <c r="N132" s="14" t="s">
        <v>71</v>
      </c>
      <c r="O132" s="14" t="s">
        <v>73</v>
      </c>
      <c r="Q132" s="67" cm="1">
        <f t="array" ref="Q132">IF(Q97="-","-",
IF(ROUND(Q97,8)=
ROUND((((SUMIFS(Calc_NetworkF_2[Ausnet],Calc_NetworkF_2[[Cost item]:[Cost item]],$M132,Calc_NetworkF_2[[Customer type]:[Customer type]],$O132)+SUMIFS(Calc_Fixed_2[Ausnet],Calc_Fixed_2[[Customer type]:[Customer type]],"All")+SUMIFS(Calc_Fixed_2[Ausnet],Calc_Fixed_2[[Customer type]:[Customer type]],$O132))/DiPY)*(1+Calc_ROM_2[Ausnet]))*(1+GST),8),0,1))</f>
        <v>0</v>
      </c>
      <c r="R132" s="67" cm="1">
        <f t="array" ref="R132">IF(R97="-","-",
IF(ROUND(R97,8)=
ROUND((((SUMIFS(Calc_NetworkF_2[Citipower],Calc_NetworkF_2[[Cost item]:[Cost item]],$M132,Calc_NetworkF_2[[Customer type]:[Customer type]],$O132)+SUMIFS(Calc_Fixed_2[Citipower],Calc_Fixed_2[[Customer type]:[Customer type]],"All")+SUMIFS(Calc_Fixed_2[Citipower],Calc_Fixed_2[[Customer type]:[Customer type]],$O132))/DiPY)*(1+Calc_ROM_2[Citipower]))*(1+GST),8),0,1))</f>
        <v>0</v>
      </c>
      <c r="S132" s="67" cm="1">
        <f t="array" ref="S132">IF(S97="-","-",
IF(ROUND(S97,8)=
ROUND((((SUMIFS(Calc_NetworkF_2[Jemena],Calc_NetworkF_2[[Cost item]:[Cost item]],$M132,Calc_NetworkF_2[[Customer type]:[Customer type]],$O132)+SUMIFS(Calc_Fixed_2[Jemena],Calc_Fixed_2[[Customer type]:[Customer type]],"All")+SUMIFS(Calc_Fixed_2[Jemena],Calc_Fixed_2[[Customer type]:[Customer type]],$O132))/DiPY)*(1+Calc_ROM_2[Jemena]))*(1+GST),8),0,1))</f>
        <v>0</v>
      </c>
      <c r="T132" s="67" cm="1">
        <f t="array" ref="T132">IF(T97="-","-",
IF(ROUND(T97,8)=
ROUND((((SUMIFS(Calc_NetworkF_2[Powercor],Calc_NetworkF_2[[Cost item]:[Cost item]],$M132,Calc_NetworkF_2[[Customer type]:[Customer type]],$O132)+SUMIFS(Calc_Fixed_2[Powercor],Calc_Fixed_2[[Customer type]:[Customer type]],"All")+SUMIFS(Calc_Fixed_2[Powercor],Calc_Fixed_2[[Customer type]:[Customer type]],$O132))/DiPY)*(1+Calc_ROM_2[Powercor]))*(1+GST),8),0,1))</f>
        <v>0</v>
      </c>
      <c r="U132" s="67" cm="1">
        <f t="array" ref="U132">IF(U97="-","-",
IF(ROUND(U97,8)=
ROUND((((SUMIFS(Calc_NetworkF_2[United Energy],Calc_NetworkF_2[[Cost item]:[Cost item]],$M132,Calc_NetworkF_2[[Customer type]:[Customer type]],$O132)+SUMIFS(Calc_Fixed_2[United Energy],Calc_Fixed_2[[Customer type]:[Customer type]],"All")+SUMIFS(Calc_Fixed_2[United Energy],Calc_Fixed_2[[Customer type]:[Customer type]],$O132))/DiPY)*(1+Calc_ROM_2[United Energy]))*(1+GST),8),0,1))</f>
        <v>0</v>
      </c>
    </row>
    <row r="133" spans="3:21" ht="15.75" hidden="1" outlineLevel="2" x14ac:dyDescent="0.25">
      <c r="C133" s="14" t="s">
        <v>79</v>
      </c>
      <c r="D133" s="14" t="s">
        <v>75</v>
      </c>
      <c r="E133" s="14" t="s">
        <v>72</v>
      </c>
      <c r="G133" s="67" cm="1">
        <f t="array" ref="G133">IF(G98="-","-",
IF(ROUND(G98,8)=ROUND(
((SUMIFS(Calc_Variable_2[Ausnet],Calc_Variable_2[[Customer type]:[Customer type]],"All")+
SUMIFS(Calc_Variable_2[Ausnet],Calc_Variable_2[[Customer type]:[Customer type]],OP_Rates!$E133)+
SUMIFS(Calc_NetworkV_2[Ausnet],Calc_NetworkV_2[[Customer type]:[Customer type]],OP_Rates!$E133,Calc_NetworkV_2[[Cost item]:[Cost item]],OP_Rates!$C133))*(1+Calc_ROM_2[Ausnet]))*(1+GST),8),0,1))</f>
        <v>0</v>
      </c>
      <c r="H133" s="67" cm="1">
        <f t="array" ref="H133">IF(H98="-","-",
IF(ROUND(H98,8)=ROUND(
((SUMIFS(Calc_Variable_2[Citipower],Calc_Variable_2[[Customer type]:[Customer type]],"All")+
SUMIFS(Calc_Variable_2[Citipower],Calc_Variable_2[[Customer type]:[Customer type]],OP_Rates!$E133)+
SUMIFS(Calc_NetworkV_2[Citipower],Calc_NetworkV_2[[Customer type]:[Customer type]],OP_Rates!$E133,Calc_NetworkV_2[[Cost item]:[Cost item]],OP_Rates!$C133))*(1+Calc_ROM_2[Citipower]))*(1+GST),8),0,1))</f>
        <v>0</v>
      </c>
      <c r="I133" s="67" cm="1">
        <f t="array" ref="I133">IF(I98="-","-",
IF(ROUND(I98,8)=ROUND(
((SUMIFS(Calc_Variable_2[Jemena],Calc_Variable_2[[Customer type]:[Customer type]],"All")+
SUMIFS(Calc_Variable_2[Jemena],Calc_Variable_2[[Customer type]:[Customer type]],OP_Rates!$E133)+
SUMIFS(Calc_NetworkV_2[Jemena],Calc_NetworkV_2[[Customer type]:[Customer type]],OP_Rates!$E133,Calc_NetworkV_2[[Cost item]:[Cost item]],OP_Rates!$C133))*(1+Calc_ROM_2[Jemena]))*(1+GST),8),0,1))</f>
        <v>0</v>
      </c>
      <c r="J133" s="67" cm="1">
        <f t="array" ref="J133">IF(J98="-","-",
IF(ROUND(J98,8)=ROUND(
((SUMIFS(Calc_Variable_2[Powercor],Calc_Variable_2[[Customer type]:[Customer type]],"All")+
SUMIFS(Calc_Variable_2[Powercor],Calc_Variable_2[[Customer type]:[Customer type]],OP_Rates!$E133)+
SUMIFS(Calc_NetworkV_2[Powercor],Calc_NetworkV_2[[Customer type]:[Customer type]],OP_Rates!$E133,Calc_NetworkV_2[[Cost item]:[Cost item]],OP_Rates!$C133))*(1+Calc_ROM_2[Powercor]))*(1+GST),8),0,1))</f>
        <v>0</v>
      </c>
      <c r="K133" s="67" cm="1">
        <f t="array" ref="K133">IF(K98="-","-",
IF(ROUND(K98,8)=ROUND(
((SUMIFS(Calc_Variable_2[United Energy],Calc_Variable_2[[Customer type]:[Customer type]],"All")+
SUMIFS(Calc_Variable_2[United Energy],Calc_Variable_2[[Customer type]:[Customer type]],OP_Rates!$E133)+
SUMIFS(Calc_NetworkV_2[United Energy],Calc_NetworkV_2[[Customer type]:[Customer type]],OP_Rates!$E133,Calc_NetworkV_2[[Cost item]:[Cost item]],OP_Rates!$C133))*(1+Calc_ROM_2[United Energy]))*(1+GST),8),0,1))</f>
        <v>0</v>
      </c>
      <c r="M133" s="14" t="s">
        <v>79</v>
      </c>
      <c r="N133" s="14" t="s">
        <v>75</v>
      </c>
      <c r="O133" s="14" t="s">
        <v>73</v>
      </c>
      <c r="Q133" s="67" cm="1">
        <f t="array" ref="Q133">IF(Q98="-","-",
IF(ROUND(Q98,8)=ROUND(
((SUMIFS(Calc_Variable_2[Ausnet],Calc_Variable_2[[Customer type]:[Customer type]],"All")+SUMIFS(Calc_Variable_2[Ausnet],Calc_Variable_2[[Customer type]:[Customer type]],OP_Rates!$O133)+
SUMIFS(Calc_NetworkV_2[Ausnet],Calc_NetworkV_2[[Customer type]:[Customer type]],OP_Rates!$O133,Calc_NetworkV_2[[Cost item]:[Cost item]],OP_Rates!$M133))*(1+Calc_ROM_2[Ausnet]))*(1+GST),8),0,1))</f>
        <v>0</v>
      </c>
      <c r="R133" s="67" cm="1">
        <f t="array" ref="R133">IF(R98="-","-",
IF(ROUND(R98,8)=ROUND(
((SUMIFS(Calc_Variable_2[Citipower],Calc_Variable_2[[Customer type]:[Customer type]],"All")+SUMIFS(Calc_Variable_2[Citipower],Calc_Variable_2[[Customer type]:[Customer type]],OP_Rates!$O133)+
SUMIFS(Calc_NetworkV_2[Citipower],Calc_NetworkV_2[[Customer type]:[Customer type]],OP_Rates!$O133,Calc_NetworkV_2[[Cost item]:[Cost item]],OP_Rates!$M133))*(1+Calc_ROM_2[Citipower]))*(1+GST),8),0,1))</f>
        <v>0</v>
      </c>
      <c r="S133" s="67" cm="1">
        <f t="array" ref="S133">IF(S98="-","-",
IF(ROUND(S98,8)=ROUND(
((SUMIFS(Calc_Variable_2[Jemena],Calc_Variable_2[[Customer type]:[Customer type]],"All")+SUMIFS(Calc_Variable_2[Jemena],Calc_Variable_2[[Customer type]:[Customer type]],OP_Rates!$O133)+
SUMIFS(Calc_NetworkV_2[Jemena],Calc_NetworkV_2[[Customer type]:[Customer type]],OP_Rates!$O133,Calc_NetworkV_2[[Cost item]:[Cost item]],OP_Rates!$M133))*(1+Calc_ROM_2[Jemena]))*(1+GST),8),0,1))</f>
        <v>0</v>
      </c>
      <c r="T133" s="67" cm="1">
        <f t="array" ref="T133">IF(T98="-","-",
IF(ROUND(T98,8)=ROUND(
((SUMIFS(Calc_Variable_2[Powercor],Calc_Variable_2[[Customer type]:[Customer type]],"All")+SUMIFS(Calc_Variable_2[Powercor],Calc_Variable_2[[Customer type]:[Customer type]],OP_Rates!$O133)+
SUMIFS(Calc_NetworkV_2[Powercor],Calc_NetworkV_2[[Customer type]:[Customer type]],OP_Rates!$O133,Calc_NetworkV_2[[Cost item]:[Cost item]],OP_Rates!$M133))*(1+Calc_ROM_2[Powercor]))*(1+GST),8),0,1))</f>
        <v>0</v>
      </c>
      <c r="U133" s="67" cm="1">
        <f t="array" ref="U133">IF(U98="-","-",
IF(ROUND(U98,8)=ROUND(
((SUMIFS(Calc_Variable_2[United Energy],Calc_Variable_2[[Customer type]:[Customer type]],"All")+SUMIFS(Calc_Variable_2[United Energy],Calc_Variable_2[[Customer type]:[Customer type]],OP_Rates!$O133)+
SUMIFS(Calc_NetworkV_2[United Energy],Calc_NetworkV_2[[Customer type]:[Customer type]],OP_Rates!$O133,Calc_NetworkV_2[[Cost item]:[Cost item]],OP_Rates!$M133))*(1+Calc_ROM_2[United Energy]))*(1+GST),8),0,1))</f>
        <v>0</v>
      </c>
    </row>
    <row r="134" spans="3:21" ht="15.75" hidden="1" outlineLevel="2" x14ac:dyDescent="0.25">
      <c r="C134" s="14" t="s">
        <v>80</v>
      </c>
      <c r="D134" s="14" t="s">
        <v>75</v>
      </c>
      <c r="E134" s="14" t="s">
        <v>72</v>
      </c>
      <c r="G134" s="67" cm="1">
        <f t="array" ref="G134">IF(G99="-","-",
IF(ROUND(G99,8)=ROUND(
((SUMIFS(Calc_Variable_2[Ausnet],Calc_Variable_2[[Customer type]:[Customer type]],"All")+
SUMIFS(Calc_Variable_2[Ausnet],Calc_Variable_2[[Customer type]:[Customer type]],OP_Rates!$E134)+
SUMIFS(Calc_NetworkV_2[Ausnet],Calc_NetworkV_2[[Customer type]:[Customer type]],OP_Rates!$E134,Calc_NetworkV_2[[Cost item]:[Cost item]],OP_Rates!$C134))*(1+Calc_ROM_2[Ausnet]))*(1+GST),8),0,1))</f>
        <v>0</v>
      </c>
      <c r="H134" s="67" cm="1">
        <f t="array" ref="H134">IF(H99="-","-",
IF(ROUND(H99,8)=ROUND(
((SUMIFS(Calc_Variable_2[Citipower],Calc_Variable_2[[Customer type]:[Customer type]],"All")+
SUMIFS(Calc_Variable_2[Citipower],Calc_Variable_2[[Customer type]:[Customer type]],OP_Rates!$E134)+
SUMIFS(Calc_NetworkV_2[Citipower],Calc_NetworkV_2[[Customer type]:[Customer type]],OP_Rates!$E134,Calc_NetworkV_2[[Cost item]:[Cost item]],OP_Rates!$C134))*(1+Calc_ROM_2[Citipower]))*(1+GST),8),0,1))</f>
        <v>0</v>
      </c>
      <c r="I134" s="67" cm="1">
        <f t="array" ref="I134">IF(I99="-","-",
IF(ROUND(I99,8)=ROUND(
((SUMIFS(Calc_Variable_2[Jemena],Calc_Variable_2[[Customer type]:[Customer type]],"All")+
SUMIFS(Calc_Variable_2[Jemena],Calc_Variable_2[[Customer type]:[Customer type]],OP_Rates!$E134)+
SUMIFS(Calc_NetworkV_2[Jemena],Calc_NetworkV_2[[Customer type]:[Customer type]],OP_Rates!$E134,Calc_NetworkV_2[[Cost item]:[Cost item]],OP_Rates!$C134))*(1+Calc_ROM_2[Jemena]))*(1+GST),8),0,1))</f>
        <v>0</v>
      </c>
      <c r="J134" s="67" cm="1">
        <f t="array" ref="J134">IF(J99="-","-",
IF(ROUND(J99,8)=ROUND(
((SUMIFS(Calc_Variable_2[Powercor],Calc_Variable_2[[Customer type]:[Customer type]],"All")+
SUMIFS(Calc_Variable_2[Powercor],Calc_Variable_2[[Customer type]:[Customer type]],OP_Rates!$E134)+
SUMIFS(Calc_NetworkV_2[Powercor],Calc_NetworkV_2[[Customer type]:[Customer type]],OP_Rates!$E134,Calc_NetworkV_2[[Cost item]:[Cost item]],OP_Rates!$C134))*(1+Calc_ROM_2[Powercor]))*(1+GST),8),0,1))</f>
        <v>0</v>
      </c>
      <c r="K134" s="67" cm="1">
        <f t="array" ref="K134">IF(K99="-","-",
IF(ROUND(K99,8)=ROUND(
((SUMIFS(Calc_Variable_2[United Energy],Calc_Variable_2[[Customer type]:[Customer type]],"All")+
SUMIFS(Calc_Variable_2[United Energy],Calc_Variable_2[[Customer type]:[Customer type]],OP_Rates!$E134)+
SUMIFS(Calc_NetworkV_2[United Energy],Calc_NetworkV_2[[Customer type]:[Customer type]],OP_Rates!$E134,Calc_NetworkV_2[[Cost item]:[Cost item]],OP_Rates!$C134))*(1+Calc_ROM_2[United Energy]))*(1+GST),8),0,1))</f>
        <v>0</v>
      </c>
      <c r="M134" s="14" t="s">
        <v>80</v>
      </c>
      <c r="N134" s="14" t="s">
        <v>75</v>
      </c>
      <c r="O134" s="14" t="s">
        <v>73</v>
      </c>
      <c r="Q134" s="67" cm="1">
        <f t="array" ref="Q134">IF(Q99="-","-",
IF(ROUND(Q99,8)=ROUND(
((SUMIFS(Calc_Variable_2[Ausnet],Calc_Variable_2[[Customer type]:[Customer type]],"All")+SUMIFS(Calc_Variable_2[Ausnet],Calc_Variable_2[[Customer type]:[Customer type]],OP_Rates!$O134)+
SUMIFS(Calc_NetworkV_2[Ausnet],Calc_NetworkV_2[[Customer type]:[Customer type]],OP_Rates!$O134,Calc_NetworkV_2[[Cost item]:[Cost item]],OP_Rates!$M134))*(1+Calc_ROM_2[Ausnet]))*(1+GST),8),0,1))</f>
        <v>0</v>
      </c>
      <c r="R134" s="67" cm="1">
        <f t="array" ref="R134">IF(R99="-","-",
IF(ROUND(R99,8)=ROUND(
((SUMIFS(Calc_Variable_2[Citipower],Calc_Variable_2[[Customer type]:[Customer type]],"All")+SUMIFS(Calc_Variable_2[Citipower],Calc_Variable_2[[Customer type]:[Customer type]],OP_Rates!$O134)+
SUMIFS(Calc_NetworkV_2[Citipower],Calc_NetworkV_2[[Customer type]:[Customer type]],OP_Rates!$O134,Calc_NetworkV_2[[Cost item]:[Cost item]],OP_Rates!$M134))*(1+Calc_ROM_2[Citipower]))*(1+GST),8),0,1))</f>
        <v>0</v>
      </c>
      <c r="S134" s="67" cm="1">
        <f t="array" ref="S134">IF(S99="-","-",
IF(ROUND(S99,8)=ROUND(
((SUMIFS(Calc_Variable_2[Jemena],Calc_Variable_2[[Customer type]:[Customer type]],"All")+SUMIFS(Calc_Variable_2[Jemena],Calc_Variable_2[[Customer type]:[Customer type]],OP_Rates!$O134)+
SUMIFS(Calc_NetworkV_2[Jemena],Calc_NetworkV_2[[Customer type]:[Customer type]],OP_Rates!$O134,Calc_NetworkV_2[[Cost item]:[Cost item]],OP_Rates!$M134))*(1+Calc_ROM_2[Jemena]))*(1+GST),8),0,1))</f>
        <v>0</v>
      </c>
      <c r="T134" s="67" cm="1">
        <f t="array" ref="T134">IF(T99="-","-",
IF(ROUND(T99,8)=ROUND(
((SUMIFS(Calc_Variable_2[Powercor],Calc_Variable_2[[Customer type]:[Customer type]],"All")+SUMIFS(Calc_Variable_2[Powercor],Calc_Variable_2[[Customer type]:[Customer type]],OP_Rates!$O134)+
SUMIFS(Calc_NetworkV_2[Powercor],Calc_NetworkV_2[[Customer type]:[Customer type]],OP_Rates!$O134,Calc_NetworkV_2[[Cost item]:[Cost item]],OP_Rates!$M134))*(1+Calc_ROM_2[Powercor]))*(1+GST),8),0,1))</f>
        <v>0</v>
      </c>
      <c r="U134" s="67" cm="1">
        <f t="array" ref="U134">IF(U99="-","-",
IF(ROUND(U99,8)=ROUND(
((SUMIFS(Calc_Variable_2[United Energy],Calc_Variable_2[[Customer type]:[Customer type]],"All")+SUMIFS(Calc_Variable_2[United Energy],Calc_Variable_2[[Customer type]:[Customer type]],OP_Rates!$O134)+
SUMIFS(Calc_NetworkV_2[United Energy],Calc_NetworkV_2[[Customer type]:[Customer type]],OP_Rates!$O134,Calc_NetworkV_2[[Cost item]:[Cost item]],OP_Rates!$M134))*(1+Calc_ROM_2[United Energy]))*(1+GST),8),0,1))</f>
        <v>0</v>
      </c>
    </row>
    <row r="135" spans="3:21" ht="15.75" hidden="1" outlineLevel="2" x14ac:dyDescent="0.25">
      <c r="C135" s="14" t="s">
        <v>81</v>
      </c>
      <c r="D135" s="14" t="s">
        <v>75</v>
      </c>
      <c r="E135" s="14" t="s">
        <v>72</v>
      </c>
      <c r="G135" s="67" cm="1">
        <f t="array" ref="G135">IF(G100="-","-",
IF(ROUND(G100,8)=ROUND(
((SUMIFS(Calc_Variable_2[Ausnet],Calc_Variable_2[[Customer type]:[Customer type]],"All")+
SUMIFS(Calc_Variable_2[Ausnet],Calc_Variable_2[[Customer type]:[Customer type]],OP_Rates!$E135)+
SUMIFS(Calc_NetworkV_2[Ausnet],Calc_NetworkV_2[[Customer type]:[Customer type]],OP_Rates!$E135,Calc_NetworkV_2[[Cost item]:[Cost item]],OP_Rates!$C135))*(1+Calc_ROM_2[Ausnet]))*(1+GST),8),0,1))</f>
        <v>0</v>
      </c>
      <c r="H135" s="67" cm="1">
        <f t="array" ref="H135">IF(H100="-","-",
IF(ROUND(H100,8)=ROUND(
((SUMIFS(Calc_Variable_2[Citipower],Calc_Variable_2[[Customer type]:[Customer type]],"All")+
SUMIFS(Calc_Variable_2[Citipower],Calc_Variable_2[[Customer type]:[Customer type]],OP_Rates!$E135)+
SUMIFS(Calc_NetworkV_2[Citipower],Calc_NetworkV_2[[Customer type]:[Customer type]],OP_Rates!$E135,Calc_NetworkV_2[[Cost item]:[Cost item]],OP_Rates!$C135))*(1+Calc_ROM_2[Citipower]))*(1+GST),8),0,1))</f>
        <v>0</v>
      </c>
      <c r="I135" s="67" cm="1">
        <f t="array" ref="I135">IF(I100="-","-",
IF(ROUND(I100,8)=ROUND(
((SUMIFS(Calc_Variable_2[Jemena],Calc_Variable_2[[Customer type]:[Customer type]],"All")+
SUMIFS(Calc_Variable_2[Jemena],Calc_Variable_2[[Customer type]:[Customer type]],OP_Rates!$E135)+
SUMIFS(Calc_NetworkV_2[Jemena],Calc_NetworkV_2[[Customer type]:[Customer type]],OP_Rates!$E135,Calc_NetworkV_2[[Cost item]:[Cost item]],OP_Rates!$C135))*(1+Calc_ROM_2[Jemena]))*(1+GST),8),0,1))</f>
        <v>0</v>
      </c>
      <c r="J135" s="67" cm="1">
        <f t="array" ref="J135">IF(J100="-","-",
IF(ROUND(J100,8)=ROUND(
((SUMIFS(Calc_Variable_2[Powercor],Calc_Variable_2[[Customer type]:[Customer type]],"All")+
SUMIFS(Calc_Variable_2[Powercor],Calc_Variable_2[[Customer type]:[Customer type]],OP_Rates!$E135)+
SUMIFS(Calc_NetworkV_2[Powercor],Calc_NetworkV_2[[Customer type]:[Customer type]],OP_Rates!$E135,Calc_NetworkV_2[[Cost item]:[Cost item]],OP_Rates!$C135))*(1+Calc_ROM_2[Powercor]))*(1+GST),8),0,1))</f>
        <v>0</v>
      </c>
      <c r="K135" s="67" cm="1">
        <f t="array" ref="K135">IF(K100="-","-",
IF(ROUND(K100,8)=ROUND(
((SUMIFS(Calc_Variable_2[United Energy],Calc_Variable_2[[Customer type]:[Customer type]],"All")+
SUMIFS(Calc_Variable_2[United Energy],Calc_Variable_2[[Customer type]:[Customer type]],OP_Rates!$E135)+
SUMIFS(Calc_NetworkV_2[United Energy],Calc_NetworkV_2[[Customer type]:[Customer type]],OP_Rates!$E135,Calc_NetworkV_2[[Cost item]:[Cost item]],OP_Rates!$C135))*(1+Calc_ROM_2[United Energy]))*(1+GST),8),0,1))</f>
        <v>0</v>
      </c>
      <c r="M135" s="14"/>
      <c r="N135" s="14"/>
      <c r="O135" s="14"/>
      <c r="Q135" s="67"/>
      <c r="R135" s="67"/>
      <c r="S135" s="67"/>
      <c r="T135" s="67"/>
      <c r="U135" s="67"/>
    </row>
    <row r="136" spans="3:21" hidden="1" outlineLevel="2" x14ac:dyDescent="0.25"/>
    <row r="137" spans="3:21" ht="15.75" hidden="1" outlineLevel="2" x14ac:dyDescent="0.25">
      <c r="C137" s="20" t="str">
        <f>C$102&amp;" - checks"</f>
        <v>Residential True Up - checks</v>
      </c>
      <c r="M137" s="20" t="str">
        <f>M$102&amp;" - checks"</f>
        <v>Small business True Up - checks</v>
      </c>
    </row>
    <row r="138" spans="3:21" ht="15.75" hidden="1" outlineLevel="2" x14ac:dyDescent="0.25">
      <c r="C138" s="29" t="s">
        <v>61</v>
      </c>
      <c r="D138" s="29" t="s">
        <v>62</v>
      </c>
      <c r="E138" s="29" t="s">
        <v>63</v>
      </c>
      <c r="F138" s="29" t="s">
        <v>50</v>
      </c>
      <c r="G138" s="32" t="s">
        <v>65</v>
      </c>
      <c r="H138" s="32" t="s">
        <v>66</v>
      </c>
      <c r="I138" s="32" t="s">
        <v>67</v>
      </c>
      <c r="J138" s="32" t="s">
        <v>68</v>
      </c>
      <c r="K138" s="32" t="s">
        <v>69</v>
      </c>
      <c r="M138" s="29" t="s">
        <v>61</v>
      </c>
      <c r="N138" s="29" t="s">
        <v>62</v>
      </c>
      <c r="O138" s="29" t="s">
        <v>63</v>
      </c>
      <c r="P138" s="29" t="s">
        <v>50</v>
      </c>
      <c r="Q138" s="32" t="s">
        <v>65</v>
      </c>
      <c r="R138" s="32" t="s">
        <v>66</v>
      </c>
      <c r="S138" s="32" t="s">
        <v>67</v>
      </c>
      <c r="T138" s="32" t="s">
        <v>68</v>
      </c>
      <c r="U138" s="32" t="s">
        <v>69</v>
      </c>
    </row>
    <row r="139" spans="3:21" ht="15.75" hidden="1" outlineLevel="2" x14ac:dyDescent="0.25">
      <c r="C139" s="39" t="s">
        <v>86</v>
      </c>
      <c r="D139" s="39" t="s">
        <v>71</v>
      </c>
      <c r="E139" s="39" t="s">
        <v>72</v>
      </c>
      <c r="F139" s="39" t="s">
        <v>87</v>
      </c>
      <c r="G139" s="123" t="str" cm="1">
        <f t="array" ref="G139">IF(G104="-","-",
IF(ROUND(G104,8)=
IF($F139="Network",
IF($C139&lt;&gt;"Controlled load",
ROUND(INDEX(Calc_TUR_Net_2[[Ausnet]:[United Energy]],MATCH(1,(Calc_TUR_Net_2[[Customer type]:[Customer type]]=OP_Rates!$E139)*(Calc_TUR_Net_2[[Rate type]:[Rate type]]=OP_Rates!$C139),0),MATCH(OP_Rates!G$65,Calc_TUR_Net_2[[#Headers],[Ausnet]:[United Energy]],0)),8),
ROUND(INDEX(Calc_TUR_NetCL_2[[Ausnet]:[United Energy]],MATCH(OP_Rates!$E139,Calc_TUR_Net_2[[Customer type]:[Customer type]],0),MATCH(OP_Rates!G$65,Calc_TUR_Net_2[[#Headers],[Ausnet]:[United Energy]],0)),8)),
IF($F139="Environmental",
ROUND(SUMIFS(Calc_TUR_ENV_2[Ausnet],Calc_TUR_ENV_2[[Customer type]:[Customer type]],OP_Rates!$E139,Calc_TUR_ENV_2[[Rate type]:[Rate type]],OP_Rates!$C139),8))),0,1))</f>
        <v>-</v>
      </c>
      <c r="H139" s="123" t="str" cm="1">
        <f t="array" ref="H139">IF(H104="-","-",
IF(ROUND(H104,8)=
IF($F139="Network",
IF($C139&lt;&gt;"Controlled load",
ROUND(INDEX(Calc_TUR_Net_2[[Ausnet]:[United Energy]],MATCH(1,(Calc_TUR_Net_2[[Customer type]:[Customer type]]=OP_Rates!$E139)*(Calc_TUR_Net_2[[Rate type]:[Rate type]]=OP_Rates!$C139),0),MATCH(OP_Rates!H$65,Calc_TUR_Net_2[[#Headers],[Ausnet]:[United Energy]],0)),8),
ROUND(INDEX(Calc_TUR_NetCL_2[[Ausnet]:[United Energy]],MATCH(OP_Rates!$E139,Calc_TUR_Net_2[[Customer type]:[Customer type]],0),MATCH(OP_Rates!H$65,Calc_TUR_Net_2[[#Headers],[Ausnet]:[United Energy]],0)),8)),
IF($F139="Environmental",
ROUND(SUMIFS(Calc_TUR_ENV_2[Citipower],Calc_TUR_ENV_2[[Customer type]:[Customer type]],OP_Rates!$E139,Calc_TUR_ENV_2[[Rate type]:[Rate type]],OP_Rates!$C139),8))),0,1))</f>
        <v>-</v>
      </c>
      <c r="I139" s="123" t="str" cm="1">
        <f t="array" ref="I139">IF(I104="-","-",
IF(ROUND(I104,8)=
IF($F139="Network",
IF($C139&lt;&gt;"Controlled load",
ROUND(INDEX(Calc_TUR_Net_2[[Ausnet]:[United Energy]],MATCH(1,(Calc_TUR_Net_2[[Customer type]:[Customer type]]=OP_Rates!$E139)*(Calc_TUR_Net_2[[Rate type]:[Rate type]]=OP_Rates!$C139),0),MATCH(OP_Rates!I$65,Calc_TUR_Net_2[[#Headers],[Ausnet]:[United Energy]],0)),8),
ROUND(INDEX(Calc_TUR_NetCL_2[[Ausnet]:[United Energy]],MATCH(OP_Rates!$E139,Calc_TUR_Net_2[[Customer type]:[Customer type]],0),MATCH(OP_Rates!I$65,Calc_TUR_Net_2[[#Headers],[Ausnet]:[United Energy]],0)),8)),
IF($F139="Environmental",
ROUND(SUMIFS(Calc_TUR_ENV_2[Jemena],Calc_TUR_ENV_2[[Customer type]:[Customer type]],OP_Rates!$E139,Calc_TUR_ENV_2[[Rate type]:[Rate type]],OP_Rates!$C139),8))),0,1))</f>
        <v>-</v>
      </c>
      <c r="J139" s="123" t="str" cm="1">
        <f t="array" ref="J139">IF(J104="-","-",
IF(ROUND(J104,8)=
IF($F139="Network",
IF($C139&lt;&gt;"Controlled load",
ROUND(INDEX(Calc_TUR_Net_2[[Ausnet]:[United Energy]],MATCH(1,(Calc_TUR_Net_2[[Customer type]:[Customer type]]=OP_Rates!$E139)*(Calc_TUR_Net_2[[Rate type]:[Rate type]]=OP_Rates!$C139),0),MATCH(OP_Rates!J$65,Calc_TUR_Net_2[[#Headers],[Ausnet]:[United Energy]],0)),8),
ROUND(INDEX(Calc_TUR_NetCL_2[[Ausnet]:[United Energy]],MATCH(OP_Rates!$E139,Calc_TUR_Net_2[[Customer type]:[Customer type]],0),MATCH(OP_Rates!J$65,Calc_TUR_Net_2[[#Headers],[Ausnet]:[United Energy]],0)),8)),
IF($F139="Environmental",
ROUND(SUMIFS(Calc_TUR_ENV_2[Powercor],Calc_TUR_ENV_2[[Customer type]:[Customer type]],OP_Rates!$E139,Calc_TUR_ENV_2[[Rate type]:[Rate type]],OP_Rates!$C139),8))),0,1))</f>
        <v>-</v>
      </c>
      <c r="K139" s="123" t="str" cm="1">
        <f t="array" ref="K139">IF(K104="-","-",
IF(ROUND(K104,8)=
IF($F139="Network",
IF($C139&lt;&gt;"Controlled load",
ROUND(INDEX(Calc_TUR_Net_2[[Ausnet]:[United Energy]],MATCH(1,(Calc_TUR_Net_2[[Customer type]:[Customer type]]=OP_Rates!$E139)*(Calc_TUR_Net_2[[Rate type]:[Rate type]]=OP_Rates!$C139),0),MATCH(OP_Rates!K$65,Calc_TUR_Net_2[[#Headers],[Ausnet]:[United Energy]],0)),8),
ROUND(INDEX(Calc_TUR_NetCL_2[[Ausnet]:[United Energy]],MATCH(OP_Rates!$E139,Calc_TUR_Net_2[[Customer type]:[Customer type]],0),MATCH(OP_Rates!K$65,Calc_TUR_Net_2[[#Headers],[Ausnet]:[United Energy]],0)),8)),
IF($F139="Environmental",
ROUND(SUMIFS(Calc_TUR_ENV_2[United Energy],Calc_TUR_ENV_2[[Customer type]:[Customer type]],OP_Rates!$E139,Calc_TUR_ENV_2[[Rate type]:[Rate type]],OP_Rates!$C139),8))),0,1))</f>
        <v>-</v>
      </c>
      <c r="M139" s="39" t="s">
        <v>86</v>
      </c>
      <c r="N139" s="39" t="s">
        <v>71</v>
      </c>
      <c r="O139" s="39" t="s">
        <v>73</v>
      </c>
      <c r="P139" s="39" t="s">
        <v>87</v>
      </c>
      <c r="Q139" s="123" t="str" cm="1">
        <f t="array" ref="Q139">IF(Q104="-","-",
IF(ROUND(Q104,8)=
IF($P139="Network",
ROUND(INDEX(Calc_TUR_Net_2[[Ausnet]:[United Energy]],MATCH(1,(Calc_TUR_Net_2[[Customer type]:[Customer type]]=OP_Rates!$O139)*(Calc_TUR_Net_2[[Rate type]:[Rate type]]=OP_Rates!$M139),0),MATCH(OP_Rates!Q$65,Calc_TUR_Net_2[[#Headers],[Ausnet]:[United Energy]],0)),8),
IF($P139="Environmental",
ROUND(SUMIFS(Calc_TUR_ENV_2[Ausnet],Calc_TUR_ENV_2[[Customer type]:[Customer type]],OP_Rates!$O139,Calc_TUR_ENV_2[[Rate type]:[Rate type]],OP_Rates!$M139),8))),0,1))</f>
        <v>-</v>
      </c>
      <c r="R139" s="123" t="str" cm="1">
        <f t="array" ref="R139">IF(R104="-","-",
IF(ROUND(R104,8)=
IF($P139="Network",
ROUND(INDEX(Calc_TUR_Net_2[[Ausnet]:[United Energy]],MATCH(1,(Calc_TUR_Net_2[[Customer type]:[Customer type]]=OP_Rates!$O139)*(Calc_TUR_Net_2[[Rate type]:[Rate type]]=OP_Rates!$M139),0),MATCH(OP_Rates!R$65,Calc_TUR_Net_2[[#Headers],[Ausnet]:[United Energy]],0)),8),
IF($P139="Environmental",
ROUND(SUMIFS(Calc_TUR_ENV_2[Citipower],Calc_TUR_ENV_2[[Customer type]:[Customer type]],OP_Rates!$O139,Calc_TUR_ENV_2[[Rate type]:[Rate type]],OP_Rates!$M139),8))),0,1))</f>
        <v>-</v>
      </c>
      <c r="S139" s="123" t="str" cm="1">
        <f t="array" ref="S139">IF(S104="-","-",
IF(ROUND(S104,8)=
IF($P139="Network",
ROUND(INDEX(Calc_TUR_Net_2[[Ausnet]:[United Energy]],MATCH(1,(Calc_TUR_Net_2[[Customer type]:[Customer type]]=OP_Rates!$O139)*(Calc_TUR_Net_2[[Rate type]:[Rate type]]=OP_Rates!$M139),0),MATCH(OP_Rates!S$65,Calc_TUR_Net_2[[#Headers],[Ausnet]:[United Energy]],0)),8),
IF($P139="Environmental",
ROUND(SUMIFS(Calc_TUR_ENV_2[Jemena],Calc_TUR_ENV_2[[Customer type]:[Customer type]],OP_Rates!$O139,Calc_TUR_ENV_2[[Rate type]:[Rate type]],OP_Rates!$M139),8))),0,1))</f>
        <v>-</v>
      </c>
      <c r="T139" s="123" t="str" cm="1">
        <f t="array" ref="T139">IF(T104="-","-",
IF(ROUND(T104,8)=
IF($P139="Network",
ROUND(INDEX(Calc_TUR_Net_2[[Ausnet]:[United Energy]],MATCH(1,(Calc_TUR_Net_2[[Customer type]:[Customer type]]=OP_Rates!$O139)*(Calc_TUR_Net_2[[Rate type]:[Rate type]]=OP_Rates!$M139),0),MATCH(OP_Rates!T$65,Calc_TUR_Net_2[[#Headers],[Ausnet]:[United Energy]],0)),8),
IF($P139="Environmental",
ROUND(SUMIFS(Calc_TUR_ENV_2[Powercor],Calc_TUR_ENV_2[[Customer type]:[Customer type]],OP_Rates!$O139,Calc_TUR_ENV_2[[Rate type]:[Rate type]],OP_Rates!$M139),8))),0,1))</f>
        <v>-</v>
      </c>
      <c r="U139" s="123" t="str" cm="1">
        <f t="array" ref="U139">IF(U104="-","-",
IF(ROUND(U104,8)=
IF($P139="Network",
ROUND(INDEX(Calc_TUR_Net_2[[Ausnet]:[United Energy]],MATCH(1,(Calc_TUR_Net_2[[Customer type]:[Customer type]]=OP_Rates!$O139)*(Calc_TUR_Net_2[[Rate type]:[Rate type]]=OP_Rates!$M139),0),MATCH(OP_Rates!U$65,Calc_TUR_Net_2[[#Headers],[Ausnet]:[United Energy]],0)),8),
IF($P139="Environmental",
ROUND(SUMIFS(Calc_TUR_ENV_2[United Energy],Calc_TUR_ENV_2[[Customer type]:[Customer type]],OP_Rates!$O139,Calc_TUR_ENV_2[[Rate type]:[Rate type]],OP_Rates!$M139),8))),0,1))</f>
        <v>-</v>
      </c>
    </row>
    <row r="140" spans="3:21" ht="15.75" hidden="1" outlineLevel="2" x14ac:dyDescent="0.25">
      <c r="C140" s="39" t="s">
        <v>88</v>
      </c>
      <c r="D140" s="39" t="s">
        <v>71</v>
      </c>
      <c r="E140" s="39" t="s">
        <v>72</v>
      </c>
      <c r="F140" s="39" t="s">
        <v>87</v>
      </c>
      <c r="G140" s="123" t="str" cm="1">
        <f t="array" ref="G140">IF(G105="-","-",
IF(ROUND(G105,8)=
IF($F140="Network",
IF($C140&lt;&gt;"Controlled load",
ROUND(INDEX(Calc_TUR_Net_2[[Ausnet]:[United Energy]],MATCH(1,(Calc_TUR_Net_2[[Customer type]:[Customer type]]=OP_Rates!$E140)*(Calc_TUR_Net_2[[Rate type]:[Rate type]]=OP_Rates!$C140),0),MATCH(OP_Rates!G$65,Calc_TUR_Net_2[[#Headers],[Ausnet]:[United Energy]],0)),8),
ROUND(INDEX(Calc_TUR_NetCL_2[[Ausnet]:[United Energy]],MATCH(OP_Rates!$E140,Calc_TUR_Net_2[[Customer type]:[Customer type]],0),MATCH(OP_Rates!G$65,Calc_TUR_Net_2[[#Headers],[Ausnet]:[United Energy]],0)),8)),
IF($F140="Environmental",
ROUND(SUMIFS(Calc_TUR_ENV_2[Ausnet],Calc_TUR_ENV_2[[Customer type]:[Customer type]],OP_Rates!$E140,Calc_TUR_ENV_2[[Rate type]:[Rate type]],OP_Rates!$C140),8))),0,1))</f>
        <v>-</v>
      </c>
      <c r="H140" s="123" t="str" cm="1">
        <f t="array" ref="H140">IF(H105="-","-",
IF(ROUND(H105,8)=
IF($F140="Network",
IF($C140&lt;&gt;"Controlled load",
ROUND(INDEX(Calc_TUR_Net_2[[Ausnet]:[United Energy]],MATCH(1,(Calc_TUR_Net_2[[Customer type]:[Customer type]]=OP_Rates!$E140)*(Calc_TUR_Net_2[[Rate type]:[Rate type]]=OP_Rates!$C140),0),MATCH(OP_Rates!H$65,Calc_TUR_Net_2[[#Headers],[Ausnet]:[United Energy]],0)),8),
ROUND(INDEX(Calc_TUR_NetCL_2[[Ausnet]:[United Energy]],MATCH(OP_Rates!$E140,Calc_TUR_Net_2[[Customer type]:[Customer type]],0),MATCH(OP_Rates!H$65,Calc_TUR_Net_2[[#Headers],[Ausnet]:[United Energy]],0)),8)),
IF($F140="Environmental",
ROUND(SUMIFS(Calc_TUR_ENV_2[Citipower],Calc_TUR_ENV_2[[Customer type]:[Customer type]],OP_Rates!$E140,Calc_TUR_ENV_2[[Rate type]:[Rate type]],OP_Rates!$C140),8))),0,1))</f>
        <v>-</v>
      </c>
      <c r="I140" s="123" t="str" cm="1">
        <f t="array" ref="I140">IF(I105="-","-",
IF(ROUND(I105,8)=
IF($F140="Network",
IF($C140&lt;&gt;"Controlled load",
ROUND(INDEX(Calc_TUR_Net_2[[Ausnet]:[United Energy]],MATCH(1,(Calc_TUR_Net_2[[Customer type]:[Customer type]]=OP_Rates!$E140)*(Calc_TUR_Net_2[[Rate type]:[Rate type]]=OP_Rates!$C140),0),MATCH(OP_Rates!I$65,Calc_TUR_Net_2[[#Headers],[Ausnet]:[United Energy]],0)),8),
ROUND(INDEX(Calc_TUR_NetCL_2[[Ausnet]:[United Energy]],MATCH(OP_Rates!$E140,Calc_TUR_Net_2[[Customer type]:[Customer type]],0),MATCH(OP_Rates!I$65,Calc_TUR_Net_2[[#Headers],[Ausnet]:[United Energy]],0)),8)),
IF($F140="Environmental",
ROUND(SUMIFS(Calc_TUR_ENV_2[Jemena],Calc_TUR_ENV_2[[Customer type]:[Customer type]],OP_Rates!$E140,Calc_TUR_ENV_2[[Rate type]:[Rate type]],OP_Rates!$C140),8))),0,1))</f>
        <v>-</v>
      </c>
      <c r="J140" s="123" t="str" cm="1">
        <f t="array" ref="J140">IF(J105="-","-",
IF(ROUND(J105,8)=
IF($F140="Network",
IF($C140&lt;&gt;"Controlled load",
ROUND(INDEX(Calc_TUR_Net_2[[Ausnet]:[United Energy]],MATCH(1,(Calc_TUR_Net_2[[Customer type]:[Customer type]]=OP_Rates!$E140)*(Calc_TUR_Net_2[[Rate type]:[Rate type]]=OP_Rates!$C140),0),MATCH(OP_Rates!J$65,Calc_TUR_Net_2[[#Headers],[Ausnet]:[United Energy]],0)),8),
ROUND(INDEX(Calc_TUR_NetCL_2[[Ausnet]:[United Energy]],MATCH(OP_Rates!$E140,Calc_TUR_Net_2[[Customer type]:[Customer type]],0),MATCH(OP_Rates!J$65,Calc_TUR_Net_2[[#Headers],[Ausnet]:[United Energy]],0)),8)),
IF($F140="Environmental",
ROUND(SUMIFS(Calc_TUR_ENV_2[Powercor],Calc_TUR_ENV_2[[Customer type]:[Customer type]],OP_Rates!$E140,Calc_TUR_ENV_2[[Rate type]:[Rate type]],OP_Rates!$C140),8))),0,1))</f>
        <v>-</v>
      </c>
      <c r="K140" s="123" t="str" cm="1">
        <f t="array" ref="K140">IF(K105="-","-",
IF(ROUND(K105,8)=
IF($F140="Network",
IF($C140&lt;&gt;"Controlled load",
ROUND(INDEX(Calc_TUR_Net_2[[Ausnet]:[United Energy]],MATCH(1,(Calc_TUR_Net_2[[Customer type]:[Customer type]]=OP_Rates!$E140)*(Calc_TUR_Net_2[[Rate type]:[Rate type]]=OP_Rates!$C140),0),MATCH(OP_Rates!K$65,Calc_TUR_Net_2[[#Headers],[Ausnet]:[United Energy]],0)),8),
ROUND(INDEX(Calc_TUR_NetCL_2[[Ausnet]:[United Energy]],MATCH(OP_Rates!$E140,Calc_TUR_Net_2[[Customer type]:[Customer type]],0),MATCH(OP_Rates!K$65,Calc_TUR_Net_2[[#Headers],[Ausnet]:[United Energy]],0)),8)),
IF($F140="Environmental",
ROUND(SUMIFS(Calc_TUR_ENV_2[United Energy],Calc_TUR_ENV_2[[Customer type]:[Customer type]],OP_Rates!$E140,Calc_TUR_ENV_2[[Rate type]:[Rate type]],OP_Rates!$C140),8))),0,1))</f>
        <v>-</v>
      </c>
      <c r="M140" s="39" t="s">
        <v>88</v>
      </c>
      <c r="N140" s="39" t="s">
        <v>71</v>
      </c>
      <c r="O140" s="39" t="s">
        <v>73</v>
      </c>
      <c r="P140" s="39" t="s">
        <v>87</v>
      </c>
      <c r="Q140" s="123" t="str" cm="1">
        <f t="array" ref="Q140">IF(Q105="-","-",
IF(ROUND(Q105,8)=
IF($P140="Network",
ROUND(INDEX(Calc_TUR_Net_2[[Ausnet]:[United Energy]],MATCH(1,(Calc_TUR_Net_2[[Customer type]:[Customer type]]=OP_Rates!$O140)*(Calc_TUR_Net_2[[Rate type]:[Rate type]]=OP_Rates!$M140),0),MATCH(OP_Rates!Q$65,Calc_TUR_Net_2[[#Headers],[Ausnet]:[United Energy]],0)),8),
IF($P140="Environmental",
ROUND(SUMIFS(Calc_TUR_ENV_2[Ausnet],Calc_TUR_ENV_2[[Customer type]:[Customer type]],OP_Rates!$O140,Calc_TUR_ENV_2[[Rate type]:[Rate type]],OP_Rates!$M140),8))),0,1))</f>
        <v>-</v>
      </c>
      <c r="R140" s="123" t="str" cm="1">
        <f t="array" ref="R140">IF(R105="-","-",
IF(ROUND(R105,8)=
IF($P140="Network",
ROUND(INDEX(Calc_TUR_Net_2[[Ausnet]:[United Energy]],MATCH(1,(Calc_TUR_Net_2[[Customer type]:[Customer type]]=OP_Rates!$O140)*(Calc_TUR_Net_2[[Rate type]:[Rate type]]=OP_Rates!$M140),0),MATCH(OP_Rates!R$65,Calc_TUR_Net_2[[#Headers],[Ausnet]:[United Energy]],0)),8),
IF($P140="Environmental",
ROUND(SUMIFS(Calc_TUR_ENV_2[Citipower],Calc_TUR_ENV_2[[Customer type]:[Customer type]],OP_Rates!$O140,Calc_TUR_ENV_2[[Rate type]:[Rate type]],OP_Rates!$M140),8))),0,1))</f>
        <v>-</v>
      </c>
      <c r="S140" s="123" t="str" cm="1">
        <f t="array" ref="S140">IF(S105="-","-",
IF(ROUND(S105,8)=
IF($P140="Network",
ROUND(INDEX(Calc_TUR_Net_2[[Ausnet]:[United Energy]],MATCH(1,(Calc_TUR_Net_2[[Customer type]:[Customer type]]=OP_Rates!$O140)*(Calc_TUR_Net_2[[Rate type]:[Rate type]]=OP_Rates!$M140),0),MATCH(OP_Rates!S$65,Calc_TUR_Net_2[[#Headers],[Ausnet]:[United Energy]],0)),8),
IF($P140="Environmental",
ROUND(SUMIFS(Calc_TUR_ENV_2[Jemena],Calc_TUR_ENV_2[[Customer type]:[Customer type]],OP_Rates!$O140,Calc_TUR_ENV_2[[Rate type]:[Rate type]],OP_Rates!$M140),8))),0,1))</f>
        <v>-</v>
      </c>
      <c r="T140" s="123" t="str" cm="1">
        <f t="array" ref="T140">IF(T105="-","-",
IF(ROUND(T105,8)=
IF($P140="Network",
ROUND(INDEX(Calc_TUR_Net_2[[Ausnet]:[United Energy]],MATCH(1,(Calc_TUR_Net_2[[Customer type]:[Customer type]]=OP_Rates!$O140)*(Calc_TUR_Net_2[[Rate type]:[Rate type]]=OP_Rates!$M140),0),MATCH(OP_Rates!T$65,Calc_TUR_Net_2[[#Headers],[Ausnet]:[United Energy]],0)),8),
IF($P140="Environmental",
ROUND(SUMIFS(Calc_TUR_ENV_2[Powercor],Calc_TUR_ENV_2[[Customer type]:[Customer type]],OP_Rates!$O140,Calc_TUR_ENV_2[[Rate type]:[Rate type]],OP_Rates!$M140),8))),0,1))</f>
        <v>-</v>
      </c>
      <c r="U140" s="123" t="str" cm="1">
        <f t="array" ref="U140">IF(U105="-","-",
IF(ROUND(U105,8)=
IF($P140="Network",
ROUND(INDEX(Calc_TUR_Net_2[[Ausnet]:[United Energy]],MATCH(1,(Calc_TUR_Net_2[[Customer type]:[Customer type]]=OP_Rates!$O140)*(Calc_TUR_Net_2[[Rate type]:[Rate type]]=OP_Rates!$M140),0),MATCH(OP_Rates!U$65,Calc_TUR_Net_2[[#Headers],[Ausnet]:[United Energy]],0)),8),
IF($P140="Environmental",
ROUND(SUMIFS(Calc_TUR_ENV_2[United Energy],Calc_TUR_ENV_2[[Customer type]:[Customer type]],OP_Rates!$O140,Calc_TUR_ENV_2[[Rate type]:[Rate type]],OP_Rates!$M140),8))),0,1))</f>
        <v>-</v>
      </c>
    </row>
    <row r="141" spans="3:21" ht="15.75" hidden="1" outlineLevel="2" x14ac:dyDescent="0.25">
      <c r="C141" s="39" t="s">
        <v>81</v>
      </c>
      <c r="D141" s="39" t="s">
        <v>75</v>
      </c>
      <c r="E141" s="39" t="s">
        <v>72</v>
      </c>
      <c r="F141" s="39" t="s">
        <v>87</v>
      </c>
      <c r="G141" s="123" t="str" cm="1">
        <f t="array" ref="G141">IF(G106="-","-",
IF(ROUND(G106,8)=
IF($F141="Network",
IF($C141&lt;&gt;"Controlled load",
ROUND(INDEX(Calc_TUR_Net_2[[Ausnet]:[United Energy]],MATCH(1,(Calc_TUR_Net_2[[Customer type]:[Customer type]]=OP_Rates!$E141)*(Calc_TUR_Net_2[[Rate type]:[Rate type]]=OP_Rates!$C141),0),MATCH(OP_Rates!G$65,Calc_TUR_Net_2[[#Headers],[Ausnet]:[United Energy]],0)),8),
ROUND(INDEX(Calc_TUR_NetCL_2[[Ausnet]:[United Energy]],MATCH(OP_Rates!$E141,Calc_TUR_Net_2[[Customer type]:[Customer type]],0),MATCH(OP_Rates!G$65,Calc_TUR_Net_2[[#Headers],[Ausnet]:[United Energy]],0)),8)),
IF($F141="Environmental",
ROUND(SUMIFS(Calc_TUR_ENV_2[Ausnet],Calc_TUR_ENV_2[[Customer type]:[Customer type]],OP_Rates!$E141,Calc_TUR_ENV_2[[Rate type]:[Rate type]],OP_Rates!$C141),8))),0,1))</f>
        <v>-</v>
      </c>
      <c r="H141" s="123" t="str" cm="1">
        <f t="array" ref="H141">IF(H106="-","-",
IF(ROUND(H106,8)=
IF($F141="Network",
IF($C141&lt;&gt;"Controlled load",
ROUND(INDEX(Calc_TUR_Net_2[[Ausnet]:[United Energy]],MATCH(1,(Calc_TUR_Net_2[[Customer type]:[Customer type]]=OP_Rates!$E141)*(Calc_TUR_Net_2[[Rate type]:[Rate type]]=OP_Rates!$C141),0),MATCH(OP_Rates!H$65,Calc_TUR_Net_2[[#Headers],[Ausnet]:[United Energy]],0)),8),
ROUND(INDEX(Calc_TUR_NetCL_2[[Ausnet]:[United Energy]],MATCH(OP_Rates!$E141,Calc_TUR_Net_2[[Customer type]:[Customer type]],0),MATCH(OP_Rates!H$65,Calc_TUR_Net_2[[#Headers],[Ausnet]:[United Energy]],0)),8)),
IF($F141="Environmental",
ROUND(SUMIFS(Calc_TUR_ENV_2[Citipower],Calc_TUR_ENV_2[[Customer type]:[Customer type]],OP_Rates!$E141,Calc_TUR_ENV_2[[Rate type]:[Rate type]],OP_Rates!$C141),8))),0,1))</f>
        <v>-</v>
      </c>
      <c r="I141" s="123" t="str" cm="1">
        <f t="array" ref="I141">IF(I106="-","-",
IF(ROUND(I106,8)=
IF($F141="Network",
IF($C141&lt;&gt;"Controlled load",
ROUND(INDEX(Calc_TUR_Net_2[[Ausnet]:[United Energy]],MATCH(1,(Calc_TUR_Net_2[[Customer type]:[Customer type]]=OP_Rates!$E141)*(Calc_TUR_Net_2[[Rate type]:[Rate type]]=OP_Rates!$C141),0),MATCH(OP_Rates!I$65,Calc_TUR_Net_2[[#Headers],[Ausnet]:[United Energy]],0)),8),
ROUND(INDEX(Calc_TUR_NetCL_2[[Ausnet]:[United Energy]],MATCH(OP_Rates!$E141,Calc_TUR_Net_2[[Customer type]:[Customer type]],0),MATCH(OP_Rates!I$65,Calc_TUR_Net_2[[#Headers],[Ausnet]:[United Energy]],0)),8)),
IF($F141="Environmental",
ROUND(SUMIFS(Calc_TUR_ENV_2[Jemena],Calc_TUR_ENV_2[[Customer type]:[Customer type]],OP_Rates!$E141,Calc_TUR_ENV_2[[Rate type]:[Rate type]],OP_Rates!$C141),8))),0,1))</f>
        <v>-</v>
      </c>
      <c r="J141" s="123" t="str" cm="1">
        <f t="array" ref="J141">IF(J106="-","-",
IF(ROUND(J106,8)=
IF($F141="Network",
IF($C141&lt;&gt;"Controlled load",
ROUND(INDEX(Calc_TUR_Net_2[[Ausnet]:[United Energy]],MATCH(1,(Calc_TUR_Net_2[[Customer type]:[Customer type]]=OP_Rates!$E141)*(Calc_TUR_Net_2[[Rate type]:[Rate type]]=OP_Rates!$C141),0),MATCH(OP_Rates!J$65,Calc_TUR_Net_2[[#Headers],[Ausnet]:[United Energy]],0)),8),
ROUND(INDEX(Calc_TUR_NetCL_2[[Ausnet]:[United Energy]],MATCH(OP_Rates!$E141,Calc_TUR_Net_2[[Customer type]:[Customer type]],0),MATCH(OP_Rates!J$65,Calc_TUR_Net_2[[#Headers],[Ausnet]:[United Energy]],0)),8)),
IF($F141="Environmental",
ROUND(SUMIFS(Calc_TUR_ENV_2[Powercor],Calc_TUR_ENV_2[[Customer type]:[Customer type]],OP_Rates!$E141,Calc_TUR_ENV_2[[Rate type]:[Rate type]],OP_Rates!$C141),8))),0,1))</f>
        <v>-</v>
      </c>
      <c r="K141" s="123" t="str" cm="1">
        <f t="array" ref="K141">IF(K106="-","-",
IF(ROUND(K106,8)=
IF($F141="Network",
IF($C141&lt;&gt;"Controlled load",
ROUND(INDEX(Calc_TUR_Net_2[[Ausnet]:[United Energy]],MATCH(1,(Calc_TUR_Net_2[[Customer type]:[Customer type]]=OP_Rates!$E141)*(Calc_TUR_Net_2[[Rate type]:[Rate type]]=OP_Rates!$C141),0),MATCH(OP_Rates!K$65,Calc_TUR_Net_2[[#Headers],[Ausnet]:[United Energy]],0)),8),
ROUND(INDEX(Calc_TUR_NetCL_2[[Ausnet]:[United Energy]],MATCH(OP_Rates!$E141,Calc_TUR_Net_2[[Customer type]:[Customer type]],0),MATCH(OP_Rates!K$65,Calc_TUR_Net_2[[#Headers],[Ausnet]:[United Energy]],0)),8)),
IF($F141="Environmental",
ROUND(SUMIFS(Calc_TUR_ENV_2[United Energy],Calc_TUR_ENV_2[[Customer type]:[Customer type]],OP_Rates!$E141,Calc_TUR_ENV_2[[Rate type]:[Rate type]],OP_Rates!$C141),8))),0,1))</f>
        <v>-</v>
      </c>
      <c r="M141" s="39" t="s">
        <v>81</v>
      </c>
      <c r="N141" s="39"/>
      <c r="O141" s="39"/>
      <c r="P141" s="39"/>
      <c r="Q141" s="123" t="str" cm="1">
        <f t="array" ref="Q141">IF(Q106="-","-",
IF(ROUND(Q106,8)=
IF($P141="Network",
ROUND(INDEX(Calc_TUR_Net_2[[Ausnet]:[United Energy]],MATCH(1,(Calc_TUR_Net_2[[Customer type]:[Customer type]]=OP_Rates!$O141)*(Calc_TUR_Net_2[[Rate type]:[Rate type]]=OP_Rates!$M141),0),MATCH(OP_Rates!Q$65,Calc_TUR_Net_2[[#Headers],[Ausnet]:[United Energy]],0)),8),
IF($P141="Environmental",
ROUND(SUMIFS(Calc_TUR_ENV_2[Ausnet],Calc_TUR_ENV_2[[Customer type]:[Customer type]],OP_Rates!$O141,Calc_TUR_ENV_2[[Rate type]:[Rate type]],OP_Rates!$M141),8))),0,1))</f>
        <v>-</v>
      </c>
      <c r="R141" s="123" t="str" cm="1">
        <f t="array" ref="R141">IF(R106="-","-",
IF(ROUND(R106,8)=
IF($P141="Network",
ROUND(INDEX(Calc_TUR_Net_2[[Ausnet]:[United Energy]],MATCH(1,(Calc_TUR_Net_2[[Customer type]:[Customer type]]=OP_Rates!$O141)*(Calc_TUR_Net_2[[Rate type]:[Rate type]]=OP_Rates!$M141),0),MATCH(OP_Rates!R$65,Calc_TUR_Net_2[[#Headers],[Ausnet]:[United Energy]],0)),8),
IF($P141="Environmental",
ROUND(SUMIFS(Calc_TUR_ENV_2[Citipower],Calc_TUR_ENV_2[[Customer type]:[Customer type]],OP_Rates!$O141,Calc_TUR_ENV_2[[Rate type]:[Rate type]],OP_Rates!$M141),8))),0,1))</f>
        <v>-</v>
      </c>
      <c r="S141" s="123" t="str" cm="1">
        <f t="array" ref="S141">IF(S106="-","-",
IF(ROUND(S106,8)=
IF($P141="Network",
ROUND(INDEX(Calc_TUR_Net_2[[Ausnet]:[United Energy]],MATCH(1,(Calc_TUR_Net_2[[Customer type]:[Customer type]]=OP_Rates!$O141)*(Calc_TUR_Net_2[[Rate type]:[Rate type]]=OP_Rates!$M141),0),MATCH(OP_Rates!S$65,Calc_TUR_Net_2[[#Headers],[Ausnet]:[United Energy]],0)),8),
IF($P141="Environmental",
ROUND(SUMIFS(Calc_TUR_ENV_2[Jemena],Calc_TUR_ENV_2[[Customer type]:[Customer type]],OP_Rates!$O141,Calc_TUR_ENV_2[[Rate type]:[Rate type]],OP_Rates!$M141),8))),0,1))</f>
        <v>-</v>
      </c>
      <c r="T141" s="123" t="str" cm="1">
        <f t="array" ref="T141">IF(T106="-","-",
IF(ROUND(T106,8)=
IF($P141="Network",
ROUND(INDEX(Calc_TUR_Net_2[[Ausnet]:[United Energy]],MATCH(1,(Calc_TUR_Net_2[[Customer type]:[Customer type]]=OP_Rates!$O141)*(Calc_TUR_Net_2[[Rate type]:[Rate type]]=OP_Rates!$M141),0),MATCH(OP_Rates!T$65,Calc_TUR_Net_2[[#Headers],[Ausnet]:[United Energy]],0)),8),
IF($P141="Environmental",
ROUND(SUMIFS(Calc_TUR_ENV_2[Powercor],Calc_TUR_ENV_2[[Customer type]:[Customer type]],OP_Rates!$O141,Calc_TUR_ENV_2[[Rate type]:[Rate type]],OP_Rates!$M141),8))),0,1))</f>
        <v>-</v>
      </c>
      <c r="U141" s="123" t="str" cm="1">
        <f t="array" ref="U141">IF(U106="-","-",
IF(ROUND(U106,8)=
IF($P141="Network",
ROUND(INDEX(Calc_TUR_Net_2[[Ausnet]:[United Energy]],MATCH(1,(Calc_TUR_Net_2[[Customer type]:[Customer type]]=OP_Rates!$O141)*(Calc_TUR_Net_2[[Rate type]:[Rate type]]=OP_Rates!$M141),0),MATCH(OP_Rates!U$65,Calc_TUR_Net_2[[#Headers],[Ausnet]:[United Energy]],0)),8),
IF($P141="Environmental",
ROUND(SUMIFS(Calc_TUR_ENV_2[United Energy],Calc_TUR_ENV_2[[Customer type]:[Customer type]],OP_Rates!$O141,Calc_TUR_ENV_2[[Rate type]:[Rate type]],OP_Rates!$M141),8))),0,1))</f>
        <v>-</v>
      </c>
    </row>
    <row r="142" spans="3:21" ht="15.75" hidden="1" outlineLevel="2" x14ac:dyDescent="0.25">
      <c r="C142" s="39" t="s">
        <v>74</v>
      </c>
      <c r="D142" s="39" t="s">
        <v>75</v>
      </c>
      <c r="E142" s="39" t="s">
        <v>72</v>
      </c>
      <c r="F142" s="39" t="s">
        <v>89</v>
      </c>
      <c r="G142" s="123" cm="1">
        <f t="array" ref="G142">IF(G107="-","-",
IF(ROUND(G107,8)=
IF($F142="Network",
IF($C142&lt;&gt;"Controlled load",
ROUND(INDEX(Calc_TUR_Net_2[[Ausnet]:[United Energy]],MATCH(1,(Calc_TUR_Net_2[[Customer type]:[Customer type]]=OP_Rates!$E142)*(Calc_TUR_Net_2[[Rate type]:[Rate type]]=OP_Rates!$C142),0),MATCH(OP_Rates!G$65,Calc_TUR_Net_2[[#Headers],[Ausnet]:[United Energy]],0)),8),
ROUND(INDEX(Calc_TUR_NetCL_2[[Ausnet]:[United Energy]],MATCH(OP_Rates!$E142,Calc_TUR_Net_2[[Customer type]:[Customer type]],0),MATCH(OP_Rates!G$65,Calc_TUR_Net_2[[#Headers],[Ausnet]:[United Energy]],0)),8)),
IF($F142="Environmental",
ROUND(SUMIFS(Calc_TUR_ENV_2[Ausnet],Calc_TUR_ENV_2[[Customer type]:[Customer type]],OP_Rates!$E142,Calc_TUR_ENV_2[[Rate type]:[Rate type]],OP_Rates!$C142),8))),0,1))</f>
        <v>0</v>
      </c>
      <c r="H142" s="123" cm="1">
        <f t="array" ref="H142">IF(H107="-","-",
IF(ROUND(H107,8)=
IF($F142="Network",
IF($C142&lt;&gt;"Controlled load",
ROUND(INDEX(Calc_TUR_Net_2[[Ausnet]:[United Energy]],MATCH(1,(Calc_TUR_Net_2[[Customer type]:[Customer type]]=OP_Rates!$E142)*(Calc_TUR_Net_2[[Rate type]:[Rate type]]=OP_Rates!$C142),0),MATCH(OP_Rates!H$65,Calc_TUR_Net_2[[#Headers],[Ausnet]:[United Energy]],0)),8),
ROUND(INDEX(Calc_TUR_NetCL_2[[Ausnet]:[United Energy]],MATCH(OP_Rates!$E142,Calc_TUR_Net_2[[Customer type]:[Customer type]],0),MATCH(OP_Rates!H$65,Calc_TUR_Net_2[[#Headers],[Ausnet]:[United Energy]],0)),8)),
IF($F142="Environmental",
ROUND(SUMIFS(Calc_TUR_ENV_2[Citipower],Calc_TUR_ENV_2[[Customer type]:[Customer type]],OP_Rates!$E142,Calc_TUR_ENV_2[[Rate type]:[Rate type]],OP_Rates!$C142),8))),0,1))</f>
        <v>0</v>
      </c>
      <c r="I142" s="123" cm="1">
        <f t="array" ref="I142">IF(I107="-","-",
IF(ROUND(I107,8)=
IF($F142="Network",
IF($C142&lt;&gt;"Controlled load",
ROUND(INDEX(Calc_TUR_Net_2[[Ausnet]:[United Energy]],MATCH(1,(Calc_TUR_Net_2[[Customer type]:[Customer type]]=OP_Rates!$E142)*(Calc_TUR_Net_2[[Rate type]:[Rate type]]=OP_Rates!$C142),0),MATCH(OP_Rates!I$65,Calc_TUR_Net_2[[#Headers],[Ausnet]:[United Energy]],0)),8),
ROUND(INDEX(Calc_TUR_NetCL_2[[Ausnet]:[United Energy]],MATCH(OP_Rates!$E142,Calc_TUR_Net_2[[Customer type]:[Customer type]],0),MATCH(OP_Rates!I$65,Calc_TUR_Net_2[[#Headers],[Ausnet]:[United Energy]],0)),8)),
IF($F142="Environmental",
ROUND(SUMIFS(Calc_TUR_ENV_2[Jemena],Calc_TUR_ENV_2[[Customer type]:[Customer type]],OP_Rates!$E142,Calc_TUR_ENV_2[[Rate type]:[Rate type]],OP_Rates!$C142),8))),0,1))</f>
        <v>0</v>
      </c>
      <c r="J142" s="123" cm="1">
        <f t="array" ref="J142">IF(J107="-","-",
IF(ROUND(J107,8)=
IF($F142="Network",
IF($C142&lt;&gt;"Controlled load",
ROUND(INDEX(Calc_TUR_Net_2[[Ausnet]:[United Energy]],MATCH(1,(Calc_TUR_Net_2[[Customer type]:[Customer type]]=OP_Rates!$E142)*(Calc_TUR_Net_2[[Rate type]:[Rate type]]=OP_Rates!$C142),0),MATCH(OP_Rates!J$65,Calc_TUR_Net_2[[#Headers],[Ausnet]:[United Energy]],0)),8),
ROUND(INDEX(Calc_TUR_NetCL_2[[Ausnet]:[United Energy]],MATCH(OP_Rates!$E142,Calc_TUR_Net_2[[Customer type]:[Customer type]],0),MATCH(OP_Rates!J$65,Calc_TUR_Net_2[[#Headers],[Ausnet]:[United Energy]],0)),8)),
IF($F142="Environmental",
ROUND(SUMIFS(Calc_TUR_ENV_2[Powercor],Calc_TUR_ENV_2[[Customer type]:[Customer type]],OP_Rates!$E142,Calc_TUR_ENV_2[[Rate type]:[Rate type]],OP_Rates!$C142),8))),0,1))</f>
        <v>0</v>
      </c>
      <c r="K142" s="123" cm="1">
        <f t="array" ref="K142">IF(K107="-","-",
IF(ROUND(K107,8)=
IF($F142="Network",
IF($C142&lt;&gt;"Controlled load",
ROUND(INDEX(Calc_TUR_Net_2[[Ausnet]:[United Energy]],MATCH(1,(Calc_TUR_Net_2[[Customer type]:[Customer type]]=OP_Rates!$E142)*(Calc_TUR_Net_2[[Rate type]:[Rate type]]=OP_Rates!$C142),0),MATCH(OP_Rates!K$65,Calc_TUR_Net_2[[#Headers],[Ausnet]:[United Energy]],0)),8),
ROUND(INDEX(Calc_TUR_NetCL_2[[Ausnet]:[United Energy]],MATCH(OP_Rates!$E142,Calc_TUR_Net_2[[Customer type]:[Customer type]],0),MATCH(OP_Rates!K$65,Calc_TUR_Net_2[[#Headers],[Ausnet]:[United Energy]],0)),8)),
IF($F142="Environmental",
ROUND(SUMIFS(Calc_TUR_ENV_2[United Energy],Calc_TUR_ENV_2[[Customer type]:[Customer type]],OP_Rates!$E142,Calc_TUR_ENV_2[[Rate type]:[Rate type]],OP_Rates!$C142),8))),0,1))</f>
        <v>0</v>
      </c>
      <c r="M142" s="39" t="s">
        <v>74</v>
      </c>
      <c r="N142" s="39" t="s">
        <v>75</v>
      </c>
      <c r="O142" s="39" t="s">
        <v>73</v>
      </c>
      <c r="P142" s="39" t="s">
        <v>89</v>
      </c>
      <c r="Q142" s="123" cm="1">
        <f t="array" ref="Q142">IF(Q107="-","-",
IF(ROUND(Q107,8)=
IF($P142="Network",
ROUND(INDEX(Calc_TUR_Net_2[[Ausnet]:[United Energy]],MATCH(1,(Calc_TUR_Net_2[[Customer type]:[Customer type]]=OP_Rates!$O142)*(Calc_TUR_Net_2[[Rate type]:[Rate type]]=OP_Rates!$M142),0),MATCH(OP_Rates!Q$65,Calc_TUR_Net_2[[#Headers],[Ausnet]:[United Energy]],0)),8),
IF($P142="Environmental",
ROUND(SUMIFS(Calc_TUR_ENV_2[Ausnet],Calc_TUR_ENV_2[[Customer type]:[Customer type]],OP_Rates!$O142,Calc_TUR_ENV_2[[Rate type]:[Rate type]],OP_Rates!$M142),8))),0,1))</f>
        <v>0</v>
      </c>
      <c r="R142" s="123" cm="1">
        <f t="array" ref="R142">IF(R107="-","-",
IF(ROUND(R107,8)=
IF($P142="Network",
ROUND(INDEX(Calc_TUR_Net_2[[Ausnet]:[United Energy]],MATCH(1,(Calc_TUR_Net_2[[Customer type]:[Customer type]]=OP_Rates!$O142)*(Calc_TUR_Net_2[[Rate type]:[Rate type]]=OP_Rates!$M142),0),MATCH(OP_Rates!R$65,Calc_TUR_Net_2[[#Headers],[Ausnet]:[United Energy]],0)),8),
IF($P142="Environmental",
ROUND(SUMIFS(Calc_TUR_ENV_2[Citipower],Calc_TUR_ENV_2[[Customer type]:[Customer type]],OP_Rates!$O142,Calc_TUR_ENV_2[[Rate type]:[Rate type]],OP_Rates!$M142),8))),0,1))</f>
        <v>0</v>
      </c>
      <c r="S142" s="123" cm="1">
        <f t="array" ref="S142">IF(S107="-","-",
IF(ROUND(S107,8)=
IF($P142="Network",
ROUND(INDEX(Calc_TUR_Net_2[[Ausnet]:[United Energy]],MATCH(1,(Calc_TUR_Net_2[[Customer type]:[Customer type]]=OP_Rates!$O142)*(Calc_TUR_Net_2[[Rate type]:[Rate type]]=OP_Rates!$M142),0),MATCH(OP_Rates!S$65,Calc_TUR_Net_2[[#Headers],[Ausnet]:[United Energy]],0)),8),
IF($P142="Environmental",
ROUND(SUMIFS(Calc_TUR_ENV_2[Jemena],Calc_TUR_ENV_2[[Customer type]:[Customer type]],OP_Rates!$O142,Calc_TUR_ENV_2[[Rate type]:[Rate type]],OP_Rates!$M142),8))),0,1))</f>
        <v>0</v>
      </c>
      <c r="T142" s="123" cm="1">
        <f t="array" ref="T142">IF(T107="-","-",
IF(ROUND(T107,8)=
IF($P142="Network",
ROUND(INDEX(Calc_TUR_Net_2[[Ausnet]:[United Energy]],MATCH(1,(Calc_TUR_Net_2[[Customer type]:[Customer type]]=OP_Rates!$O142)*(Calc_TUR_Net_2[[Rate type]:[Rate type]]=OP_Rates!$M142),0),MATCH(OP_Rates!T$65,Calc_TUR_Net_2[[#Headers],[Ausnet]:[United Energy]],0)),8),
IF($P142="Environmental",
ROUND(SUMIFS(Calc_TUR_ENV_2[Powercor],Calc_TUR_ENV_2[[Customer type]:[Customer type]],OP_Rates!$O142,Calc_TUR_ENV_2[[Rate type]:[Rate type]],OP_Rates!$M142),8))),0,1))</f>
        <v>0</v>
      </c>
      <c r="U142" s="123" cm="1">
        <f t="array" ref="U142">IF(U107="-","-",
IF(ROUND(U107,8)=
IF($P142="Network",
ROUND(INDEX(Calc_TUR_Net_2[[Ausnet]:[United Energy]],MATCH(1,(Calc_TUR_Net_2[[Customer type]:[Customer type]]=OP_Rates!$O142)*(Calc_TUR_Net_2[[Rate type]:[Rate type]]=OP_Rates!$M142),0),MATCH(OP_Rates!U$65,Calc_TUR_Net_2[[#Headers],[Ausnet]:[United Energy]],0)),8),
IF($P142="Environmental",
ROUND(SUMIFS(Calc_TUR_ENV_2[United Energy],Calc_TUR_ENV_2[[Customer type]:[Customer type]],OP_Rates!$O142,Calc_TUR_ENV_2[[Rate type]:[Rate type]],OP_Rates!$M142),8))),0,1))</f>
        <v>0</v>
      </c>
    </row>
    <row r="143" spans="3:21" ht="15.75" hidden="1" outlineLevel="2" x14ac:dyDescent="0.25">
      <c r="C143" s="39" t="s">
        <v>76</v>
      </c>
      <c r="D143" s="39" t="s">
        <v>75</v>
      </c>
      <c r="E143" s="39" t="s">
        <v>72</v>
      </c>
      <c r="F143" s="39" t="s">
        <v>89</v>
      </c>
      <c r="G143" s="123" cm="1">
        <f t="array" ref="G143">IF(G108="-","-",
IF(ROUND(G108,8)=
IF($F143="Network",
IF($C143&lt;&gt;"Controlled load",
ROUND(INDEX(Calc_TUR_Net_2[[Ausnet]:[United Energy]],MATCH(1,(Calc_TUR_Net_2[[Customer type]:[Customer type]]=OP_Rates!$E143)*(Calc_TUR_Net_2[[Rate type]:[Rate type]]=OP_Rates!$C143),0),MATCH(OP_Rates!G$65,Calc_TUR_Net_2[[#Headers],[Ausnet]:[United Energy]],0)),8),
ROUND(INDEX(Calc_TUR_NetCL_2[[Ausnet]:[United Energy]],MATCH(OP_Rates!$E143,Calc_TUR_Net_2[[Customer type]:[Customer type]],0),MATCH(OP_Rates!G$65,Calc_TUR_Net_2[[#Headers],[Ausnet]:[United Energy]],0)),8)),
IF($F143="Environmental",
ROUND(SUMIFS(Calc_TUR_ENV_2[Ausnet],Calc_TUR_ENV_2[[Customer type]:[Customer type]],OP_Rates!$E143,Calc_TUR_ENV_2[[Rate type]:[Rate type]],OP_Rates!$C143),8))),0,1))</f>
        <v>0</v>
      </c>
      <c r="H143" s="123" cm="1">
        <f t="array" ref="H143">IF(H108="-","-",
IF(ROUND(H108,8)=
IF($F143="Network",
IF($C143&lt;&gt;"Controlled load",
ROUND(INDEX(Calc_TUR_Net_2[[Ausnet]:[United Energy]],MATCH(1,(Calc_TUR_Net_2[[Customer type]:[Customer type]]=OP_Rates!$E143)*(Calc_TUR_Net_2[[Rate type]:[Rate type]]=OP_Rates!$C143),0),MATCH(OP_Rates!H$65,Calc_TUR_Net_2[[#Headers],[Ausnet]:[United Energy]],0)),8),
ROUND(INDEX(Calc_TUR_NetCL_2[[Ausnet]:[United Energy]],MATCH(OP_Rates!$E143,Calc_TUR_Net_2[[Customer type]:[Customer type]],0),MATCH(OP_Rates!H$65,Calc_TUR_Net_2[[#Headers],[Ausnet]:[United Energy]],0)),8)),
IF($F143="Environmental",
ROUND(SUMIFS(Calc_TUR_ENV_2[Citipower],Calc_TUR_ENV_2[[Customer type]:[Customer type]],OP_Rates!$E143,Calc_TUR_ENV_2[[Rate type]:[Rate type]],OP_Rates!$C143),8))),0,1))</f>
        <v>0</v>
      </c>
      <c r="I143" s="123" cm="1">
        <f t="array" ref="I143">IF(I108="-","-",
IF(ROUND(I108,8)=
IF($F143="Network",
IF($C143&lt;&gt;"Controlled load",
ROUND(INDEX(Calc_TUR_Net_2[[Ausnet]:[United Energy]],MATCH(1,(Calc_TUR_Net_2[[Customer type]:[Customer type]]=OP_Rates!$E143)*(Calc_TUR_Net_2[[Rate type]:[Rate type]]=OP_Rates!$C143),0),MATCH(OP_Rates!I$65,Calc_TUR_Net_2[[#Headers],[Ausnet]:[United Energy]],0)),8),
ROUND(INDEX(Calc_TUR_NetCL_2[[Ausnet]:[United Energy]],MATCH(OP_Rates!$E143,Calc_TUR_Net_2[[Customer type]:[Customer type]],0),MATCH(OP_Rates!I$65,Calc_TUR_Net_2[[#Headers],[Ausnet]:[United Energy]],0)),8)),
IF($F143="Environmental",
ROUND(SUMIFS(Calc_TUR_ENV_2[Jemena],Calc_TUR_ENV_2[[Customer type]:[Customer type]],OP_Rates!$E143,Calc_TUR_ENV_2[[Rate type]:[Rate type]],OP_Rates!$C143),8))),0,1))</f>
        <v>0</v>
      </c>
      <c r="J143" s="123" cm="1">
        <f t="array" ref="J143">IF(J108="-","-",
IF(ROUND(J108,8)=
IF($F143="Network",
IF($C143&lt;&gt;"Controlled load",
ROUND(INDEX(Calc_TUR_Net_2[[Ausnet]:[United Energy]],MATCH(1,(Calc_TUR_Net_2[[Customer type]:[Customer type]]=OP_Rates!$E143)*(Calc_TUR_Net_2[[Rate type]:[Rate type]]=OP_Rates!$C143),0),MATCH(OP_Rates!J$65,Calc_TUR_Net_2[[#Headers],[Ausnet]:[United Energy]],0)),8),
ROUND(INDEX(Calc_TUR_NetCL_2[[Ausnet]:[United Energy]],MATCH(OP_Rates!$E143,Calc_TUR_Net_2[[Customer type]:[Customer type]],0),MATCH(OP_Rates!J$65,Calc_TUR_Net_2[[#Headers],[Ausnet]:[United Energy]],0)),8)),
IF($F143="Environmental",
ROUND(SUMIFS(Calc_TUR_ENV_2[Powercor],Calc_TUR_ENV_2[[Customer type]:[Customer type]],OP_Rates!$E143,Calc_TUR_ENV_2[[Rate type]:[Rate type]],OP_Rates!$C143),8))),0,1))</f>
        <v>0</v>
      </c>
      <c r="K143" s="123" cm="1">
        <f t="array" ref="K143">IF(K108="-","-",
IF(ROUND(K108,8)=
IF($F143="Network",
IF($C143&lt;&gt;"Controlled load",
ROUND(INDEX(Calc_TUR_Net_2[[Ausnet]:[United Energy]],MATCH(1,(Calc_TUR_Net_2[[Customer type]:[Customer type]]=OP_Rates!$E143)*(Calc_TUR_Net_2[[Rate type]:[Rate type]]=OP_Rates!$C143),0),MATCH(OP_Rates!K$65,Calc_TUR_Net_2[[#Headers],[Ausnet]:[United Energy]],0)),8),
ROUND(INDEX(Calc_TUR_NetCL_2[[Ausnet]:[United Energy]],MATCH(OP_Rates!$E143,Calc_TUR_Net_2[[Customer type]:[Customer type]],0),MATCH(OP_Rates!K$65,Calc_TUR_Net_2[[#Headers],[Ausnet]:[United Energy]],0)),8)),
IF($F143="Environmental",
ROUND(SUMIFS(Calc_TUR_ENV_2[United Energy],Calc_TUR_ENV_2[[Customer type]:[Customer type]],OP_Rates!$E143,Calc_TUR_ENV_2[[Rate type]:[Rate type]],OP_Rates!$C143),8))),0,1))</f>
        <v>0</v>
      </c>
      <c r="M143" s="39" t="s">
        <v>76</v>
      </c>
      <c r="N143" s="39" t="s">
        <v>75</v>
      </c>
      <c r="O143" s="39" t="s">
        <v>73</v>
      </c>
      <c r="P143" s="39" t="s">
        <v>89</v>
      </c>
      <c r="Q143" s="123" cm="1">
        <f t="array" ref="Q143">IF(Q108="-","-",
IF(ROUND(Q108,8)=
IF($P143="Network",
ROUND(INDEX(Calc_TUR_Net_2[[Ausnet]:[United Energy]],MATCH(1,(Calc_TUR_Net_2[[Customer type]:[Customer type]]=OP_Rates!$O143)*(Calc_TUR_Net_2[[Rate type]:[Rate type]]=OP_Rates!$M143),0),MATCH(OP_Rates!Q$65,Calc_TUR_Net_2[[#Headers],[Ausnet]:[United Energy]],0)),8),
IF($P143="Environmental",
ROUND(SUMIFS(Calc_TUR_ENV_2[Ausnet],Calc_TUR_ENV_2[[Customer type]:[Customer type]],OP_Rates!$O143,Calc_TUR_ENV_2[[Rate type]:[Rate type]],OP_Rates!$M143),8))),0,1))</f>
        <v>0</v>
      </c>
      <c r="R143" s="123" cm="1">
        <f t="array" ref="R143">IF(R108="-","-",
IF(ROUND(R108,8)=
IF($P143="Network",
ROUND(INDEX(Calc_TUR_Net_2[[Ausnet]:[United Energy]],MATCH(1,(Calc_TUR_Net_2[[Customer type]:[Customer type]]=OP_Rates!$O143)*(Calc_TUR_Net_2[[Rate type]:[Rate type]]=OP_Rates!$M143),0),MATCH(OP_Rates!R$65,Calc_TUR_Net_2[[#Headers],[Ausnet]:[United Energy]],0)),8),
IF($P143="Environmental",
ROUND(SUMIFS(Calc_TUR_ENV_2[Citipower],Calc_TUR_ENV_2[[Customer type]:[Customer type]],OP_Rates!$O143,Calc_TUR_ENV_2[[Rate type]:[Rate type]],OP_Rates!$M143),8))),0,1))</f>
        <v>0</v>
      </c>
      <c r="S143" s="123" cm="1">
        <f t="array" ref="S143">IF(S108="-","-",
IF(ROUND(S108,8)=
IF($P143="Network",
ROUND(INDEX(Calc_TUR_Net_2[[Ausnet]:[United Energy]],MATCH(1,(Calc_TUR_Net_2[[Customer type]:[Customer type]]=OP_Rates!$O143)*(Calc_TUR_Net_2[[Rate type]:[Rate type]]=OP_Rates!$M143),0),MATCH(OP_Rates!S$65,Calc_TUR_Net_2[[#Headers],[Ausnet]:[United Energy]],0)),8),
IF($P143="Environmental",
ROUND(SUMIFS(Calc_TUR_ENV_2[Jemena],Calc_TUR_ENV_2[[Customer type]:[Customer type]],OP_Rates!$O143,Calc_TUR_ENV_2[[Rate type]:[Rate type]],OP_Rates!$M143),8))),0,1))</f>
        <v>0</v>
      </c>
      <c r="T143" s="123" cm="1">
        <f t="array" ref="T143">IF(T108="-","-",
IF(ROUND(T108,8)=
IF($P143="Network",
ROUND(INDEX(Calc_TUR_Net_2[[Ausnet]:[United Energy]],MATCH(1,(Calc_TUR_Net_2[[Customer type]:[Customer type]]=OP_Rates!$O143)*(Calc_TUR_Net_2[[Rate type]:[Rate type]]=OP_Rates!$M143),0),MATCH(OP_Rates!T$65,Calc_TUR_Net_2[[#Headers],[Ausnet]:[United Energy]],0)),8),
IF($P143="Environmental",
ROUND(SUMIFS(Calc_TUR_ENV_2[Powercor],Calc_TUR_ENV_2[[Customer type]:[Customer type]],OP_Rates!$O143,Calc_TUR_ENV_2[[Rate type]:[Rate type]],OP_Rates!$M143),8))),0,1))</f>
        <v>0</v>
      </c>
      <c r="U143" s="123" cm="1">
        <f t="array" ref="U143">IF(U108="-","-",
IF(ROUND(U108,8)=
IF($P143="Network",
ROUND(INDEX(Calc_TUR_Net_2[[Ausnet]:[United Energy]],MATCH(1,(Calc_TUR_Net_2[[Customer type]:[Customer type]]=OP_Rates!$O143)*(Calc_TUR_Net_2[[Rate type]:[Rate type]]=OP_Rates!$M143),0),MATCH(OP_Rates!U$65,Calc_TUR_Net_2[[#Headers],[Ausnet]:[United Energy]],0)),8),
IF($P143="Environmental",
ROUND(SUMIFS(Calc_TUR_ENV_2[United Energy],Calc_TUR_ENV_2[[Customer type]:[Customer type]],OP_Rates!$O143,Calc_TUR_ENV_2[[Rate type]:[Rate type]],OP_Rates!$M143),8))),0,1))</f>
        <v>0</v>
      </c>
    </row>
    <row r="144" spans="3:21" ht="15.75" hidden="1" outlineLevel="2" x14ac:dyDescent="0.25">
      <c r="C144" s="39" t="s">
        <v>77</v>
      </c>
      <c r="D144" s="39" t="s">
        <v>75</v>
      </c>
      <c r="E144" s="39" t="s">
        <v>72</v>
      </c>
      <c r="F144" s="39" t="s">
        <v>89</v>
      </c>
      <c r="G144" s="123" cm="1">
        <f t="array" ref="G144">IF(G109="-","-",
IF(ROUND(G109,8)=
IF($F144="Network",
IF($C144&lt;&gt;"Controlled load",
ROUND(INDEX(Calc_TUR_Net_2[[Ausnet]:[United Energy]],MATCH(1,(Calc_TUR_Net_2[[Customer type]:[Customer type]]=OP_Rates!$E144)*(Calc_TUR_Net_2[[Rate type]:[Rate type]]=OP_Rates!$C144),0),MATCH(OP_Rates!G$65,Calc_TUR_Net_2[[#Headers],[Ausnet]:[United Energy]],0)),8),
ROUND(INDEX(Calc_TUR_NetCL_2[[Ausnet]:[United Energy]],MATCH(OP_Rates!$E144,Calc_TUR_Net_2[[Customer type]:[Customer type]],0),MATCH(OP_Rates!G$65,Calc_TUR_Net_2[[#Headers],[Ausnet]:[United Energy]],0)),8)),
IF($F144="Environmental",
ROUND(SUMIFS(Calc_TUR_ENV_2[Ausnet],Calc_TUR_ENV_2[[Customer type]:[Customer type]],OP_Rates!$E144,Calc_TUR_ENV_2[[Rate type]:[Rate type]],OP_Rates!$C144),8))),0,1))</f>
        <v>0</v>
      </c>
      <c r="H144" s="123" cm="1">
        <f t="array" ref="H144">IF(H109="-","-",
IF(ROUND(H109,8)=
IF($F144="Network",
IF($C144&lt;&gt;"Controlled load",
ROUND(INDEX(Calc_TUR_Net_2[[Ausnet]:[United Energy]],MATCH(1,(Calc_TUR_Net_2[[Customer type]:[Customer type]]=OP_Rates!$E144)*(Calc_TUR_Net_2[[Rate type]:[Rate type]]=OP_Rates!$C144),0),MATCH(OP_Rates!H$65,Calc_TUR_Net_2[[#Headers],[Ausnet]:[United Energy]],0)),8),
ROUND(INDEX(Calc_TUR_NetCL_2[[Ausnet]:[United Energy]],MATCH(OP_Rates!$E144,Calc_TUR_Net_2[[Customer type]:[Customer type]],0),MATCH(OP_Rates!H$65,Calc_TUR_Net_2[[#Headers],[Ausnet]:[United Energy]],0)),8)),
IF($F144="Environmental",
ROUND(SUMIFS(Calc_TUR_ENV_2[Citipower],Calc_TUR_ENV_2[[Customer type]:[Customer type]],OP_Rates!$E144,Calc_TUR_ENV_2[[Rate type]:[Rate type]],OP_Rates!$C144),8))),0,1))</f>
        <v>0</v>
      </c>
      <c r="I144" s="123" cm="1">
        <f t="array" ref="I144">IF(I109="-","-",
IF(ROUND(I109,8)=
IF($F144="Network",
IF($C144&lt;&gt;"Controlled load",
ROUND(INDEX(Calc_TUR_Net_2[[Ausnet]:[United Energy]],MATCH(1,(Calc_TUR_Net_2[[Customer type]:[Customer type]]=OP_Rates!$E144)*(Calc_TUR_Net_2[[Rate type]:[Rate type]]=OP_Rates!$C144),0),MATCH(OP_Rates!I$65,Calc_TUR_Net_2[[#Headers],[Ausnet]:[United Energy]],0)),8),
ROUND(INDEX(Calc_TUR_NetCL_2[[Ausnet]:[United Energy]],MATCH(OP_Rates!$E144,Calc_TUR_Net_2[[Customer type]:[Customer type]],0),MATCH(OP_Rates!I$65,Calc_TUR_Net_2[[#Headers],[Ausnet]:[United Energy]],0)),8)),
IF($F144="Environmental",
ROUND(SUMIFS(Calc_TUR_ENV_2[Jemena],Calc_TUR_ENV_2[[Customer type]:[Customer type]],OP_Rates!$E144,Calc_TUR_ENV_2[[Rate type]:[Rate type]],OP_Rates!$C144),8))),0,1))</f>
        <v>0</v>
      </c>
      <c r="J144" s="123" cm="1">
        <f t="array" ref="J144">IF(J109="-","-",
IF(ROUND(J109,8)=
IF($F144="Network",
IF($C144&lt;&gt;"Controlled load",
ROUND(INDEX(Calc_TUR_Net_2[[Ausnet]:[United Energy]],MATCH(1,(Calc_TUR_Net_2[[Customer type]:[Customer type]]=OP_Rates!$E144)*(Calc_TUR_Net_2[[Rate type]:[Rate type]]=OP_Rates!$C144),0),MATCH(OP_Rates!J$65,Calc_TUR_Net_2[[#Headers],[Ausnet]:[United Energy]],0)),8),
ROUND(INDEX(Calc_TUR_NetCL_2[[Ausnet]:[United Energy]],MATCH(OP_Rates!$E144,Calc_TUR_Net_2[[Customer type]:[Customer type]],0),MATCH(OP_Rates!J$65,Calc_TUR_Net_2[[#Headers],[Ausnet]:[United Energy]],0)),8)),
IF($F144="Environmental",
ROUND(SUMIFS(Calc_TUR_ENV_2[Powercor],Calc_TUR_ENV_2[[Customer type]:[Customer type]],OP_Rates!$E144,Calc_TUR_ENV_2[[Rate type]:[Rate type]],OP_Rates!$C144),8))),0,1))</f>
        <v>0</v>
      </c>
      <c r="K144" s="123" cm="1">
        <f t="array" ref="K144">IF(K109="-","-",
IF(ROUND(K109,8)=
IF($F144="Network",
IF($C144&lt;&gt;"Controlled load",
ROUND(INDEX(Calc_TUR_Net_2[[Ausnet]:[United Energy]],MATCH(1,(Calc_TUR_Net_2[[Customer type]:[Customer type]]=OP_Rates!$E144)*(Calc_TUR_Net_2[[Rate type]:[Rate type]]=OP_Rates!$C144),0),MATCH(OP_Rates!K$65,Calc_TUR_Net_2[[#Headers],[Ausnet]:[United Energy]],0)),8),
ROUND(INDEX(Calc_TUR_NetCL_2[[Ausnet]:[United Energy]],MATCH(OP_Rates!$E144,Calc_TUR_Net_2[[Customer type]:[Customer type]],0),MATCH(OP_Rates!K$65,Calc_TUR_Net_2[[#Headers],[Ausnet]:[United Energy]],0)),8)),
IF($F144="Environmental",
ROUND(SUMIFS(Calc_TUR_ENV_2[United Energy],Calc_TUR_ENV_2[[Customer type]:[Customer type]],OP_Rates!$E144,Calc_TUR_ENV_2[[Rate type]:[Rate type]],OP_Rates!$C144),8))),0,1))</f>
        <v>0</v>
      </c>
      <c r="M144" s="39" t="s">
        <v>77</v>
      </c>
      <c r="N144" s="39" t="s">
        <v>75</v>
      </c>
      <c r="O144" s="39" t="s">
        <v>73</v>
      </c>
      <c r="P144" s="39" t="s">
        <v>89</v>
      </c>
      <c r="Q144" s="123" cm="1">
        <f t="array" ref="Q144">IF(Q109="-","-",
IF(ROUND(Q109,8)=
IF($P144="Network",
ROUND(INDEX(Calc_TUR_Net_2[[Ausnet]:[United Energy]],MATCH(1,(Calc_TUR_Net_2[[Customer type]:[Customer type]]=OP_Rates!$O144)*(Calc_TUR_Net_2[[Rate type]:[Rate type]]=OP_Rates!$M144),0),MATCH(OP_Rates!Q$65,Calc_TUR_Net_2[[#Headers],[Ausnet]:[United Energy]],0)),8),
IF($P144="Environmental",
ROUND(SUMIFS(Calc_TUR_ENV_2[Ausnet],Calc_TUR_ENV_2[[Customer type]:[Customer type]],OP_Rates!$O144,Calc_TUR_ENV_2[[Rate type]:[Rate type]],OP_Rates!$M144),8))),0,1))</f>
        <v>0</v>
      </c>
      <c r="R144" s="123" cm="1">
        <f t="array" ref="R144">IF(R109="-","-",
IF(ROUND(R109,8)=
IF($P144="Network",
ROUND(INDEX(Calc_TUR_Net_2[[Ausnet]:[United Energy]],MATCH(1,(Calc_TUR_Net_2[[Customer type]:[Customer type]]=OP_Rates!$O144)*(Calc_TUR_Net_2[[Rate type]:[Rate type]]=OP_Rates!$M144),0),MATCH(OP_Rates!R$65,Calc_TUR_Net_2[[#Headers],[Ausnet]:[United Energy]],0)),8),
IF($P144="Environmental",
ROUND(SUMIFS(Calc_TUR_ENV_2[Citipower],Calc_TUR_ENV_2[[Customer type]:[Customer type]],OP_Rates!$O144,Calc_TUR_ENV_2[[Rate type]:[Rate type]],OP_Rates!$M144),8))),0,1))</f>
        <v>0</v>
      </c>
      <c r="S144" s="123" cm="1">
        <f t="array" ref="S144">IF(S109="-","-",
IF(ROUND(S109,8)=
IF($P144="Network",
ROUND(INDEX(Calc_TUR_Net_2[[Ausnet]:[United Energy]],MATCH(1,(Calc_TUR_Net_2[[Customer type]:[Customer type]]=OP_Rates!$O144)*(Calc_TUR_Net_2[[Rate type]:[Rate type]]=OP_Rates!$M144),0),MATCH(OP_Rates!S$65,Calc_TUR_Net_2[[#Headers],[Ausnet]:[United Energy]],0)),8),
IF($P144="Environmental",
ROUND(SUMIFS(Calc_TUR_ENV_2[Jemena],Calc_TUR_ENV_2[[Customer type]:[Customer type]],OP_Rates!$O144,Calc_TUR_ENV_2[[Rate type]:[Rate type]],OP_Rates!$M144),8))),0,1))</f>
        <v>0</v>
      </c>
      <c r="T144" s="123" cm="1">
        <f t="array" ref="T144">IF(T109="-","-",
IF(ROUND(T109,8)=
IF($P144="Network",
ROUND(INDEX(Calc_TUR_Net_2[[Ausnet]:[United Energy]],MATCH(1,(Calc_TUR_Net_2[[Customer type]:[Customer type]]=OP_Rates!$O144)*(Calc_TUR_Net_2[[Rate type]:[Rate type]]=OP_Rates!$M144),0),MATCH(OP_Rates!T$65,Calc_TUR_Net_2[[#Headers],[Ausnet]:[United Energy]],0)),8),
IF($P144="Environmental",
ROUND(SUMIFS(Calc_TUR_ENV_2[Powercor],Calc_TUR_ENV_2[[Customer type]:[Customer type]],OP_Rates!$O144,Calc_TUR_ENV_2[[Rate type]:[Rate type]],OP_Rates!$M144),8))),0,1))</f>
        <v>0</v>
      </c>
      <c r="U144" s="123" cm="1">
        <f t="array" ref="U144">IF(U109="-","-",
IF(ROUND(U109,8)=
IF($P144="Network",
ROUND(INDEX(Calc_TUR_Net_2[[Ausnet]:[United Energy]],MATCH(1,(Calc_TUR_Net_2[[Customer type]:[Customer type]]=OP_Rates!$O144)*(Calc_TUR_Net_2[[Rate type]:[Rate type]]=OP_Rates!$M144),0),MATCH(OP_Rates!U$65,Calc_TUR_Net_2[[#Headers],[Ausnet]:[United Energy]],0)),8),
IF($P144="Environmental",
ROUND(SUMIFS(Calc_TUR_ENV_2[United Energy],Calc_TUR_ENV_2[[Customer type]:[Customer type]],OP_Rates!$O144,Calc_TUR_ENV_2[[Rate type]:[Rate type]],OP_Rates!$M144),8))),0,1))</f>
        <v>0</v>
      </c>
    </row>
    <row r="145" spans="3:21" ht="15.75" hidden="1" outlineLevel="2" x14ac:dyDescent="0.25">
      <c r="C145" s="39" t="s">
        <v>79</v>
      </c>
      <c r="D145" s="39" t="s">
        <v>75</v>
      </c>
      <c r="E145" s="39" t="s">
        <v>72</v>
      </c>
      <c r="F145" s="39" t="s">
        <v>89</v>
      </c>
      <c r="G145" s="123" cm="1">
        <f t="array" ref="G145">IF(G110="-","-",
IF(ROUND(G110,8)=
IF($F145="Network",
IF($C145&lt;&gt;"Controlled load",
ROUND(INDEX(Calc_TUR_Net_2[[Ausnet]:[United Energy]],MATCH(1,(Calc_TUR_Net_2[[Customer type]:[Customer type]]=OP_Rates!$E145)*(Calc_TUR_Net_2[[Rate type]:[Rate type]]=OP_Rates!$C145),0),MATCH(OP_Rates!G$65,Calc_TUR_Net_2[[#Headers],[Ausnet]:[United Energy]],0)),8),
ROUND(INDEX(Calc_TUR_NetCL_2[[Ausnet]:[United Energy]],MATCH(OP_Rates!$E145,Calc_TUR_Net_2[[Customer type]:[Customer type]],0),MATCH(OP_Rates!G$65,Calc_TUR_Net_2[[#Headers],[Ausnet]:[United Energy]],0)),8)),
IF($F145="Environmental",
ROUND(SUMIFS(Calc_TUR_ENV_2[Ausnet],Calc_TUR_ENV_2[[Customer type]:[Customer type]],OP_Rates!$E145,Calc_TUR_ENV_2[[Rate type]:[Rate type]],OP_Rates!$C145),8))),0,1))</f>
        <v>0</v>
      </c>
      <c r="H145" s="123" cm="1">
        <f t="array" ref="H145">IF(H110="-","-",
IF(ROUND(H110,8)=
IF($F145="Network",
IF($C145&lt;&gt;"Controlled load",
ROUND(INDEX(Calc_TUR_Net_2[[Ausnet]:[United Energy]],MATCH(1,(Calc_TUR_Net_2[[Customer type]:[Customer type]]=OP_Rates!$E145)*(Calc_TUR_Net_2[[Rate type]:[Rate type]]=OP_Rates!$C145),0),MATCH(OP_Rates!H$65,Calc_TUR_Net_2[[#Headers],[Ausnet]:[United Energy]],0)),8),
ROUND(INDEX(Calc_TUR_NetCL_2[[Ausnet]:[United Energy]],MATCH(OP_Rates!$E145,Calc_TUR_Net_2[[Customer type]:[Customer type]],0),MATCH(OP_Rates!H$65,Calc_TUR_Net_2[[#Headers],[Ausnet]:[United Energy]],0)),8)),
IF($F145="Environmental",
ROUND(SUMIFS(Calc_TUR_ENV_2[Citipower],Calc_TUR_ENV_2[[Customer type]:[Customer type]],OP_Rates!$E145,Calc_TUR_ENV_2[[Rate type]:[Rate type]],OP_Rates!$C145),8))),0,1))</f>
        <v>0</v>
      </c>
      <c r="I145" s="123" cm="1">
        <f t="array" ref="I145">IF(I110="-","-",
IF(ROUND(I110,8)=
IF($F145="Network",
IF($C145&lt;&gt;"Controlled load",
ROUND(INDEX(Calc_TUR_Net_2[[Ausnet]:[United Energy]],MATCH(1,(Calc_TUR_Net_2[[Customer type]:[Customer type]]=OP_Rates!$E145)*(Calc_TUR_Net_2[[Rate type]:[Rate type]]=OP_Rates!$C145),0),MATCH(OP_Rates!I$65,Calc_TUR_Net_2[[#Headers],[Ausnet]:[United Energy]],0)),8),
ROUND(INDEX(Calc_TUR_NetCL_2[[Ausnet]:[United Energy]],MATCH(OP_Rates!$E145,Calc_TUR_Net_2[[Customer type]:[Customer type]],0),MATCH(OP_Rates!I$65,Calc_TUR_Net_2[[#Headers],[Ausnet]:[United Energy]],0)),8)),
IF($F145="Environmental",
ROUND(SUMIFS(Calc_TUR_ENV_2[Jemena],Calc_TUR_ENV_2[[Customer type]:[Customer type]],OP_Rates!$E145,Calc_TUR_ENV_2[[Rate type]:[Rate type]],OP_Rates!$C145),8))),0,1))</f>
        <v>0</v>
      </c>
      <c r="J145" s="123" cm="1">
        <f t="array" ref="J145">IF(J110="-","-",
IF(ROUND(J110,8)=
IF($F145="Network",
IF($C145&lt;&gt;"Controlled load",
ROUND(INDEX(Calc_TUR_Net_2[[Ausnet]:[United Energy]],MATCH(1,(Calc_TUR_Net_2[[Customer type]:[Customer type]]=OP_Rates!$E145)*(Calc_TUR_Net_2[[Rate type]:[Rate type]]=OP_Rates!$C145),0),MATCH(OP_Rates!J$65,Calc_TUR_Net_2[[#Headers],[Ausnet]:[United Energy]],0)),8),
ROUND(INDEX(Calc_TUR_NetCL_2[[Ausnet]:[United Energy]],MATCH(OP_Rates!$E145,Calc_TUR_Net_2[[Customer type]:[Customer type]],0),MATCH(OP_Rates!J$65,Calc_TUR_Net_2[[#Headers],[Ausnet]:[United Energy]],0)),8)),
IF($F145="Environmental",
ROUND(SUMIFS(Calc_TUR_ENV_2[Powercor],Calc_TUR_ENV_2[[Customer type]:[Customer type]],OP_Rates!$E145,Calc_TUR_ENV_2[[Rate type]:[Rate type]],OP_Rates!$C145),8))),0,1))</f>
        <v>0</v>
      </c>
      <c r="K145" s="123" cm="1">
        <f t="array" ref="K145">IF(K110="-","-",
IF(ROUND(K110,8)=
IF($F145="Network",
IF($C145&lt;&gt;"Controlled load",
ROUND(INDEX(Calc_TUR_Net_2[[Ausnet]:[United Energy]],MATCH(1,(Calc_TUR_Net_2[[Customer type]:[Customer type]]=OP_Rates!$E145)*(Calc_TUR_Net_2[[Rate type]:[Rate type]]=OP_Rates!$C145),0),MATCH(OP_Rates!K$65,Calc_TUR_Net_2[[#Headers],[Ausnet]:[United Energy]],0)),8),
ROUND(INDEX(Calc_TUR_NetCL_2[[Ausnet]:[United Energy]],MATCH(OP_Rates!$E145,Calc_TUR_Net_2[[Customer type]:[Customer type]],0),MATCH(OP_Rates!K$65,Calc_TUR_Net_2[[#Headers],[Ausnet]:[United Energy]],0)),8)),
IF($F145="Environmental",
ROUND(SUMIFS(Calc_TUR_ENV_2[United Energy],Calc_TUR_ENV_2[[Customer type]:[Customer type]],OP_Rates!$E145,Calc_TUR_ENV_2[[Rate type]:[Rate type]],OP_Rates!$C145),8))),0,1))</f>
        <v>0</v>
      </c>
      <c r="M145" s="39" t="s">
        <v>79</v>
      </c>
      <c r="N145" s="39" t="s">
        <v>75</v>
      </c>
      <c r="O145" s="39" t="s">
        <v>73</v>
      </c>
      <c r="P145" s="39" t="s">
        <v>89</v>
      </c>
      <c r="Q145" s="123" cm="1">
        <f t="array" ref="Q145">IF(Q110="-","-",
IF(ROUND(Q110,8)=
IF($P145="Network",
ROUND(INDEX(Calc_TUR_Net_2[[Ausnet]:[United Energy]],MATCH(1,(Calc_TUR_Net_2[[Customer type]:[Customer type]]=OP_Rates!$O145)*(Calc_TUR_Net_2[[Rate type]:[Rate type]]=OP_Rates!$M145),0),MATCH(OP_Rates!Q$65,Calc_TUR_Net_2[[#Headers],[Ausnet]:[United Energy]],0)),8),
IF($P145="Environmental",
ROUND(SUMIFS(Calc_TUR_ENV_2[Ausnet],Calc_TUR_ENV_2[[Customer type]:[Customer type]],OP_Rates!$O145,Calc_TUR_ENV_2[[Rate type]:[Rate type]],OP_Rates!$M145),8))),0,1))</f>
        <v>0</v>
      </c>
      <c r="R145" s="123" cm="1">
        <f t="array" ref="R145">IF(R110="-","-",
IF(ROUND(R110,8)=
IF($P145="Network",
ROUND(INDEX(Calc_TUR_Net_2[[Ausnet]:[United Energy]],MATCH(1,(Calc_TUR_Net_2[[Customer type]:[Customer type]]=OP_Rates!$O145)*(Calc_TUR_Net_2[[Rate type]:[Rate type]]=OP_Rates!$M145),0),MATCH(OP_Rates!R$65,Calc_TUR_Net_2[[#Headers],[Ausnet]:[United Energy]],0)),8),
IF($P145="Environmental",
ROUND(SUMIFS(Calc_TUR_ENV_2[Citipower],Calc_TUR_ENV_2[[Customer type]:[Customer type]],OP_Rates!$O145,Calc_TUR_ENV_2[[Rate type]:[Rate type]],OP_Rates!$M145),8))),0,1))</f>
        <v>0</v>
      </c>
      <c r="S145" s="123" cm="1">
        <f t="array" ref="S145">IF(S110="-","-",
IF(ROUND(S110,8)=
IF($P145="Network",
ROUND(INDEX(Calc_TUR_Net_2[[Ausnet]:[United Energy]],MATCH(1,(Calc_TUR_Net_2[[Customer type]:[Customer type]]=OP_Rates!$O145)*(Calc_TUR_Net_2[[Rate type]:[Rate type]]=OP_Rates!$M145),0),MATCH(OP_Rates!S$65,Calc_TUR_Net_2[[#Headers],[Ausnet]:[United Energy]],0)),8),
IF($P145="Environmental",
ROUND(SUMIFS(Calc_TUR_ENV_2[Jemena],Calc_TUR_ENV_2[[Customer type]:[Customer type]],OP_Rates!$O145,Calc_TUR_ENV_2[[Rate type]:[Rate type]],OP_Rates!$M145),8))),0,1))</f>
        <v>0</v>
      </c>
      <c r="T145" s="123" cm="1">
        <f t="array" ref="T145">IF(T110="-","-",
IF(ROUND(T110,8)=
IF($P145="Network",
ROUND(INDEX(Calc_TUR_Net_2[[Ausnet]:[United Energy]],MATCH(1,(Calc_TUR_Net_2[[Customer type]:[Customer type]]=OP_Rates!$O145)*(Calc_TUR_Net_2[[Rate type]:[Rate type]]=OP_Rates!$M145),0),MATCH(OP_Rates!T$65,Calc_TUR_Net_2[[#Headers],[Ausnet]:[United Energy]],0)),8),
IF($P145="Environmental",
ROUND(SUMIFS(Calc_TUR_ENV_2[Powercor],Calc_TUR_ENV_2[[Customer type]:[Customer type]],OP_Rates!$O145,Calc_TUR_ENV_2[[Rate type]:[Rate type]],OP_Rates!$M145),8))),0,1))</f>
        <v>0</v>
      </c>
      <c r="U145" s="123" cm="1">
        <f t="array" ref="U145">IF(U110="-","-",
IF(ROUND(U110,8)=
IF($P145="Network",
ROUND(INDEX(Calc_TUR_Net_2[[Ausnet]:[United Energy]],MATCH(1,(Calc_TUR_Net_2[[Customer type]:[Customer type]]=OP_Rates!$O145)*(Calc_TUR_Net_2[[Rate type]:[Rate type]]=OP_Rates!$M145),0),MATCH(OP_Rates!U$65,Calc_TUR_Net_2[[#Headers],[Ausnet]:[United Energy]],0)),8),
IF($P145="Environmental",
ROUND(SUMIFS(Calc_TUR_ENV_2[United Energy],Calc_TUR_ENV_2[[Customer type]:[Customer type]],OP_Rates!$O145,Calc_TUR_ENV_2[[Rate type]:[Rate type]],OP_Rates!$M145),8))),0,1))</f>
        <v>0</v>
      </c>
    </row>
    <row r="146" spans="3:21" ht="15.75" hidden="1" outlineLevel="2" x14ac:dyDescent="0.25">
      <c r="C146" s="39" t="s">
        <v>80</v>
      </c>
      <c r="D146" s="39" t="s">
        <v>75</v>
      </c>
      <c r="E146" s="39" t="s">
        <v>72</v>
      </c>
      <c r="F146" s="39" t="s">
        <v>89</v>
      </c>
      <c r="G146" s="123" cm="1">
        <f t="array" ref="G146">IF(G111="-","-",
IF(ROUND(G111,8)=
IF($F146="Network",
IF($C146&lt;&gt;"Controlled load",
ROUND(INDEX(Calc_TUR_Net_2[[Ausnet]:[United Energy]],MATCH(1,(Calc_TUR_Net_2[[Customer type]:[Customer type]]=OP_Rates!$E146)*(Calc_TUR_Net_2[[Rate type]:[Rate type]]=OP_Rates!$C146),0),MATCH(OP_Rates!G$65,Calc_TUR_Net_2[[#Headers],[Ausnet]:[United Energy]],0)),8),
ROUND(INDEX(Calc_TUR_NetCL_2[[Ausnet]:[United Energy]],MATCH(OP_Rates!$E146,Calc_TUR_Net_2[[Customer type]:[Customer type]],0),MATCH(OP_Rates!G$65,Calc_TUR_Net_2[[#Headers],[Ausnet]:[United Energy]],0)),8)),
IF($F146="Environmental",
ROUND(SUMIFS(Calc_TUR_ENV_2[Ausnet],Calc_TUR_ENV_2[[Customer type]:[Customer type]],OP_Rates!$E146,Calc_TUR_ENV_2[[Rate type]:[Rate type]],OP_Rates!$C146),8))),0,1))</f>
        <v>0</v>
      </c>
      <c r="H146" s="123" cm="1">
        <f t="array" ref="H146">IF(H111="-","-",
IF(ROUND(H111,8)=
IF($F146="Network",
IF($C146&lt;&gt;"Controlled load",
ROUND(INDEX(Calc_TUR_Net_2[[Ausnet]:[United Energy]],MATCH(1,(Calc_TUR_Net_2[[Customer type]:[Customer type]]=OP_Rates!$E146)*(Calc_TUR_Net_2[[Rate type]:[Rate type]]=OP_Rates!$C146),0),MATCH(OP_Rates!H$65,Calc_TUR_Net_2[[#Headers],[Ausnet]:[United Energy]],0)),8),
ROUND(INDEX(Calc_TUR_NetCL_2[[Ausnet]:[United Energy]],MATCH(OP_Rates!$E146,Calc_TUR_Net_2[[Customer type]:[Customer type]],0),MATCH(OP_Rates!H$65,Calc_TUR_Net_2[[#Headers],[Ausnet]:[United Energy]],0)),8)),
IF($F146="Environmental",
ROUND(SUMIFS(Calc_TUR_ENV_2[Citipower],Calc_TUR_ENV_2[[Customer type]:[Customer type]],OP_Rates!$E146,Calc_TUR_ENV_2[[Rate type]:[Rate type]],OP_Rates!$C146),8))),0,1))</f>
        <v>0</v>
      </c>
      <c r="I146" s="123" cm="1">
        <f t="array" ref="I146">IF(I111="-","-",
IF(ROUND(I111,8)=
IF($F146="Network",
IF($C146&lt;&gt;"Controlled load",
ROUND(INDEX(Calc_TUR_Net_2[[Ausnet]:[United Energy]],MATCH(1,(Calc_TUR_Net_2[[Customer type]:[Customer type]]=OP_Rates!$E146)*(Calc_TUR_Net_2[[Rate type]:[Rate type]]=OP_Rates!$C146),0),MATCH(OP_Rates!I$65,Calc_TUR_Net_2[[#Headers],[Ausnet]:[United Energy]],0)),8),
ROUND(INDEX(Calc_TUR_NetCL_2[[Ausnet]:[United Energy]],MATCH(OP_Rates!$E146,Calc_TUR_Net_2[[Customer type]:[Customer type]],0),MATCH(OP_Rates!I$65,Calc_TUR_Net_2[[#Headers],[Ausnet]:[United Energy]],0)),8)),
IF($F146="Environmental",
ROUND(SUMIFS(Calc_TUR_ENV_2[Jemena],Calc_TUR_ENV_2[[Customer type]:[Customer type]],OP_Rates!$E146,Calc_TUR_ENV_2[[Rate type]:[Rate type]],OP_Rates!$C146),8))),0,1))</f>
        <v>0</v>
      </c>
      <c r="J146" s="123" cm="1">
        <f t="array" ref="J146">IF(J111="-","-",
IF(ROUND(J111,8)=
IF($F146="Network",
IF($C146&lt;&gt;"Controlled load",
ROUND(INDEX(Calc_TUR_Net_2[[Ausnet]:[United Energy]],MATCH(1,(Calc_TUR_Net_2[[Customer type]:[Customer type]]=OP_Rates!$E146)*(Calc_TUR_Net_2[[Rate type]:[Rate type]]=OP_Rates!$C146),0),MATCH(OP_Rates!J$65,Calc_TUR_Net_2[[#Headers],[Ausnet]:[United Energy]],0)),8),
ROUND(INDEX(Calc_TUR_NetCL_2[[Ausnet]:[United Energy]],MATCH(OP_Rates!$E146,Calc_TUR_Net_2[[Customer type]:[Customer type]],0),MATCH(OP_Rates!J$65,Calc_TUR_Net_2[[#Headers],[Ausnet]:[United Energy]],0)),8)),
IF($F146="Environmental",
ROUND(SUMIFS(Calc_TUR_ENV_2[Powercor],Calc_TUR_ENV_2[[Customer type]:[Customer type]],OP_Rates!$E146,Calc_TUR_ENV_2[[Rate type]:[Rate type]],OP_Rates!$C146),8))),0,1))</f>
        <v>0</v>
      </c>
      <c r="K146" s="123" cm="1">
        <f t="array" ref="K146">IF(K111="-","-",
IF(ROUND(K111,8)=
IF($F146="Network",
IF($C146&lt;&gt;"Controlled load",
ROUND(INDEX(Calc_TUR_Net_2[[Ausnet]:[United Energy]],MATCH(1,(Calc_TUR_Net_2[[Customer type]:[Customer type]]=OP_Rates!$E146)*(Calc_TUR_Net_2[[Rate type]:[Rate type]]=OP_Rates!$C146),0),MATCH(OP_Rates!K$65,Calc_TUR_Net_2[[#Headers],[Ausnet]:[United Energy]],0)),8),
ROUND(INDEX(Calc_TUR_NetCL_2[[Ausnet]:[United Energy]],MATCH(OP_Rates!$E146,Calc_TUR_Net_2[[Customer type]:[Customer type]],0),MATCH(OP_Rates!K$65,Calc_TUR_Net_2[[#Headers],[Ausnet]:[United Energy]],0)),8)),
IF($F146="Environmental",
ROUND(SUMIFS(Calc_TUR_ENV_2[United Energy],Calc_TUR_ENV_2[[Customer type]:[Customer type]],OP_Rates!$E146,Calc_TUR_ENV_2[[Rate type]:[Rate type]],OP_Rates!$C146),8))),0,1))</f>
        <v>0</v>
      </c>
      <c r="M146" s="39" t="s">
        <v>80</v>
      </c>
      <c r="N146" s="39" t="s">
        <v>75</v>
      </c>
      <c r="O146" s="39" t="s">
        <v>73</v>
      </c>
      <c r="P146" s="39" t="s">
        <v>89</v>
      </c>
      <c r="Q146" s="123" cm="1">
        <f t="array" ref="Q146">IF(Q111="-","-",
IF(ROUND(Q111,8)=
IF($P146="Network",
ROUND(INDEX(Calc_TUR_Net_2[[Ausnet]:[United Energy]],MATCH(1,(Calc_TUR_Net_2[[Customer type]:[Customer type]]=OP_Rates!$O146)*(Calc_TUR_Net_2[[Rate type]:[Rate type]]=OP_Rates!$M146),0),MATCH(OP_Rates!Q$65,Calc_TUR_Net_2[[#Headers],[Ausnet]:[United Energy]],0)),8),
IF($P146="Environmental",
ROUND(SUMIFS(Calc_TUR_ENV_2[Ausnet],Calc_TUR_ENV_2[[Customer type]:[Customer type]],OP_Rates!$O146,Calc_TUR_ENV_2[[Rate type]:[Rate type]],OP_Rates!$M146),8))),0,1))</f>
        <v>0</v>
      </c>
      <c r="R146" s="123" cm="1">
        <f t="array" ref="R146">IF(R111="-","-",
IF(ROUND(R111,8)=
IF($P146="Network",
ROUND(INDEX(Calc_TUR_Net_2[[Ausnet]:[United Energy]],MATCH(1,(Calc_TUR_Net_2[[Customer type]:[Customer type]]=OP_Rates!$O146)*(Calc_TUR_Net_2[[Rate type]:[Rate type]]=OP_Rates!$M146),0),MATCH(OP_Rates!R$65,Calc_TUR_Net_2[[#Headers],[Ausnet]:[United Energy]],0)),8),
IF($P146="Environmental",
ROUND(SUMIFS(Calc_TUR_ENV_2[Citipower],Calc_TUR_ENV_2[[Customer type]:[Customer type]],OP_Rates!$O146,Calc_TUR_ENV_2[[Rate type]:[Rate type]],OP_Rates!$M146),8))),0,1))</f>
        <v>0</v>
      </c>
      <c r="S146" s="123" cm="1">
        <f t="array" ref="S146">IF(S111="-","-",
IF(ROUND(S111,8)=
IF($P146="Network",
ROUND(INDEX(Calc_TUR_Net_2[[Ausnet]:[United Energy]],MATCH(1,(Calc_TUR_Net_2[[Customer type]:[Customer type]]=OP_Rates!$O146)*(Calc_TUR_Net_2[[Rate type]:[Rate type]]=OP_Rates!$M146),0),MATCH(OP_Rates!S$65,Calc_TUR_Net_2[[#Headers],[Ausnet]:[United Energy]],0)),8),
IF($P146="Environmental",
ROUND(SUMIFS(Calc_TUR_ENV_2[Jemena],Calc_TUR_ENV_2[[Customer type]:[Customer type]],OP_Rates!$O146,Calc_TUR_ENV_2[[Rate type]:[Rate type]],OP_Rates!$M146),8))),0,1))</f>
        <v>0</v>
      </c>
      <c r="T146" s="123" cm="1">
        <f t="array" ref="T146">IF(T111="-","-",
IF(ROUND(T111,8)=
IF($P146="Network",
ROUND(INDEX(Calc_TUR_Net_2[[Ausnet]:[United Energy]],MATCH(1,(Calc_TUR_Net_2[[Customer type]:[Customer type]]=OP_Rates!$O146)*(Calc_TUR_Net_2[[Rate type]:[Rate type]]=OP_Rates!$M146),0),MATCH(OP_Rates!T$65,Calc_TUR_Net_2[[#Headers],[Ausnet]:[United Energy]],0)),8),
IF($P146="Environmental",
ROUND(SUMIFS(Calc_TUR_ENV_2[Powercor],Calc_TUR_ENV_2[[Customer type]:[Customer type]],OP_Rates!$O146,Calc_TUR_ENV_2[[Rate type]:[Rate type]],OP_Rates!$M146),8))),0,1))</f>
        <v>0</v>
      </c>
      <c r="U146" s="123" cm="1">
        <f t="array" ref="U146">IF(U111="-","-",
IF(ROUND(U111,8)=
IF($P146="Network",
ROUND(INDEX(Calc_TUR_Net_2[[Ausnet]:[United Energy]],MATCH(1,(Calc_TUR_Net_2[[Customer type]:[Customer type]]=OP_Rates!$O146)*(Calc_TUR_Net_2[[Rate type]:[Rate type]]=OP_Rates!$M146),0),MATCH(OP_Rates!U$65,Calc_TUR_Net_2[[#Headers],[Ausnet]:[United Energy]],0)),8),
IF($P146="Environmental",
ROUND(SUMIFS(Calc_TUR_ENV_2[United Energy],Calc_TUR_ENV_2[[Customer type]:[Customer type]],OP_Rates!$O146,Calc_TUR_ENV_2[[Rate type]:[Rate type]],OP_Rates!$M146),8))),0,1))</f>
        <v>0</v>
      </c>
    </row>
    <row r="147" spans="3:21" ht="15.75" hidden="1" outlineLevel="2" x14ac:dyDescent="0.25">
      <c r="C147" s="39" t="s">
        <v>81</v>
      </c>
      <c r="D147" s="39" t="s">
        <v>75</v>
      </c>
      <c r="E147" s="39" t="s">
        <v>72</v>
      </c>
      <c r="F147" s="39" t="s">
        <v>89</v>
      </c>
      <c r="G147" s="123" cm="1">
        <f t="array" ref="G147">IF(G112="-","-",
IF(ROUND(G112,8)=
IF($F147="Network",
IF($C147&lt;&gt;"Controlled load",
ROUND(INDEX(Calc_TUR_Net_2[[Ausnet]:[United Energy]],MATCH(1,(Calc_TUR_Net_2[[Customer type]:[Customer type]]=OP_Rates!$E147)*(Calc_TUR_Net_2[[Rate type]:[Rate type]]=OP_Rates!$C147),0),MATCH(OP_Rates!G$65,Calc_TUR_Net_2[[#Headers],[Ausnet]:[United Energy]],0)),8),
ROUND(INDEX(Calc_TUR_NetCL_2[[Ausnet]:[United Energy]],MATCH(OP_Rates!$E147,Calc_TUR_Net_2[[Customer type]:[Customer type]],0),MATCH(OP_Rates!G$65,Calc_TUR_Net_2[[#Headers],[Ausnet]:[United Energy]],0)),8)),
IF($F147="Environmental",
ROUND(SUMIFS(Calc_TUR_ENV_2[Ausnet],Calc_TUR_ENV_2[[Customer type]:[Customer type]],OP_Rates!$E147,Calc_TUR_ENV_2[[Rate type]:[Rate type]],OP_Rates!$C147),8))),0,1))</f>
        <v>0</v>
      </c>
      <c r="H147" s="123" cm="1">
        <f t="array" ref="H147">IF(H112="-","-",
IF(ROUND(H112,8)=
IF($F147="Network",
IF($C147&lt;&gt;"Controlled load",
ROUND(INDEX(Calc_TUR_Net_2[[Ausnet]:[United Energy]],MATCH(1,(Calc_TUR_Net_2[[Customer type]:[Customer type]]=OP_Rates!$E147)*(Calc_TUR_Net_2[[Rate type]:[Rate type]]=OP_Rates!$C147),0),MATCH(OP_Rates!H$65,Calc_TUR_Net_2[[#Headers],[Ausnet]:[United Energy]],0)),8),
ROUND(INDEX(Calc_TUR_NetCL_2[[Ausnet]:[United Energy]],MATCH(OP_Rates!$E147,Calc_TUR_Net_2[[Customer type]:[Customer type]],0),MATCH(OP_Rates!H$65,Calc_TUR_Net_2[[#Headers],[Ausnet]:[United Energy]],0)),8)),
IF($F147="Environmental",
ROUND(SUMIFS(Calc_TUR_ENV_2[Citipower],Calc_TUR_ENV_2[[Customer type]:[Customer type]],OP_Rates!$E147,Calc_TUR_ENV_2[[Rate type]:[Rate type]],OP_Rates!$C147),8))),0,1))</f>
        <v>0</v>
      </c>
      <c r="I147" s="123" cm="1">
        <f t="array" ref="I147">IF(I112="-","-",
IF(ROUND(I112,8)=
IF($F147="Network",
IF($C147&lt;&gt;"Controlled load",
ROUND(INDEX(Calc_TUR_Net_2[[Ausnet]:[United Energy]],MATCH(1,(Calc_TUR_Net_2[[Customer type]:[Customer type]]=OP_Rates!$E147)*(Calc_TUR_Net_2[[Rate type]:[Rate type]]=OP_Rates!$C147),0),MATCH(OP_Rates!I$65,Calc_TUR_Net_2[[#Headers],[Ausnet]:[United Energy]],0)),8),
ROUND(INDEX(Calc_TUR_NetCL_2[[Ausnet]:[United Energy]],MATCH(OP_Rates!$E147,Calc_TUR_Net_2[[Customer type]:[Customer type]],0),MATCH(OP_Rates!I$65,Calc_TUR_Net_2[[#Headers],[Ausnet]:[United Energy]],0)),8)),
IF($F147="Environmental",
ROUND(SUMIFS(Calc_TUR_ENV_2[Jemena],Calc_TUR_ENV_2[[Customer type]:[Customer type]],OP_Rates!$E147,Calc_TUR_ENV_2[[Rate type]:[Rate type]],OP_Rates!$C147),8))),0,1))</f>
        <v>0</v>
      </c>
      <c r="J147" s="123" cm="1">
        <f t="array" ref="J147">IF(J112="-","-",
IF(ROUND(J112,8)=
IF($F147="Network",
IF($C147&lt;&gt;"Controlled load",
ROUND(INDEX(Calc_TUR_Net_2[[Ausnet]:[United Energy]],MATCH(1,(Calc_TUR_Net_2[[Customer type]:[Customer type]]=OP_Rates!$E147)*(Calc_TUR_Net_2[[Rate type]:[Rate type]]=OP_Rates!$C147),0),MATCH(OP_Rates!J$65,Calc_TUR_Net_2[[#Headers],[Ausnet]:[United Energy]],0)),8),
ROUND(INDEX(Calc_TUR_NetCL_2[[Ausnet]:[United Energy]],MATCH(OP_Rates!$E147,Calc_TUR_Net_2[[Customer type]:[Customer type]],0),MATCH(OP_Rates!J$65,Calc_TUR_Net_2[[#Headers],[Ausnet]:[United Energy]],0)),8)),
IF($F147="Environmental",
ROUND(SUMIFS(Calc_TUR_ENV_2[Powercor],Calc_TUR_ENV_2[[Customer type]:[Customer type]],OP_Rates!$E147,Calc_TUR_ENV_2[[Rate type]:[Rate type]],OP_Rates!$C147),8))),0,1))</f>
        <v>0</v>
      </c>
      <c r="K147" s="123" cm="1">
        <f t="array" ref="K147">IF(K112="-","-",
IF(ROUND(K112,8)=
IF($F147="Network",
IF($C147&lt;&gt;"Controlled load",
ROUND(INDEX(Calc_TUR_Net_2[[Ausnet]:[United Energy]],MATCH(1,(Calc_TUR_Net_2[[Customer type]:[Customer type]]=OP_Rates!$E147)*(Calc_TUR_Net_2[[Rate type]:[Rate type]]=OP_Rates!$C147),0),MATCH(OP_Rates!K$65,Calc_TUR_Net_2[[#Headers],[Ausnet]:[United Energy]],0)),8),
ROUND(INDEX(Calc_TUR_NetCL_2[[Ausnet]:[United Energy]],MATCH(OP_Rates!$E147,Calc_TUR_Net_2[[Customer type]:[Customer type]],0),MATCH(OP_Rates!K$65,Calc_TUR_Net_2[[#Headers],[Ausnet]:[United Energy]],0)),8)),
IF($F147="Environmental",
ROUND(SUMIFS(Calc_TUR_ENV_2[United Energy],Calc_TUR_ENV_2[[Customer type]:[Customer type]],OP_Rates!$E147,Calc_TUR_ENV_2[[Rate type]:[Rate type]],OP_Rates!$C147),8))),0,1))</f>
        <v>0</v>
      </c>
      <c r="M147" s="39"/>
      <c r="N147" s="39"/>
      <c r="O147" s="39"/>
      <c r="P147" s="39"/>
      <c r="Q147" s="123"/>
      <c r="R147" s="123"/>
      <c r="S147" s="123"/>
      <c r="T147" s="123"/>
      <c r="U147" s="123"/>
    </row>
    <row r="148" spans="3:21" outlineLevel="1" collapsed="1" x14ac:dyDescent="0.25"/>
    <row r="149" spans="3:21" x14ac:dyDescent="0.25">
      <c r="G149" s="61"/>
      <c r="Q149" s="61"/>
      <c r="R149" s="61"/>
      <c r="S149" s="61"/>
      <c r="T149" s="61"/>
      <c r="U149" s="61"/>
    </row>
    <row r="150" spans="3:21" x14ac:dyDescent="0.25">
      <c r="G150" s="61"/>
      <c r="H150" s="61"/>
      <c r="I150" s="61"/>
      <c r="J150" s="61"/>
      <c r="K150" s="61"/>
      <c r="Q150" s="61"/>
      <c r="R150" s="61"/>
      <c r="S150" s="61"/>
      <c r="T150" s="61"/>
      <c r="U150" s="61"/>
    </row>
    <row r="151" spans="3:21" x14ac:dyDescent="0.25">
      <c r="G151" s="61"/>
      <c r="H151" s="61"/>
      <c r="I151" s="61"/>
      <c r="J151" s="61"/>
      <c r="K151" s="61"/>
      <c r="Q151" s="61"/>
      <c r="R151" s="61"/>
      <c r="S151" s="61"/>
      <c r="T151" s="61"/>
      <c r="U151" s="61"/>
    </row>
    <row r="152" spans="3:21" x14ac:dyDescent="0.25">
      <c r="G152" s="61"/>
      <c r="H152" s="61"/>
      <c r="I152" s="61"/>
      <c r="J152" s="61"/>
      <c r="K152" s="61"/>
      <c r="Q152" s="61"/>
      <c r="R152" s="61"/>
      <c r="S152" s="61"/>
      <c r="T152" s="61"/>
      <c r="U152" s="61"/>
    </row>
    <row r="153" spans="3:21" x14ac:dyDescent="0.25">
      <c r="G153" s="61"/>
      <c r="H153" s="61"/>
      <c r="I153" s="61"/>
      <c r="J153" s="61"/>
      <c r="K153" s="61"/>
      <c r="Q153" s="61"/>
      <c r="R153" s="61"/>
      <c r="S153" s="61"/>
      <c r="T153" s="61"/>
      <c r="U153" s="61"/>
    </row>
    <row r="154" spans="3:21" x14ac:dyDescent="0.25">
      <c r="G154" s="61"/>
      <c r="H154" s="61"/>
      <c r="I154" s="61"/>
      <c r="J154" s="61"/>
      <c r="K154" s="61"/>
      <c r="Q154" s="61"/>
      <c r="R154" s="61"/>
      <c r="S154" s="61"/>
      <c r="T154" s="61"/>
      <c r="U154" s="61"/>
    </row>
    <row r="155" spans="3:21" x14ac:dyDescent="0.25">
      <c r="G155" s="61"/>
      <c r="H155" s="61"/>
      <c r="I155" s="61"/>
      <c r="J155" s="61"/>
      <c r="K155" s="61"/>
      <c r="Q155" s="61"/>
      <c r="R155" s="61"/>
      <c r="S155" s="61"/>
      <c r="T155" s="61"/>
      <c r="U155" s="61"/>
    </row>
    <row r="156" spans="3:21" x14ac:dyDescent="0.25">
      <c r="G156" s="61"/>
      <c r="H156" s="61"/>
      <c r="I156" s="61"/>
      <c r="J156" s="61"/>
      <c r="K156" s="61"/>
      <c r="Q156" s="61"/>
      <c r="R156" s="61"/>
      <c r="S156" s="61"/>
      <c r="T156" s="61"/>
      <c r="U156" s="61"/>
    </row>
    <row r="157" spans="3:21" x14ac:dyDescent="0.25">
      <c r="G157" s="61"/>
      <c r="H157" s="61"/>
      <c r="I157" s="61"/>
      <c r="J157" s="61"/>
      <c r="K157" s="61"/>
      <c r="Q157" s="61"/>
      <c r="R157" s="61"/>
      <c r="S157" s="61"/>
      <c r="T157" s="61"/>
      <c r="U157" s="61"/>
    </row>
    <row r="158" spans="3:21" x14ac:dyDescent="0.25">
      <c r="G158" s="61"/>
      <c r="H158" s="61"/>
      <c r="I158" s="61"/>
      <c r="J158" s="61"/>
      <c r="K158" s="61"/>
      <c r="Q158" s="61"/>
      <c r="R158" s="61"/>
      <c r="S158" s="61"/>
      <c r="T158" s="61"/>
      <c r="U158" s="61"/>
    </row>
    <row r="159" spans="3:21" x14ac:dyDescent="0.25">
      <c r="G159" s="61"/>
      <c r="H159" s="61"/>
      <c r="I159" s="61"/>
      <c r="J159" s="61"/>
      <c r="K159" s="61"/>
      <c r="Q159" s="61"/>
      <c r="R159" s="61"/>
      <c r="S159" s="61"/>
      <c r="T159" s="61"/>
      <c r="U159" s="61"/>
    </row>
    <row r="160" spans="3:21" x14ac:dyDescent="0.25">
      <c r="G160" s="61"/>
      <c r="H160" s="61"/>
      <c r="I160" s="61"/>
      <c r="J160" s="61"/>
      <c r="K160" s="61"/>
      <c r="Q160" s="61"/>
      <c r="R160" s="61"/>
      <c r="S160" s="61"/>
      <c r="T160" s="61"/>
      <c r="U160" s="61"/>
    </row>
    <row r="167" spans="6:10" x14ac:dyDescent="0.25">
      <c r="F167" s="80"/>
      <c r="G167" s="80"/>
      <c r="H167" s="80"/>
      <c r="I167" s="80"/>
      <c r="J167" s="80"/>
    </row>
    <row r="168" spans="6:10" x14ac:dyDescent="0.25">
      <c r="F168" s="80"/>
      <c r="G168" s="80"/>
      <c r="H168" s="80"/>
      <c r="I168" s="80"/>
      <c r="J168" s="80"/>
    </row>
    <row r="169" spans="6:10" x14ac:dyDescent="0.25">
      <c r="F169" s="80"/>
      <c r="G169" s="80"/>
      <c r="H169" s="80"/>
      <c r="I169" s="80"/>
      <c r="J169" s="80"/>
    </row>
    <row r="170" spans="6:10" x14ac:dyDescent="0.25">
      <c r="F170" s="80"/>
      <c r="G170" s="80"/>
      <c r="H170" s="80"/>
      <c r="I170" s="80"/>
      <c r="J170" s="80"/>
    </row>
    <row r="171" spans="6:10" x14ac:dyDescent="0.25">
      <c r="F171" s="80"/>
      <c r="G171" s="80"/>
      <c r="H171" s="80"/>
      <c r="I171" s="80"/>
      <c r="J171" s="80"/>
    </row>
    <row r="172" spans="6:10" x14ac:dyDescent="0.25">
      <c r="F172" s="80"/>
      <c r="G172" s="80"/>
      <c r="H172" s="80"/>
      <c r="I172" s="80"/>
      <c r="J172" s="80"/>
    </row>
    <row r="173" spans="6:10" x14ac:dyDescent="0.25">
      <c r="F173" s="80"/>
      <c r="G173" s="80"/>
      <c r="H173" s="80"/>
      <c r="I173" s="80"/>
      <c r="J173" s="80"/>
    </row>
  </sheetData>
  <sheetProtection algorithmName="SHA-512" hashValue="h7pwGzl6g4e5Qz1tJae9qbFwoYyBrU9Yp/PWszJNJKzPC0lO7qsPmtOth8rdZmOeiaA45iuEEBo/OdltIJ0pBA==" saltValue="gQO0Zeh4OD+OXAND6uLlBQ==" spinCount="100000" sheet="1" objects="1" scenarios="1"/>
  <mergeCells count="1">
    <mergeCell ref="A2:A3"/>
  </mergeCells>
  <hyperlinks>
    <hyperlink ref="B1" location="Contents!A1" display="&lt;&lt; Back to Contents" xr:uid="{4FB22DCF-BD76-4B33-A78B-2A277876905A}"/>
  </hyperlinks>
  <pageMargins left="0.7" right="0.7" top="0.75" bottom="0.75" header="0.3" footer="0.3"/>
  <pageSetup paperSize="9" orientation="portrait" r:id="rId1"/>
  <headerFooter>
    <oddHeader>&amp;C&amp;B&amp;"Arial"&amp;12&amp;Kff0000​‌OFFICIAL‌​</oddHeader>
  </headerFooter>
  <ignoredErrors>
    <ignoredError sqref="G20:K27" calculatedColumn="1"/>
  </ignoredErrors>
  <tableParts count="12">
    <tablePart r:id="rId2"/>
    <tablePart r:id="rId3"/>
    <tablePart r:id="rId4"/>
    <tablePart r:id="rId5"/>
    <tablePart r:id="rId6"/>
    <tablePart r:id="rId7"/>
    <tablePart r:id="rId8"/>
    <tablePart r:id="rId9"/>
    <tablePart r:id="rId10"/>
    <tablePart r:id="rId11"/>
    <tablePart r:id="rId12"/>
    <tablePart r:id="rId13"/>
  </tableParts>
  <extLst>
    <ext xmlns:x14="http://schemas.microsoft.com/office/spreadsheetml/2009/9/main" uri="{CCE6A557-97BC-4b89-ADB6-D9C93CAAB3DF}">
      <x14:dataValidations xmlns:xm="http://schemas.microsoft.com/office/excel/2006/main" count="2">
        <x14:dataValidation type="list" allowBlank="1" showInputMessage="1" showErrorMessage="1" xr:uid="{AE1D8D9F-4D5B-4AC8-9791-FC1C8C5CF940}">
          <x14:formula1>
            <xm:f>'Lookup refs'!$G$8:$G$10</xm:f>
          </x14:formula1>
          <xm:sqref>O55:O62 O9:O16 E128:E135 O128:O135 O20:O27 E20:E27 E93:E100 O93:O100 E82:E89 O82:O89 E9:E16 E55:E62 E44:E51 O44:O51 E117:E124 O117:O124 O104:O112 E104:E112 E139:E147 O139:O147 E31:E39 O31:O39 E66:E74 O66:O74</xm:sqref>
        </x14:dataValidation>
        <x14:dataValidation type="list" allowBlank="1" showInputMessage="1" showErrorMessage="1" xr:uid="{1A9A4095-A88F-441F-8070-8597F2CE1034}">
          <x14:formula1>
            <xm:f>'Lookup refs'!$E$8:$E$20</xm:f>
          </x14:formula1>
          <xm:sqref>D93:D100 D55:D62 N20:N27 N128:N135 D128:D135 D20:D27 N9:N16 N93:N100 D82:D89 N82:N89 D9:D16 N55:N62 D44:D51 N44:N51 D117:D124 N117:N124 N104:N112 D104:D112 D139:D147 N139:N147 D31:D39 N31:N39 D66:D74 N66:N74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1C5C-D042-428B-AB68-13F89BD3F2D5}">
  <sheetPr>
    <tabColor rgb="FFCE0058"/>
    <pageSetUpPr autoPageBreaks="0"/>
  </sheetPr>
  <dimension ref="A1:R43"/>
  <sheetViews>
    <sheetView showGridLines="0" topLeftCell="B1" zoomScale="90" zoomScaleNormal="90" workbookViewId="0">
      <pane ySplit="3" topLeftCell="A4" activePane="bottomLeft" state="frozen"/>
      <selection activeCell="B33" sqref="B33"/>
      <selection pane="bottomLeft" activeCell="E20" sqref="E20"/>
    </sheetView>
  </sheetViews>
  <sheetFormatPr defaultColWidth="9.42578125" defaultRowHeight="15" outlineLevelCol="1" x14ac:dyDescent="0.25"/>
  <cols>
    <col min="1" max="1" width="100.5703125" hidden="1" customWidth="1" outlineLevel="1"/>
    <col min="2" max="2" width="10.5703125" style="5" customWidth="1" collapsed="1"/>
    <col min="3" max="3" width="20.5703125" customWidth="1"/>
    <col min="4" max="4" width="27.5703125" customWidth="1"/>
    <col min="5" max="9" width="20.5703125" customWidth="1"/>
    <col min="10" max="10" width="5.5703125" customWidth="1"/>
    <col min="11" max="18" width="20.5703125" customWidth="1"/>
  </cols>
  <sheetData>
    <row r="1" spans="1:18" ht="15" customHeight="1" x14ac:dyDescent="0.25">
      <c r="A1" s="1" t="s">
        <v>33</v>
      </c>
      <c r="B1" s="249" t="s">
        <v>576</v>
      </c>
      <c r="C1" s="13"/>
      <c r="D1" s="13"/>
      <c r="E1" s="13"/>
      <c r="F1" s="13"/>
      <c r="G1" s="85" t="s">
        <v>58</v>
      </c>
      <c r="H1" s="70"/>
      <c r="I1" s="13"/>
      <c r="J1" s="13"/>
      <c r="K1" s="13"/>
      <c r="L1" s="13"/>
      <c r="M1" s="13"/>
      <c r="N1" s="13"/>
      <c r="O1" s="13"/>
      <c r="P1" s="13"/>
      <c r="Q1" s="13"/>
      <c r="R1" s="13"/>
    </row>
    <row r="2" spans="1:18" s="3" customFormat="1" ht="50.1" customHeight="1" x14ac:dyDescent="0.25">
      <c r="A2" s="253" t="s">
        <v>34</v>
      </c>
      <c r="B2" s="16"/>
      <c r="C2" s="16" t="str">
        <f>Disclaimer!$B$1</f>
        <v>VDO calculation model</v>
      </c>
      <c r="D2" s="16"/>
      <c r="E2" s="16"/>
      <c r="F2" s="16"/>
      <c r="G2" s="124" t="str">
        <f>Calc_Rates!$D$5</f>
        <v>VDO 2024-25 - Final</v>
      </c>
      <c r="H2" s="124" t="str">
        <f>Calc_Rates!$D$267</f>
        <v>VDO 2023-24 - Final</v>
      </c>
      <c r="I2" s="16"/>
      <c r="J2" s="16"/>
      <c r="K2" s="16"/>
      <c r="L2" s="16"/>
      <c r="M2" s="16"/>
      <c r="N2" s="16"/>
      <c r="O2" s="16"/>
      <c r="P2" s="16"/>
      <c r="Q2" s="16"/>
      <c r="R2" s="16"/>
    </row>
    <row r="3" spans="1:18" s="3" customFormat="1" ht="30" customHeight="1" x14ac:dyDescent="0.25">
      <c r="A3" s="254"/>
      <c r="B3" s="18">
        <f ca="1">_xlfn.SHEET()</f>
        <v>6</v>
      </c>
      <c r="C3" s="17" t="s">
        <v>90</v>
      </c>
      <c r="D3" s="17"/>
      <c r="E3" s="17"/>
      <c r="F3" s="17"/>
      <c r="G3" s="69">
        <f>SUM(E15:I17)+SUM(M15:Q17)</f>
        <v>0</v>
      </c>
      <c r="H3" s="69">
        <f>SUM(E29:I31)+SUM(M29:Q31)</f>
        <v>0</v>
      </c>
      <c r="I3" s="17"/>
      <c r="J3" s="17"/>
      <c r="K3" s="17"/>
      <c r="L3" s="17"/>
      <c r="M3" s="17"/>
      <c r="N3" s="17"/>
      <c r="O3" s="17"/>
      <c r="P3" s="17"/>
      <c r="Q3" s="17"/>
      <c r="R3" s="17"/>
    </row>
    <row r="4" spans="1:18" x14ac:dyDescent="0.25">
      <c r="B4"/>
    </row>
    <row r="5" spans="1:18" ht="16.5" thickBot="1" x14ac:dyDescent="0.3">
      <c r="A5" s="1" t="s">
        <v>36</v>
      </c>
      <c r="B5" s="155">
        <f ca="1">MAX(B$3:B4)+0.01</f>
        <v>6.01</v>
      </c>
      <c r="C5" s="19" t="str">
        <f>"CMAB amounts - "&amp;Calc_Rates!$D$5</f>
        <v>CMAB amounts - VDO 2024-25 - Final</v>
      </c>
      <c r="D5" s="19"/>
      <c r="E5" s="19"/>
      <c r="F5" s="19"/>
      <c r="G5" s="19"/>
      <c r="H5" s="19"/>
      <c r="I5" s="19"/>
      <c r="J5" s="19"/>
      <c r="K5" s="19"/>
      <c r="L5" s="19"/>
      <c r="M5" s="19"/>
      <c r="N5" s="19"/>
      <c r="O5" s="19"/>
      <c r="P5" s="19"/>
      <c r="Q5" s="19"/>
      <c r="R5" s="19"/>
    </row>
    <row r="7" spans="1:18" ht="15.75" x14ac:dyDescent="0.25">
      <c r="C7" s="36" t="s">
        <v>49</v>
      </c>
      <c r="D7" s="28" t="str">
        <f>Calc_Rates!$D$5</f>
        <v>VDO 2024-25 - Final</v>
      </c>
    </row>
    <row r="9" spans="1:18" ht="15.75" x14ac:dyDescent="0.25">
      <c r="C9" s="20" t="s">
        <v>72</v>
      </c>
      <c r="K9" s="20" t="s">
        <v>73</v>
      </c>
    </row>
    <row r="10" spans="1:18" ht="15.75" x14ac:dyDescent="0.25">
      <c r="C10" s="30" t="s">
        <v>63</v>
      </c>
      <c r="D10" s="30" t="s">
        <v>91</v>
      </c>
      <c r="E10" s="40" t="s">
        <v>65</v>
      </c>
      <c r="F10" s="40" t="s">
        <v>66</v>
      </c>
      <c r="G10" s="40" t="s">
        <v>67</v>
      </c>
      <c r="H10" s="40" t="s">
        <v>68</v>
      </c>
      <c r="I10" s="40" t="s">
        <v>69</v>
      </c>
      <c r="K10" s="30" t="s">
        <v>63</v>
      </c>
      <c r="L10" s="30" t="s">
        <v>91</v>
      </c>
      <c r="M10" s="40" t="s">
        <v>65</v>
      </c>
      <c r="N10" s="40" t="s">
        <v>66</v>
      </c>
      <c r="O10" s="40" t="s">
        <v>67</v>
      </c>
      <c r="P10" s="40" t="s">
        <v>68</v>
      </c>
      <c r="Q10" s="40" t="s">
        <v>69</v>
      </c>
    </row>
    <row r="11" spans="1:18" hidden="1" x14ac:dyDescent="0.25">
      <c r="C11" s="14" t="s">
        <v>72</v>
      </c>
      <c r="D11" s="14" t="s">
        <v>92</v>
      </c>
      <c r="E11" s="126">
        <f>IFERROR(
ROUNDUP(
(INDEX(OP_TotalRates_RES_1[[Ausnet]:[United Energy]],MATCH("TOU - supply",OP_TotalRates_RES_1[[Rate name]:[Rate name]],0),MATCH(E$10,OP_TotalRates_RES_1[[#Headers],[Ausnet]:[United Energy]],0))*_xlfn.SINGLE(DiY))+
(INDEX(OP_TotalRates_RES_1[[Ausnet]:[United Energy]],MATCH("Peak",OP_TotalRates_RES_1[[Rate name]:[Rate name]],0),MATCH(E$10,OP_TotalRates_RES_1[[#Headers],[Ausnet]:[United Energy]],0))*
INDEX(Input_Usage[],MATCH($D11&amp;" - Peak",Input_Usage[[Ref]:[Ref]],0),MATCH($D$7,Inputs!$C$147:$BA$147,0)))+
IFERROR((INDEX(OP_TotalRates_RES_1[[Ausnet]:[United Energy]],MATCH("TOU - Shoulder",OP_TotalRates_RES_1[[Rate name]:[Rate name]],0),MATCH(E$10,OP_TotalRates_RES_1[[#Headers],[Ausnet]:[United Energy]],0))*
INDEX(Input_Usage[],MATCH($D11&amp;" - Shoulder",Input_Usage[[Ref]:[Ref]],0),MATCH($D$7,Inputs!$C$147:$BA$147,0))),0)+
(INDEX(OP_TotalRates_RES_1[[Ausnet]:[United Energy]],MATCH("Off peak",OP_TotalRates_RES_1[[Rate name]:[Rate name]],0),MATCH(E$10,OP_TotalRates_RES_1[[#Headers],[Ausnet]:[United Energy]],0))*
INDEX(Input_Usage[],MATCH($D11&amp;" - Off peak",Input_Usage[[Ref]:[Ref]],0),MATCH($D$7,Inputs!$C$147:$BA$147,0))),0),"-")</f>
        <v>1136</v>
      </c>
      <c r="F11" s="126">
        <f>IFERROR(
IF($D$7="VDO 2021 - Final",
ROUNDUP(
(INDEX(OP_TotalRates_RES_1[[Ausnet]:[United Energy]],MATCH("Anytime - supply",OP_TotalRates_RES_1[[Rate name]:[Rate name]],0),MATCH(F$10,OP_TotalRates_RES_1[[#Headers],[Ausnet]:[United Energy]],0))*_xlfn.SINGLE(DiY))+
(IFERROR((INDEX(OP_TotalRates_RES_1[[Ausnet]:[United Energy]],MATCH("Block 1",OP_TotalRates_RES_1[[Rate name]:[Rate name]],0),MATCH(F$10,OP_TotalRates_RES_1[[#Headers],[Ausnet]:[United Energy]],0))*
INDEX(Input_Usage[],MATCH($D11&amp;" - Block 1",Input_Usage[[Ref]:[Ref]],0),MATCH($D$7,Inputs!$C$147:$BA$147,0))),0)+
IFERROR((INDEX(OP_TotalRates_RES_1[[Ausnet]:[United Energy]],MATCH("Balance",OP_TotalRates_RES_1[[Rate name]:[Rate name]],0),MATCH(F$10,OP_TotalRates_RES_1[[#Headers],[Ausnet]:[United Energy]],0))*
INDEX(Input_Usage[],MATCH($D11&amp;" - Balance",Input_Usage[[Ref]:[Ref]],0),MATCH($D$7,Inputs!$C$147:$BA$147,0))),0)+
IFERROR((INDEX(OP_TotalRates_RES_1[[Ausnet]:[United Energy]],MATCH("Single rate",OP_TotalRates_RES_1[[Rate name]:[Rate name]],0),MATCH(F$10,OP_TotalRates_RES_1[[#Headers],[Ausnet]:[United Energy]],0))*
INDEX(Input_Usage[],MATCH($D11&amp;" - Annual",Input_Usage[[Ref]:[Ref]],0),MATCH($D$7,Inputs!$C$147:$BA$147,0))),0)),0),
ROUNDUP(
(INDEX(OP_TotalRates_RES_1[[Ausnet]:[United Energy]],MATCH("TOU - supply",OP_TotalRates_RES_1[[Rate name]:[Rate name]],0),MATCH(F$10,OP_TotalRates_RES_1[[#Headers],[Ausnet]:[United Energy]],0))*_xlfn.SINGLE(DiY))+
(INDEX(OP_TotalRates_RES_1[[Ausnet]:[United Energy]],MATCH("Peak",OP_TotalRates_RES_1[[Rate name]:[Rate name]],0),MATCH(F$10,OP_TotalRates_RES_1[[#Headers],[Ausnet]:[United Energy]],0))*
INDEX(Input_Usage[],MATCH($D11&amp;" - Peak",Input_Usage[[Ref]:[Ref]],0),MATCH($D$7,Inputs!$C$147:$BA$147,0)))+
IFERROR((INDEX(OP_TotalRates_RES_1[[Ausnet]:[United Energy]],MATCH("TOU - Shoulder",OP_TotalRates_RES_1[[Rate name]:[Rate name]],0),MATCH(F$10,OP_TotalRates_RES_1[[#Headers],[Ausnet]:[United Energy]],0))*
INDEX(Input_Usage[],MATCH($D11&amp;" - Shoulder",Input_Usage[[Ref]:[Ref]],0),MATCH($D$7,Inputs!$C$147:$BA$147,0))),0)+
(INDEX(OP_TotalRates_RES_1[[Ausnet]:[United Energy]],MATCH("Off peak",OP_TotalRates_RES_1[[Rate name]:[Rate name]],0),MATCH(F$10,OP_TotalRates_RES_1[[#Headers],[Ausnet]:[United Energy]],0))*
INDEX(Input_Usage[],MATCH($D11&amp;" - Off peak",Input_Usage[[Ref]:[Ref]],0),MATCH($D$7,Inputs!$C$147:$BA$147,0))),0)),"-")</f>
        <v>934</v>
      </c>
      <c r="G11" s="126">
        <f>IFERROR(
IF($D$7="VDO 2021 - Final",
ROUNDUP(
(INDEX(OP_TotalRates_RES_1[[Ausnet]:[United Energy]],MATCH("Anytime - supply",OP_TotalRates_RES_1[[Rate name]:[Rate name]],0),MATCH(G$10,OP_TotalRates_RES_1[[#Headers],[Ausnet]:[United Energy]],0))*_xlfn.SINGLE(DiY))+
(IFERROR((INDEX(OP_TotalRates_RES_1[[Ausnet]:[United Energy]],MATCH("Block 1",OP_TotalRates_RES_1[[Rate name]:[Rate name]],0),MATCH(G$10,OP_TotalRates_RES_1[[#Headers],[Ausnet]:[United Energy]],0))*
INDEX(Input_Usage[],MATCH($D11&amp;" - Block 1",Input_Usage[[Ref]:[Ref]],0),MATCH($D$7,Inputs!$C$147:$BA$147,0))),0)+
IFERROR((INDEX(OP_TotalRates_RES_1[[Ausnet]:[United Energy]],MATCH("Balance",OP_TotalRates_RES_1[[Rate name]:[Rate name]],0),MATCH(G$10,OP_TotalRates_RES_1[[#Headers],[Ausnet]:[United Energy]],0))*
INDEX(Input_Usage[],MATCH($D11&amp;" - Balance",Input_Usage[[Ref]:[Ref]],0),MATCH($D$7,Inputs!$C$147:$BA$147,0))),0)+
IFERROR((INDEX(OP_TotalRates_RES_1[[Ausnet]:[United Energy]],MATCH("Single rate",OP_TotalRates_RES_1[[Rate name]:[Rate name]],0),MATCH(G$10,OP_TotalRates_RES_1[[#Headers],[Ausnet]:[United Energy]],0))*
INDEX(Input_Usage[],MATCH($D11&amp;" - Annual",Input_Usage[[Ref]:[Ref]],0),MATCH($D$7,Inputs!$C$147:$BA$147,0))),0)),0),
ROUNDUP(
(INDEX(OP_TotalRates_RES_1[[Ausnet]:[United Energy]],MATCH("TOU - supply",OP_TotalRates_RES_1[[Rate name]:[Rate name]],0),MATCH(G$10,OP_TotalRates_RES_1[[#Headers],[Ausnet]:[United Energy]],0))*_xlfn.SINGLE(DiY))+
(INDEX(OP_TotalRates_RES_1[[Ausnet]:[United Energy]],MATCH("Peak",OP_TotalRates_RES_1[[Rate name]:[Rate name]],0),MATCH(G$10,OP_TotalRates_RES_1[[#Headers],[Ausnet]:[United Energy]],0))*
INDEX(Input_Usage[],MATCH($D11&amp;" - Peak",Input_Usage[[Ref]:[Ref]],0),MATCH($D$7,Inputs!$C$147:$BA$147,0)))+
IFERROR((INDEX(OP_TotalRates_RES_1[[Ausnet]:[United Energy]],MATCH("TOU - Shoulder",OP_TotalRates_RES_1[[Rate name]:[Rate name]],0),MATCH(G$10,OP_TotalRates_RES_1[[#Headers],[Ausnet]:[United Energy]],0))*
INDEX(Input_Usage[],MATCH($D11&amp;" - Shoulder",Input_Usage[[Ref]:[Ref]],0),MATCH($D$7,Inputs!$C$147:$BA$147,0))),0)+
(INDEX(OP_TotalRates_RES_1[[Ausnet]:[United Energy]],MATCH("Off peak",OP_TotalRates_RES_1[[Rate name]:[Rate name]],0),MATCH(G$10,OP_TotalRates_RES_1[[#Headers],[Ausnet]:[United Energy]],0))*
INDEX(Input_Usage[],MATCH($D11&amp;" - Off peak",Input_Usage[[Ref]:[Ref]],0),MATCH($D$7,Inputs!$C$147:$BA$147,0))),0)),"-")</f>
        <v>1022</v>
      </c>
      <c r="H11" s="126">
        <f>IFERROR(
IF($D$7="VDO 2021 - Final",
ROUNDUP(
(INDEX(OP_TotalRates_RES_1[[Ausnet]:[United Energy]],MATCH("Anytime - supply",OP_TotalRates_RES_1[[Rate name]:[Rate name]],0),MATCH(H$10,OP_TotalRates_RES_1[[#Headers],[Ausnet]:[United Energy]],0))*_xlfn.SINGLE(DiY))+
(IFERROR((INDEX(OP_TotalRates_RES_1[[Ausnet]:[United Energy]],MATCH("Block 1",OP_TotalRates_RES_1[[Rate name]:[Rate name]],0),MATCH(H$10,OP_TotalRates_RES_1[[#Headers],[Ausnet]:[United Energy]],0))*
INDEX(Input_Usage[],MATCH($D11&amp;" - Block 1",Input_Usage[[Ref]:[Ref]],0),MATCH($D$7,Inputs!$C$147:$BA$147,0))),0)+
IFERROR((INDEX(OP_TotalRates_RES_1[[Ausnet]:[United Energy]],MATCH("Balance",OP_TotalRates_RES_1[[Rate name]:[Rate name]],0),MATCH(H$10,OP_TotalRates_RES_1[[#Headers],[Ausnet]:[United Energy]],0))*
INDEX(Input_Usage[],MATCH($D11&amp;" - Balance",Input_Usage[[Ref]:[Ref]],0),MATCH($D$7,Inputs!$C$147:$BA$147,0))),0)+
IFERROR((INDEX(OP_TotalRates_RES_1[[Ausnet]:[United Energy]],MATCH("Single rate",OP_TotalRates_RES_1[[Rate name]:[Rate name]],0),MATCH(H$10,OP_TotalRates_RES_1[[#Headers],[Ausnet]:[United Energy]],0))*
INDEX(Input_Usage[],MATCH($D11&amp;" - Annual",Input_Usage[[Ref]:[Ref]],0),MATCH($D$7,Inputs!$C$147:$BA$147,0))),0)),0),
ROUNDUP(
(INDEX(OP_TotalRates_RES_1[[Ausnet]:[United Energy]],MATCH("TOU - supply",OP_TotalRates_RES_1[[Rate name]:[Rate name]],0),MATCH(H$10,OP_TotalRates_RES_1[[#Headers],[Ausnet]:[United Energy]],0))*_xlfn.SINGLE(DiY))+
(INDEX(OP_TotalRates_RES_1[[Ausnet]:[United Energy]],MATCH("Peak",OP_TotalRates_RES_1[[Rate name]:[Rate name]],0),MATCH(H$10,OP_TotalRates_RES_1[[#Headers],[Ausnet]:[United Energy]],0))*
INDEX(Input_Usage[],MATCH($D11&amp;" - Peak",Input_Usage[[Ref]:[Ref]],0),MATCH($D$7,Inputs!$C$147:$BA$147,0)))+
IFERROR((INDEX(OP_TotalRates_RES_1[[Ausnet]:[United Energy]],MATCH("TOU - Shoulder",OP_TotalRates_RES_1[[Rate name]:[Rate name]],0),MATCH(H$10,OP_TotalRates_RES_1[[#Headers],[Ausnet]:[United Energy]],0))*
INDEX(Input_Usage[],MATCH($D11&amp;" - Shoulder",Input_Usage[[Ref]:[Ref]],0),MATCH($D$7,Inputs!$C$147:$BA$147,0))),0)+
(INDEX(OP_TotalRates_RES_1[[Ausnet]:[United Energy]],MATCH("Off peak",OP_TotalRates_RES_1[[Rate name]:[Rate name]],0),MATCH(H$10,OP_TotalRates_RES_1[[#Headers],[Ausnet]:[United Energy]],0))*
INDEX(Input_Usage[],MATCH($D11&amp;" - Off peak",Input_Usage[[Ref]:[Ref]],0),MATCH($D$7,Inputs!$C$147:$BA$147,0))),0)),"-")</f>
        <v>1078</v>
      </c>
      <c r="I11" s="126">
        <f>IFERROR(
IF($D$7="VDO 2021 - Final",
ROUNDUP(
(INDEX(OP_TotalRates_RES_1[[Ausnet]:[United Energy]],MATCH("Anytime - supply",OP_TotalRates_RES_1[[Rate name]:[Rate name]],0),MATCH(I$10,OP_TotalRates_RES_1[[#Headers],[Ausnet]:[United Energy]],0))*_xlfn.SINGLE(DiY))+
(IFERROR((INDEX(OP_TotalRates_RES_1[[Ausnet]:[United Energy]],MATCH("Block 1",OP_TotalRates_RES_1[[Rate name]:[Rate name]],0),MATCH(I$10,OP_TotalRates_RES_1[[#Headers],[Ausnet]:[United Energy]],0))*
INDEX(Input_Usage[],MATCH($D11&amp;" - Block 1",Input_Usage[[Ref]:[Ref]],0),MATCH($D$7,Inputs!$C$147:$BA$147,0))),0)+
IFERROR((INDEX(OP_TotalRates_RES_1[[Ausnet]:[United Energy]],MATCH("Balance",OP_TotalRates_RES_1[[Rate name]:[Rate name]],0),MATCH(I$10,OP_TotalRates_RES_1[[#Headers],[Ausnet]:[United Energy]],0))*
INDEX(Input_Usage[],MATCH($D11&amp;" - Balance",Input_Usage[[Ref]:[Ref]],0),MATCH($D$7,Inputs!$C$147:$BA$147,0))),0)+
IFERROR((INDEX(OP_TotalRates_RES_1[[Ausnet]:[United Energy]],MATCH("Single rate",OP_TotalRates_RES_1[[Rate name]:[Rate name]],0),MATCH(I$10,OP_TotalRates_RES_1[[#Headers],[Ausnet]:[United Energy]],0))*
INDEX(Input_Usage[],MATCH($D11&amp;" - Annual",Input_Usage[[Ref]:[Ref]],0),MATCH($D$7,Inputs!$C$147:$BA$147,0))),0)),0),
ROUNDUP(
(INDEX(OP_TotalRates_RES_1[[Ausnet]:[United Energy]],MATCH("TOU - supply",OP_TotalRates_RES_1[[Rate name]:[Rate name]],0),MATCH(I$10,OP_TotalRates_RES_1[[#Headers],[Ausnet]:[United Energy]],0))*_xlfn.SINGLE(DiY))+
(INDEX(OP_TotalRates_RES_1[[Ausnet]:[United Energy]],MATCH("Peak",OP_TotalRates_RES_1[[Rate name]:[Rate name]],0),MATCH(I$10,OP_TotalRates_RES_1[[#Headers],[Ausnet]:[United Energy]],0))*
INDEX(Input_Usage[],MATCH($D11&amp;" - Peak",Input_Usage[[Ref]:[Ref]],0),MATCH($D$7,Inputs!$C$147:$BA$147,0)))+
IFERROR((INDEX(OP_TotalRates_RES_1[[Ausnet]:[United Energy]],MATCH("TOU - Shoulder",OP_TotalRates_RES_1[[Rate name]:[Rate name]],0),MATCH(I$10,OP_TotalRates_RES_1[[#Headers],[Ausnet]:[United Energy]],0))*
INDEX(Input_Usage[],MATCH($D11&amp;" - Shoulder",Input_Usage[[Ref]:[Ref]],0),MATCH($D$7,Inputs!$C$147:$BA$147,0))),0)+
(INDEX(OP_TotalRates_RES_1[[Ausnet]:[United Energy]],MATCH("Off peak",OP_TotalRates_RES_1[[Rate name]:[Rate name]],0),MATCH(I$10,OP_TotalRates_RES_1[[#Headers],[Ausnet]:[United Energy]],0))*
INDEX(Input_Usage[],MATCH($D11&amp;" - Off peak",Input_Usage[[Ref]:[Ref]],0),MATCH($D$7,Inputs!$C$147:$BA$147,0))),0)),"-")</f>
        <v>963</v>
      </c>
      <c r="K11" s="14" t="s">
        <v>73</v>
      </c>
      <c r="L11" s="14" t="s">
        <v>93</v>
      </c>
      <c r="M11" s="126">
        <f>IFERROR(
IF($D$7="VDO 2021 - Final",
ROUNDUP(
(INDEX(OP_TotalRates_SME_1[[Ausnet]:[United Energy]],MATCH("Anytime - supply",OP_TotalRates_SME_1[[Rate name]:[Rate name]],0),MATCH(M$10,OP_TotalRates_SME_1[[#Headers],[Ausnet]:[United Energy]],0))*_xlfn.SINGLE(DiY))+
(IFERROR((INDEX(OP_TotalRates_SME_1[[Ausnet]:[United Energy]],MATCH("Block 1",OP_TotalRates_SME_1[[Rate name]:[Rate name]],0),MATCH(M$10,OP_TotalRates_SME_1[[#Headers],[Ausnet]:[United Energy]],0))*
INDEX(Input_Usage[],MATCH($L11&amp;" - Block 1",Input_Usage[[Ref]:[Ref]],0),MATCH($D$7,Inputs!$C$147:$BA$147,0))),0)+
IFERROR((INDEX(OP_TotalRates_SME_1[[Ausnet]:[United Energy]],MATCH("Balance",OP_TotalRates_SME_1[[Rate name]:[Rate name]],0),MATCH(M$10,OP_TotalRates_SME_1[[#Headers],[Ausnet]:[United Energy]],0))*
INDEX(Input_Usage[],MATCH($L11&amp;" - Balance",Input_Usage[[Ref]:[Ref]],0),MATCH($D$7,Inputs!$C$147:$BA$147,0))),0)+
IFERROR((INDEX(OP_TotalRates_SME_1[[Ausnet]:[United Energy]],MATCH("Single rate",OP_TotalRates_SME_1[[Rate name]:[Rate name]],0),MATCH(M$10,OP_TotalRates_SME_1[[#Headers],[Ausnet]:[United Energy]],0))*
INDEX(Input_Usage[],MATCH($L11&amp;" - Annual",Input_Usage[[Ref]:[Ref]],0),MATCH($D$7,Inputs!$C$147:$BA$147,0))),0)),0),
ROUNDUP(
(INDEX(OP_TotalRates_SME_1[[Ausnet]:[United Energy]],MATCH("TOU - supply",OP_TotalRates_SME_1[[Rate name]:[Rate name]],0),MATCH(M$10,OP_TotalRates_SME_1[[#Headers],[Ausnet]:[United Energy]],0))*_xlfn.SINGLE(DiY))+
(INDEX(OP_TotalRates_SME_1[[Ausnet]:[United Energy]],MATCH("Peak",OP_TotalRates_SME_1[[Rate name]:[Rate name]],0),MATCH(M$10,OP_TotalRates_SME_1[[#Headers],[Ausnet]:[United Energy]],0))*
INDEX(Input_Usage[],MATCH($L11&amp;" - Peak",Input_Usage[[Ref]:[Ref]],0),MATCH($D$7,Inputs!$C$147:$BA$147,0)))+
IFERROR((INDEX(OP_TotalRates_SME_1[[Ausnet]:[United Energy]],MATCH("TOU - Shoulder",OP_TotalRates_SME_1[[Rate name]:[Rate name]],0),MATCH(M$10,OP_TotalRates_SME_1[[#Headers],[Ausnet]:[United Energy]],0))*
INDEX(Input_Usage[],MATCH($L11&amp;" - Shoulder",Input_Usage[[Ref]:[Ref]],0),MATCH($D$7,Inputs!$C$147:$BA$147,0))),0)+
(INDEX(OP_TotalRates_SME_1[[Ausnet]:[United Energy]],MATCH("Off peak",OP_TotalRates_SME_1[[Rate name]:[Rate name]],0),MATCH(M$10,OP_TotalRates_SME_1[[#Headers],[Ausnet]:[United Energy]],0))*
INDEX(Input_Usage[],MATCH($L11&amp;" - Off peak",Input_Usage[[Ref]:[Ref]],0),MATCH($D$7,Inputs!$C$147:$BA$147,0))),0)),"-")</f>
        <v>3523</v>
      </c>
      <c r="N11" s="126">
        <f>IFERROR(
IF($D$7="VDO 2021 - Final",
ROUNDUP(
(INDEX(OP_TotalRates_SME_1[[Ausnet]:[United Energy]],MATCH("Anytime - supply",OP_TotalRates_SME_1[[Rate name]:[Rate name]],0),MATCH(N$10,OP_TotalRates_SME_1[[#Headers],[Ausnet]:[United Energy]],0))*_xlfn.SINGLE(DiY))+
(IFERROR((INDEX(OP_TotalRates_SME_1[[Ausnet]:[United Energy]],MATCH("Block 1",OP_TotalRates_SME_1[[Rate name]:[Rate name]],0),MATCH(N$10,OP_TotalRates_SME_1[[#Headers],[Ausnet]:[United Energy]],0))*
INDEX(Input_Usage[],MATCH($L11&amp;" - Block 1",Input_Usage[[Ref]:[Ref]],0),MATCH($D$7,Inputs!$C$147:$BA$147,0))),0)+
IFERROR((INDEX(OP_TotalRates_SME_1[[Ausnet]:[United Energy]],MATCH("Balance",OP_TotalRates_SME_1[[Rate name]:[Rate name]],0),MATCH(N$10,OP_TotalRates_SME_1[[#Headers],[Ausnet]:[United Energy]],0))*
INDEX(Input_Usage[],MATCH($L11&amp;" - Balance",Input_Usage[[Ref]:[Ref]],0),MATCH($D$7,Inputs!$C$147:$BA$147,0))),0)+
IFERROR((INDEX(OP_TotalRates_SME_1[[Ausnet]:[United Energy]],MATCH("Single rate",OP_TotalRates_SME_1[[Rate name]:[Rate name]],0),MATCH(N$10,OP_TotalRates_SME_1[[#Headers],[Ausnet]:[United Energy]],0))*
INDEX(Input_Usage[],MATCH($L11&amp;" - Annual",Input_Usage[[Ref]:[Ref]],0),MATCH($D$7,Inputs!$C$147:$BA$147,0))),0)),0),
ROUNDUP(
(INDEX(OP_TotalRates_SME_1[[Ausnet]:[United Energy]],MATCH("TOU - supply",OP_TotalRates_SME_1[[Rate name]:[Rate name]],0),MATCH(N$10,OP_TotalRates_SME_1[[#Headers],[Ausnet]:[United Energy]],0))*_xlfn.SINGLE(DiY))+
(INDEX(OP_TotalRates_SME_1[[Ausnet]:[United Energy]],MATCH("Peak",OP_TotalRates_SME_1[[Rate name]:[Rate name]],0),MATCH(N$10,OP_TotalRates_SME_1[[#Headers],[Ausnet]:[United Energy]],0))*
INDEX(Input_Usage[],MATCH($L11&amp;" - Peak",Input_Usage[[Ref]:[Ref]],0),MATCH($D$7,Inputs!$C$147:$BA$147,0)))+
IFERROR((INDEX(OP_TotalRates_SME_1[[Ausnet]:[United Energy]],MATCH("TOU - Shoulder",OP_TotalRates_SME_1[[Rate name]:[Rate name]],0),MATCH(N$10,OP_TotalRates_SME_1[[#Headers],[Ausnet]:[United Energy]],0))*
INDEX(Input_Usage[],MATCH($L11&amp;" - Shoulder",Input_Usage[[Ref]:[Ref]],0),MATCH($D$7,Inputs!$C$147:$BA$147,0))),0)+
(INDEX(OP_TotalRates_SME_1[[Ausnet]:[United Energy]],MATCH("Off peak",OP_TotalRates_SME_1[[Rate name]:[Rate name]],0),MATCH(N$10,OP_TotalRates_SME_1[[#Headers],[Ausnet]:[United Energy]],0))*
INDEX(Input_Usage[],MATCH($L11&amp;" - Off peak",Input_Usage[[Ref]:[Ref]],0),MATCH($D$7,Inputs!$C$147:$BA$147,0))),0)),"-")</f>
        <v>2984</v>
      </c>
      <c r="O11" s="126">
        <f>IFERROR(
IF($D$7="VDO 2021 - Final",
ROUNDUP(
(INDEX(OP_TotalRates_SME_1[[Ausnet]:[United Energy]],MATCH("Anytime - supply",OP_TotalRates_SME_1[[Rate name]:[Rate name]],0),MATCH(O$10,OP_TotalRates_SME_1[[#Headers],[Ausnet]:[United Energy]],0))*_xlfn.SINGLE(DiY))+
(IFERROR((INDEX(OP_TotalRates_SME_1[[Ausnet]:[United Energy]],MATCH("Block 1",OP_TotalRates_SME_1[[Rate name]:[Rate name]],0),MATCH(O$10,OP_TotalRates_SME_1[[#Headers],[Ausnet]:[United Energy]],0))*
INDEX(Input_Usage[],MATCH($L11&amp;" - Block 1",Input_Usage[[Ref]:[Ref]],0),MATCH($D$7,Inputs!$C$147:$BA$147,0))),0)+
IFERROR((INDEX(OP_TotalRates_SME_1[[Ausnet]:[United Energy]],MATCH("Balance",OP_TotalRates_SME_1[[Rate name]:[Rate name]],0),MATCH(O$10,OP_TotalRates_SME_1[[#Headers],[Ausnet]:[United Energy]],0))*
INDEX(Input_Usage[],MATCH($L11&amp;" - Balance",Input_Usage[[Ref]:[Ref]],0),MATCH($D$7,Inputs!$C$147:$BA$147,0))),0)+
IFERROR((INDEX(OP_TotalRates_SME_1[[Ausnet]:[United Energy]],MATCH("Single rate",OP_TotalRates_SME_1[[Rate name]:[Rate name]],0),MATCH(O$10,OP_TotalRates_SME_1[[#Headers],[Ausnet]:[United Energy]],0))*
INDEX(Input_Usage[],MATCH($L11&amp;" - Annual",Input_Usage[[Ref]:[Ref]],0),MATCH($D$7,Inputs!$C$147:$BA$147,0))),0)),0),
ROUNDUP(
(INDEX(OP_TotalRates_SME_1[[Ausnet]:[United Energy]],MATCH("TOU - supply",OP_TotalRates_SME_1[[Rate name]:[Rate name]],0),MATCH(O$10,OP_TotalRates_SME_1[[#Headers],[Ausnet]:[United Energy]],0))*_xlfn.SINGLE(DiY))+
(INDEX(OP_TotalRates_SME_1[[Ausnet]:[United Energy]],MATCH("Peak",OP_TotalRates_SME_1[[Rate name]:[Rate name]],0),MATCH(O$10,OP_TotalRates_SME_1[[#Headers],[Ausnet]:[United Energy]],0))*
INDEX(Input_Usage[],MATCH($L11&amp;" - Peak",Input_Usage[[Ref]:[Ref]],0),MATCH($D$7,Inputs!$C$147:$BA$147,0)))+
IFERROR((INDEX(OP_TotalRates_SME_1[[Ausnet]:[United Energy]],MATCH("TOU - Shoulder",OP_TotalRates_SME_1[[Rate name]:[Rate name]],0),MATCH(O$10,OP_TotalRates_SME_1[[#Headers],[Ausnet]:[United Energy]],0))*
INDEX(Input_Usage[],MATCH($L11&amp;" - Shoulder",Input_Usage[[Ref]:[Ref]],0),MATCH($D$7,Inputs!$C$147:$BA$147,0))),0)+
(INDEX(OP_TotalRates_SME_1[[Ausnet]:[United Energy]],MATCH("Off peak",OP_TotalRates_SME_1[[Rate name]:[Rate name]],0),MATCH(O$10,OP_TotalRates_SME_1[[#Headers],[Ausnet]:[United Energy]],0))*
INDEX(Input_Usage[],MATCH($L11&amp;" - Off peak",Input_Usage[[Ref]:[Ref]],0),MATCH($D$7,Inputs!$C$147:$BA$147,0))),0)),"-")</f>
        <v>3444</v>
      </c>
      <c r="P11" s="126">
        <f>IFERROR(
IF($D$7="VDO 2021 - Final",
ROUNDUP(
(INDEX(OP_TotalRates_SME_1[[Ausnet]:[United Energy]],MATCH("Anytime - supply",OP_TotalRates_SME_1[[Rate name]:[Rate name]],0),MATCH(P$10,OP_TotalRates_SME_1[[#Headers],[Ausnet]:[United Energy]],0))*_xlfn.SINGLE(DiY))+
(IFERROR((INDEX(OP_TotalRates_SME_1[[Ausnet]:[United Energy]],MATCH("Block 1",OP_TotalRates_SME_1[[Rate name]:[Rate name]],0),MATCH(P$10,OP_TotalRates_SME_1[[#Headers],[Ausnet]:[United Energy]],0))*
INDEX(Input_Usage[],MATCH($L11&amp;" - Block 1",Input_Usage[[Ref]:[Ref]],0),MATCH($D$7,Inputs!$C$147:$BA$147,0))),0)+
IFERROR((INDEX(OP_TotalRates_SME_1[[Ausnet]:[United Energy]],MATCH("Balance",OP_TotalRates_SME_1[[Rate name]:[Rate name]],0),MATCH(P$10,OP_TotalRates_SME_1[[#Headers],[Ausnet]:[United Energy]],0))*
INDEX(Input_Usage[],MATCH($L11&amp;" - Balance",Input_Usage[[Ref]:[Ref]],0),MATCH($D$7,Inputs!$C$147:$BA$147,0))),0)+
IFERROR((INDEX(OP_TotalRates_SME_1[[Ausnet]:[United Energy]],MATCH("Single rate",OP_TotalRates_SME_1[[Rate name]:[Rate name]],0),MATCH(P$10,OP_TotalRates_SME_1[[#Headers],[Ausnet]:[United Energy]],0))*
INDEX(Input_Usage[],MATCH($L11&amp;" - Annual",Input_Usage[[Ref]:[Ref]],0),MATCH($D$7,Inputs!$C$147:$BA$147,0))),0)),0),
ROUNDUP(
(INDEX(OP_TotalRates_SME_1[[Ausnet]:[United Energy]],MATCH("TOU - supply",OP_TotalRates_SME_1[[Rate name]:[Rate name]],0),MATCH(P$10,OP_TotalRates_SME_1[[#Headers],[Ausnet]:[United Energy]],0))*_xlfn.SINGLE(DiY))+
(INDEX(OP_TotalRates_SME_1[[Ausnet]:[United Energy]],MATCH("Peak",OP_TotalRates_SME_1[[Rate name]:[Rate name]],0),MATCH(P$10,OP_TotalRates_SME_1[[#Headers],[Ausnet]:[United Energy]],0))*
INDEX(Input_Usage[],MATCH($L11&amp;" - Peak",Input_Usage[[Ref]:[Ref]],0),MATCH($D$7,Inputs!$C$147:$BA$147,0)))+
IFERROR((INDEX(OP_TotalRates_SME_1[[Ausnet]:[United Energy]],MATCH("TOU - Shoulder",OP_TotalRates_SME_1[[Rate name]:[Rate name]],0),MATCH(P$10,OP_TotalRates_SME_1[[#Headers],[Ausnet]:[United Energy]],0))*
INDEX(Input_Usage[],MATCH($L11&amp;" - Shoulder",Input_Usage[[Ref]:[Ref]],0),MATCH($D$7,Inputs!$C$147:$BA$147,0))),0)+
(INDEX(OP_TotalRates_SME_1[[Ausnet]:[United Energy]],MATCH("Off peak",OP_TotalRates_SME_1[[Rate name]:[Rate name]],0),MATCH(P$10,OP_TotalRates_SME_1[[#Headers],[Ausnet]:[United Energy]],0))*
INDEX(Input_Usage[],MATCH($L11&amp;" - Off peak",Input_Usage[[Ref]:[Ref]],0),MATCH($D$7,Inputs!$C$147:$BA$147,0))),0)),"-")</f>
        <v>3409</v>
      </c>
      <c r="Q11" s="126">
        <f>IFERROR(
IF($D$7="VDO 2021 - Final",
ROUNDUP(
(INDEX(OP_TotalRates_SME_1[[Ausnet]:[United Energy]],MATCH("Anytime - supply",OP_TotalRates_SME_1[[Rate name]:[Rate name]],0),MATCH(Q$10,OP_TotalRates_SME_1[[#Headers],[Ausnet]:[United Energy]],0))*_xlfn.SINGLE(DiY))+
(IFERROR((INDEX(OP_TotalRates_SME_1[[Ausnet]:[United Energy]],MATCH("Block 1",OP_TotalRates_SME_1[[Rate name]:[Rate name]],0),MATCH(Q$10,OP_TotalRates_SME_1[[#Headers],[Ausnet]:[United Energy]],0))*
INDEX(Input_Usage[],MATCH($L11&amp;" - Block 1",Input_Usage[[Ref]:[Ref]],0),MATCH($D$7,Inputs!$C$147:$BA$147,0))),0)+
IFERROR((INDEX(OP_TotalRates_SME_1[[Ausnet]:[United Energy]],MATCH("Balance",OP_TotalRates_SME_1[[Rate name]:[Rate name]],0),MATCH(Q$10,OP_TotalRates_SME_1[[#Headers],[Ausnet]:[United Energy]],0))*
INDEX(Input_Usage[],MATCH($L11&amp;" - Balance",Input_Usage[[Ref]:[Ref]],0),MATCH($D$7,Inputs!$C$147:$BA$147,0))),0)+
IFERROR((INDEX(OP_TotalRates_SME_1[[Ausnet]:[United Energy]],MATCH("Single rate",OP_TotalRates_SME_1[[Rate name]:[Rate name]],0),MATCH(Q$10,OP_TotalRates_SME_1[[#Headers],[Ausnet]:[United Energy]],0))*
INDEX(Input_Usage[],MATCH($L11&amp;" - Annual",Input_Usage[[Ref]:[Ref]],0),MATCH($D$7,Inputs!$C$147:$BA$147,0))),0)),0),
ROUNDUP(
(INDEX(OP_TotalRates_SME_1[[Ausnet]:[United Energy]],MATCH("TOU - supply",OP_TotalRates_SME_1[[Rate name]:[Rate name]],0),MATCH(Q$10,OP_TotalRates_SME_1[[#Headers],[Ausnet]:[United Energy]],0))*_xlfn.SINGLE(DiY))+
(INDEX(OP_TotalRates_SME_1[[Ausnet]:[United Energy]],MATCH("Peak",OP_TotalRates_SME_1[[Rate name]:[Rate name]],0),MATCH(Q$10,OP_TotalRates_SME_1[[#Headers],[Ausnet]:[United Energy]],0))*
INDEX(Input_Usage[],MATCH($L11&amp;" - Peak",Input_Usage[[Ref]:[Ref]],0),MATCH($D$7,Inputs!$C$147:$BA$147,0)))+
IFERROR((INDEX(OP_TotalRates_SME_1[[Ausnet]:[United Energy]],MATCH("TOU - Shoulder",OP_TotalRates_SME_1[[Rate name]:[Rate name]],0),MATCH(Q$10,OP_TotalRates_SME_1[[#Headers],[Ausnet]:[United Energy]],0))*
INDEX(Input_Usage[],MATCH($L11&amp;" - Shoulder",Input_Usage[[Ref]:[Ref]],0),MATCH($D$7,Inputs!$C$147:$BA$147,0))),0)+
(INDEX(OP_TotalRates_SME_1[[Ausnet]:[United Energy]],MATCH("Off peak",OP_TotalRates_SME_1[[Rate name]:[Rate name]],0),MATCH(Q$10,OP_TotalRates_SME_1[[#Headers],[Ausnet]:[United Energy]],0))*
INDEX(Input_Usage[],MATCH($L11&amp;" - Off peak",Input_Usage[[Ref]:[Ref]],0),MATCH($D$7,Inputs!$C$147:$BA$147,0))),0)),"-")</f>
        <v>3166</v>
      </c>
    </row>
    <row r="12" spans="1:18" x14ac:dyDescent="0.25">
      <c r="C12" s="14" t="s">
        <v>72</v>
      </c>
      <c r="D12" s="14" t="s">
        <v>94</v>
      </c>
      <c r="E12" s="126">
        <f>IFERROR(
IF($D$7="VDO 2021 - Final",
ROUNDUP(
(INDEX(OP_TotalRates_RES_1[[Ausnet]:[United Energy]],MATCH("Anytime - supply",OP_TotalRates_RES_1[Rate name],0),MATCH(E$10,OP_TotalRates_RES_1[[#Headers],[Ausnet]:[United Energy]],0))*_xlfn.SINGLE(DiY))+
(IFERROR((INDEX(OP_TotalRates_RES_1[[Ausnet]:[United Energy]],MATCH("Block 1",OP_TotalRates_RES_1[Rate name],0),MATCH(E$10,OP_TotalRates_RES_1[[#Headers],[Ausnet]:[United Energy]],0))*
INDEX(Input_Usage[],MATCH($D12&amp;" - Block 1",Input_Usage[Ref],0),MATCH($D$7,Inputs!$C$147:$BA$147,0))),0)+
IFERROR((INDEX(OP_TotalRates_RES_1[[Ausnet]:[United Energy]],MATCH("Balance",OP_TotalRates_RES_1[Rate name],0),MATCH(E$10,OP_TotalRates_RES_1[[#Headers],[Ausnet]:[United Energy]],0))*
INDEX(Input_Usage[],MATCH($D12&amp;" - Balance",Input_Usage[Ref],0),MATCH($D$7,Inputs!$C$147:$BA$147,0))),0)+
IFERROR((INDEX(OP_TotalRates_RES_1[[Ausnet]:[United Energy]],MATCH("Single rate",OP_TotalRates_RES_1[Rate name],0),MATCH(E$10,OP_TotalRates_RES_1[[#Headers],[Ausnet]:[United Energy]],0))*
INDEX(Input_Usage[],MATCH($D12&amp;" - Annual",Input_Usage[Ref],0),MATCH($D$7,Inputs!$C$147:$BA$147,0))),0)),0),
ROUNDUP(
(INDEX(OP_TotalRates_RES_1[[Ausnet]:[United Energy]],MATCH("TOU - supply",OP_TotalRates_RES_1[Rate name],0),MATCH(E$10,OP_TotalRates_RES_1[[#Headers],[Ausnet]:[United Energy]],0))*_xlfn.SINGLE(DiY))+
(INDEX(OP_TotalRates_RES_1[[Ausnet]:[United Energy]],MATCH("Peak",OP_TotalRates_RES_1[Rate name],0),MATCH(E$10,OP_TotalRates_RES_1[[#Headers],[Ausnet]:[United Energy]],0))*
INDEX(Input_Usage[],MATCH($D12&amp;" - Peak",Input_Usage[Ref],0),MATCH($D$7,Inputs!$C$147:$BA$147,0)))+
IFERROR((INDEX(OP_TotalRates_RES_1[[Ausnet]:[United Energy]],MATCH("TOU - Shoulder",OP_TotalRates_RES_1[Rate name],0),MATCH(E$10,OP_TotalRates_RES_1[[#Headers],[Ausnet]:[United Energy]],0))*
INDEX(Input_Usage[],MATCH($D12&amp;" - Shoulder",Input_Usage[Ref],0),MATCH($D$7,Inputs!$C$147:$BA$147,0))),0)+
(INDEX(OP_TotalRates_RES_1[[Ausnet]:[United Energy]],MATCH("Off peak",OP_TotalRates_RES_1[Rate name],0),MATCH(E$10,OP_TotalRates_RES_1[[#Headers],[Ausnet]:[United Energy]],0))*
INDEX(Input_Usage[],MATCH($D12&amp;" - Off peak",Input_Usage[Ref],0),MATCH($D$7,Inputs!$C$147:$BA$147,0))),0)),"-")</f>
        <v>1784</v>
      </c>
      <c r="F12" s="126">
        <f>IFERROR(
IF($D$7="VDO 2021 - Final",
ROUNDUP(
(INDEX(OP_TotalRates_RES_1[[Ausnet]:[United Energy]],MATCH("Anytime - supply",OP_TotalRates_RES_1[[Rate name]:[Rate name]],0),MATCH(F$10,OP_TotalRates_RES_1[[#Headers],[Ausnet]:[United Energy]],0))*_xlfn.SINGLE(DiY))+
(IFERROR((INDEX(OP_TotalRates_RES_1[[Ausnet]:[United Energy]],MATCH("Block 1",OP_TotalRates_RES_1[[Rate name]:[Rate name]],0),MATCH(F$10,OP_TotalRates_RES_1[[#Headers],[Ausnet]:[United Energy]],0))*
INDEX(Input_Usage[],MATCH($D12&amp;" - Block 1",Input_Usage[[Ref]:[Ref]],0),MATCH($D$7,Inputs!$C$147:$BA$147,0))),0)+
IFERROR((INDEX(OP_TotalRates_RES_1[[Ausnet]:[United Energy]],MATCH("Balance",OP_TotalRates_RES_1[[Rate name]:[Rate name]],0),MATCH(F$10,OP_TotalRates_RES_1[[#Headers],[Ausnet]:[United Energy]],0))*
INDEX(Input_Usage[],MATCH($D12&amp;" - Balance",Input_Usage[[Ref]:[Ref]],0),MATCH($D$7,Inputs!$C$147:$BA$147,0))),0)+
IFERROR((INDEX(OP_TotalRates_RES_1[[Ausnet]:[United Energy]],MATCH("Single rate",OP_TotalRates_RES_1[[Rate name]:[Rate name]],0),MATCH(F$10,OP_TotalRates_RES_1[[#Headers],[Ausnet]:[United Energy]],0))*
INDEX(Input_Usage[],MATCH($D12&amp;" - Annual",Input_Usage[[Ref]:[Ref]],0),MATCH($D$7,Inputs!$C$147:$BA$147,0))),0)),0),
ROUNDUP(
(INDEX(OP_TotalRates_RES_1[[Ausnet]:[United Energy]],MATCH("TOU - supply",OP_TotalRates_RES_1[[Rate name]:[Rate name]],0),MATCH(F$10,OP_TotalRates_RES_1[[#Headers],[Ausnet]:[United Energy]],0))*_xlfn.SINGLE(DiY))+
(INDEX(OP_TotalRates_RES_1[[Ausnet]:[United Energy]],MATCH("Peak",OP_TotalRates_RES_1[[Rate name]:[Rate name]],0),MATCH(F$10,OP_TotalRates_RES_1[[#Headers],[Ausnet]:[United Energy]],0))*
INDEX(Input_Usage[],MATCH($D12&amp;" - Peak",Input_Usage[[Ref]:[Ref]],0),MATCH($D$7,Inputs!$C$147:$BA$147,0)))+
IFERROR((INDEX(OP_TotalRates_RES_1[[Ausnet]:[United Energy]],MATCH("TOU - Shoulder",OP_TotalRates_RES_1[[Rate name]:[Rate name]],0),MATCH(F$10,OP_TotalRates_RES_1[[#Headers],[Ausnet]:[United Energy]],0))*
INDEX(Input_Usage[],MATCH($D12&amp;" - Shoulder",Input_Usage[[Ref]:[Ref]],0),MATCH($D$7,Inputs!$C$147:$BA$147,0))),0)+
(INDEX(OP_TotalRates_RES_1[[Ausnet]:[United Energy]],MATCH("Off peak",OP_TotalRates_RES_1[[Rate name]:[Rate name]],0),MATCH(F$10,OP_TotalRates_RES_1[[#Headers],[Ausnet]:[United Energy]],0))*
INDEX(Input_Usage[],MATCH($D12&amp;" - Off peak",Input_Usage[[Ref]:[Ref]],0),MATCH($D$7,Inputs!$C$147:$BA$147,0))),0)),"-")</f>
        <v>1441</v>
      </c>
      <c r="G12" s="126">
        <f>IFERROR(
IF($D$7="VDO 2021 - Final",
ROUNDUP(
(INDEX(OP_TotalRates_RES_1[[Ausnet]:[United Energy]],MATCH("Anytime - supply",OP_TotalRates_RES_1[[Rate name]:[Rate name]],0),MATCH(G$10,OP_TotalRates_RES_1[[#Headers],[Ausnet]:[United Energy]],0))*_xlfn.SINGLE(DiY))+
(IFERROR((INDEX(OP_TotalRates_RES_1[[Ausnet]:[United Energy]],MATCH("Block 1",OP_TotalRates_RES_1[[Rate name]:[Rate name]],0),MATCH(G$10,OP_TotalRates_RES_1[[#Headers],[Ausnet]:[United Energy]],0))*
INDEX(Input_Usage[],MATCH($D12&amp;" - Block 1",Input_Usage[[Ref]:[Ref]],0),MATCH($D$7,Inputs!$C$147:$BA$147,0))),0)+
IFERROR((INDEX(OP_TotalRates_RES_1[[Ausnet]:[United Energy]],MATCH("Balance",OP_TotalRates_RES_1[[Rate name]:[Rate name]],0),MATCH(G$10,OP_TotalRates_RES_1[[#Headers],[Ausnet]:[United Energy]],0))*
INDEX(Input_Usage[],MATCH($D12&amp;" - Balance",Input_Usage[[Ref]:[Ref]],0),MATCH($D$7,Inputs!$C$147:$BA$147,0))),0)+
IFERROR((INDEX(OP_TotalRates_RES_1[[Ausnet]:[United Energy]],MATCH("Single rate",OP_TotalRates_RES_1[[Rate name]:[Rate name]],0),MATCH(G$10,OP_TotalRates_RES_1[[#Headers],[Ausnet]:[United Energy]],0))*
INDEX(Input_Usage[],MATCH($D12&amp;" - Annual",Input_Usage[[Ref]:[Ref]],0),MATCH($D$7,Inputs!$C$147:$BA$147,0))),0)),0),
ROUNDUP(
(INDEX(OP_TotalRates_RES_1[[Ausnet]:[United Energy]],MATCH("TOU - supply",OP_TotalRates_RES_1[[Rate name]:[Rate name]],0),MATCH(G$10,OP_TotalRates_RES_1[[#Headers],[Ausnet]:[United Energy]],0))*_xlfn.SINGLE(DiY))+
(INDEX(OP_TotalRates_RES_1[[Ausnet]:[United Energy]],MATCH("Peak",OP_TotalRates_RES_1[[Rate name]:[Rate name]],0),MATCH(G$10,OP_TotalRates_RES_1[[#Headers],[Ausnet]:[United Energy]],0))*
INDEX(Input_Usage[],MATCH($D12&amp;" - Peak",Input_Usage[[Ref]:[Ref]],0),MATCH($D$7,Inputs!$C$147:$BA$147,0)))+
IFERROR((INDEX(OP_TotalRates_RES_1[[Ausnet]:[United Energy]],MATCH("TOU - Shoulder",OP_TotalRates_RES_1[[Rate name]:[Rate name]],0),MATCH(G$10,OP_TotalRates_RES_1[[#Headers],[Ausnet]:[United Energy]],0))*
INDEX(Input_Usage[],MATCH($D12&amp;" - Shoulder",Input_Usage[[Ref]:[Ref]],0),MATCH($D$7,Inputs!$C$147:$BA$147,0))),0)+
(INDEX(OP_TotalRates_RES_1[[Ausnet]:[United Energy]],MATCH("Off peak",OP_TotalRates_RES_1[[Rate name]:[Rate name]],0),MATCH(G$10,OP_TotalRates_RES_1[[#Headers],[Ausnet]:[United Energy]],0))*
INDEX(Input_Usage[],MATCH($D12&amp;" - Off peak",Input_Usage[[Ref]:[Ref]],0),MATCH($D$7,Inputs!$C$147:$BA$147,0))),0)),"-")</f>
        <v>1602</v>
      </c>
      <c r="H12" s="126">
        <f>IFERROR(
IF($D$7="VDO 2021 - Final",
ROUNDUP(
(INDEX(OP_TotalRates_RES_1[[Ausnet]:[United Energy]],MATCH("Anytime - supply",OP_TotalRates_RES_1[[Rate name]:[Rate name]],0),MATCH(H$10,OP_TotalRates_RES_1[[#Headers],[Ausnet]:[United Energy]],0))*_xlfn.SINGLE(DiY))+
(IFERROR((INDEX(OP_TotalRates_RES_1[[Ausnet]:[United Energy]],MATCH("Block 1",OP_TotalRates_RES_1[[Rate name]:[Rate name]],0),MATCH(H$10,OP_TotalRates_RES_1[[#Headers],[Ausnet]:[United Energy]],0))*
INDEX(Input_Usage[],MATCH($D12&amp;" - Block 1",Input_Usage[[Ref]:[Ref]],0),MATCH($D$7,Inputs!$C$147:$BA$147,0))),0)+
IFERROR((INDEX(OP_TotalRates_RES_1[[Ausnet]:[United Energy]],MATCH("Balance",OP_TotalRates_RES_1[[Rate name]:[Rate name]],0),MATCH(H$10,OP_TotalRates_RES_1[[#Headers],[Ausnet]:[United Energy]],0))*
INDEX(Input_Usage[],MATCH($D12&amp;" - Balance",Input_Usage[[Ref]:[Ref]],0),MATCH($D$7,Inputs!$C$147:$BA$147,0))),0)+
IFERROR((INDEX(OP_TotalRates_RES_1[[Ausnet]:[United Energy]],MATCH("Single rate",OP_TotalRates_RES_1[[Rate name]:[Rate name]],0),MATCH(H$10,OP_TotalRates_RES_1[[#Headers],[Ausnet]:[United Energy]],0))*
INDEX(Input_Usage[],MATCH($D12&amp;" - Annual",Input_Usage[[Ref]:[Ref]],0),MATCH($D$7,Inputs!$C$147:$BA$147,0))),0)),0),
ROUNDUP(
(INDEX(OP_TotalRates_RES_1[[Ausnet]:[United Energy]],MATCH("TOU - supply",OP_TotalRates_RES_1[[Rate name]:[Rate name]],0),MATCH(H$10,OP_TotalRates_RES_1[[#Headers],[Ausnet]:[United Energy]],0))*_xlfn.SINGLE(DiY))+
(INDEX(OP_TotalRates_RES_1[[Ausnet]:[United Energy]],MATCH("Peak",OP_TotalRates_RES_1[[Rate name]:[Rate name]],0),MATCH(H$10,OP_TotalRates_RES_1[[#Headers],[Ausnet]:[United Energy]],0))*
INDEX(Input_Usage[],MATCH($D12&amp;" - Peak",Input_Usage[[Ref]:[Ref]],0),MATCH($D$7,Inputs!$C$147:$BA$147,0)))+
IFERROR((INDEX(OP_TotalRates_RES_1[[Ausnet]:[United Energy]],MATCH("TOU - Shoulder",OP_TotalRates_RES_1[[Rate name]:[Rate name]],0),MATCH(H$10,OP_TotalRates_RES_1[[#Headers],[Ausnet]:[United Energy]],0))*
INDEX(Input_Usage[],MATCH($D12&amp;" - Shoulder",Input_Usage[[Ref]:[Ref]],0),MATCH($D$7,Inputs!$C$147:$BA$147,0))),0)+
(INDEX(OP_TotalRates_RES_1[[Ausnet]:[United Energy]],MATCH("Off peak",OP_TotalRates_RES_1[[Rate name]:[Rate name]],0),MATCH(H$10,OP_TotalRates_RES_1[[#Headers],[Ausnet]:[United Energy]],0))*
INDEX(Input_Usage[],MATCH($D12&amp;" - Off peak",Input_Usage[[Ref]:[Ref]],0),MATCH($D$7,Inputs!$C$147:$BA$147,0))),0)),"-")</f>
        <v>1674</v>
      </c>
      <c r="I12" s="126">
        <f>IFERROR(
IF($D$7="VDO 2021 - Final",
ROUNDUP(
(INDEX(OP_TotalRates_RES_1[[Ausnet]:[United Energy]],MATCH("Anytime - supply",OP_TotalRates_RES_1[[Rate name]:[Rate name]],0),MATCH(I$10,OP_TotalRates_RES_1[[#Headers],[Ausnet]:[United Energy]],0))*_xlfn.SINGLE(DiY))+
(IFERROR((INDEX(OP_TotalRates_RES_1[[Ausnet]:[United Energy]],MATCH("Block 1",OP_TotalRates_RES_1[[Rate name]:[Rate name]],0),MATCH(I$10,OP_TotalRates_RES_1[[#Headers],[Ausnet]:[United Energy]],0))*
INDEX(Input_Usage[],MATCH($D12&amp;" - Block 1",Input_Usage[[Ref]:[Ref]],0),MATCH($D$7,Inputs!$C$147:$BA$147,0))),0)+
IFERROR((INDEX(OP_TotalRates_RES_1[[Ausnet]:[United Energy]],MATCH("Balance",OP_TotalRates_RES_1[[Rate name]:[Rate name]],0),MATCH(I$10,OP_TotalRates_RES_1[[#Headers],[Ausnet]:[United Energy]],0))*
INDEX(Input_Usage[],MATCH($D12&amp;" - Balance",Input_Usage[[Ref]:[Ref]],0),MATCH($D$7,Inputs!$C$147:$BA$147,0))),0)+
IFERROR((INDEX(OP_TotalRates_RES_1[[Ausnet]:[United Energy]],MATCH("Single rate",OP_TotalRates_RES_1[[Rate name]:[Rate name]],0),MATCH(I$10,OP_TotalRates_RES_1[[#Headers],[Ausnet]:[United Energy]],0))*
INDEX(Input_Usage[],MATCH($D12&amp;" - Annual",Input_Usage[[Ref]:[Ref]],0),MATCH($D$7,Inputs!$C$147:$BA$147,0))),0)),0),
ROUNDUP(
(INDEX(OP_TotalRates_RES_1[[Ausnet]:[United Energy]],MATCH("TOU - supply",OP_TotalRates_RES_1[[Rate name]:[Rate name]],0),MATCH(I$10,OP_TotalRates_RES_1[[#Headers],[Ausnet]:[United Energy]],0))*_xlfn.SINGLE(DiY))+
(INDEX(OP_TotalRates_RES_1[[Ausnet]:[United Energy]],MATCH("Peak",OP_TotalRates_RES_1[[Rate name]:[Rate name]],0),MATCH(I$10,OP_TotalRates_RES_1[[#Headers],[Ausnet]:[United Energy]],0))*
INDEX(Input_Usage[],MATCH($D12&amp;" - Peak",Input_Usage[[Ref]:[Ref]],0),MATCH($D$7,Inputs!$C$147:$BA$147,0)))+
IFERROR((INDEX(OP_TotalRates_RES_1[[Ausnet]:[United Energy]],MATCH("TOU - Shoulder",OP_TotalRates_RES_1[[Rate name]:[Rate name]],0),MATCH(I$10,OP_TotalRates_RES_1[[#Headers],[Ausnet]:[United Energy]],0))*
INDEX(Input_Usage[],MATCH($D12&amp;" - Shoulder",Input_Usage[[Ref]:[Ref]],0),MATCH($D$7,Inputs!$C$147:$BA$147,0))),0)+
(INDEX(OP_TotalRates_RES_1[[Ausnet]:[United Energy]],MATCH("Off peak",OP_TotalRates_RES_1[[Rate name]:[Rate name]],0),MATCH(I$10,OP_TotalRates_RES_1[[#Headers],[Ausnet]:[United Energy]],0))*
INDEX(Input_Usage[],MATCH($D12&amp;" - Off peak",Input_Usage[[Ref]:[Ref]],0),MATCH($D$7,Inputs!$C$147:$BA$147,0))),0)),"-")</f>
        <v>1526</v>
      </c>
      <c r="K12" s="14" t="s">
        <v>73</v>
      </c>
      <c r="L12" s="14" t="s">
        <v>95</v>
      </c>
      <c r="M12" s="126">
        <f>IFERROR(
IF($D$7="VDO 2021 - Final",
ROUNDUP(
(INDEX(OP_TotalRates_SME_1[[Ausnet]:[United Energy]],MATCH("Anytime - supply",OP_TotalRates_SME_1[[Rate name]:[Rate name]],0),MATCH(M$10,OP_TotalRates_SME_1[[#Headers],[Ausnet]:[United Energy]],0))*_xlfn.SINGLE(DiY))+
(IFERROR((INDEX(OP_TotalRates_SME_1[[Ausnet]:[United Energy]],MATCH("Block 1",OP_TotalRates_SME_1[[Rate name]:[Rate name]],0),MATCH(M$10,OP_TotalRates_SME_1[[#Headers],[Ausnet]:[United Energy]],0))*
INDEX(Input_Usage[],MATCH($L12&amp;" - Block 1",Input_Usage[[Ref]:[Ref]],0),MATCH($D$7,Inputs!$C$147:$BA$147,0))),0)+
IFERROR((INDEX(OP_TotalRates_SME_1[[Ausnet]:[United Energy]],MATCH("Balance",OP_TotalRates_SME_1[[Rate name]:[Rate name]],0),MATCH(M$10,OP_TotalRates_SME_1[[#Headers],[Ausnet]:[United Energy]],0))*
INDEX(Input_Usage[],MATCH($L12&amp;" - Balance",Input_Usage[[Ref]:[Ref]],0),MATCH($D$7,Inputs!$C$147:$BA$147,0))),0)+
IFERROR((INDEX(OP_TotalRates_SME_1[[Ausnet]:[United Energy]],MATCH("Single rate",OP_TotalRates_SME_1[[Rate name]:[Rate name]],0),MATCH(M$10,OP_TotalRates_SME_1[[#Headers],[Ausnet]:[United Energy]],0))*
INDEX(Input_Usage[],MATCH($L12&amp;" - Annual",Input_Usage[[Ref]:[Ref]],0),MATCH($D$7,Inputs!$C$147:$BA$147,0))),0)),0),
ROUNDUP(
(INDEX(OP_TotalRates_SME_1[[Ausnet]:[United Energy]],MATCH("TOU - supply",OP_TotalRates_SME_1[[Rate name]:[Rate name]],0),MATCH(M$10,OP_TotalRates_SME_1[[#Headers],[Ausnet]:[United Energy]],0))*_xlfn.SINGLE(DiY))+
(INDEX(OP_TotalRates_SME_1[[Ausnet]:[United Energy]],MATCH("Peak",OP_TotalRates_SME_1[[Rate name]:[Rate name]],0),MATCH(M$10,OP_TotalRates_SME_1[[#Headers],[Ausnet]:[United Energy]],0))*
INDEX(Input_Usage[],MATCH($L12&amp;" - Peak",Input_Usage[[Ref]:[Ref]],0),MATCH($D$7,Inputs!$C$147:$BA$147,0)))+
IFERROR((INDEX(OP_TotalRates_SME_1[[Ausnet]:[United Energy]],MATCH("TOU - Shoulder",OP_TotalRates_SME_1[[Rate name]:[Rate name]],0),MATCH(M$10,OP_TotalRates_SME_1[[#Headers],[Ausnet]:[United Energy]],0))*
INDEX(Input_Usage[],MATCH($L12&amp;" - Shoulder",Input_Usage[[Ref]:[Ref]],0),MATCH($D$7,Inputs!$C$147:$BA$147,0))),0)+
(INDEX(OP_TotalRates_SME_1[[Ausnet]:[United Energy]],MATCH("Off peak",OP_TotalRates_SME_1[[Rate name]:[Rate name]],0),MATCH(M$10,OP_TotalRates_SME_1[[#Headers],[Ausnet]:[United Energy]],0))*
INDEX(Input_Usage[],MATCH($L12&amp;" - Off peak",Input_Usage[[Ref]:[Ref]],0),MATCH($D$7,Inputs!$C$147:$BA$147,0))),0)),"-")</f>
        <v>6558</v>
      </c>
      <c r="N12" s="126">
        <f>IFERROR(
IF($D$7="VDO 2021 - Final",
ROUNDUP(
(INDEX(OP_TotalRates_SME_1[[Ausnet]:[United Energy]],MATCH("Anytime - supply",OP_TotalRates_SME_1[[Rate name]:[Rate name]],0),MATCH(N$10,OP_TotalRates_SME_1[[#Headers],[Ausnet]:[United Energy]],0))*_xlfn.SINGLE(DiY))+
(IFERROR((INDEX(OP_TotalRates_SME_1[[Ausnet]:[United Energy]],MATCH("Block 1",OP_TotalRates_SME_1[[Rate name]:[Rate name]],0),MATCH(N$10,OP_TotalRates_SME_1[[#Headers],[Ausnet]:[United Energy]],0))*
INDEX(Input_Usage[],MATCH($L12&amp;" - Block 1",Input_Usage[[Ref]:[Ref]],0),MATCH($D$7,Inputs!$C$147:$BA$147,0))),0)+
IFERROR((INDEX(OP_TotalRates_SME_1[[Ausnet]:[United Energy]],MATCH("Balance",OP_TotalRates_SME_1[[Rate name]:[Rate name]],0),MATCH(N$10,OP_TotalRates_SME_1[[#Headers],[Ausnet]:[United Energy]],0))*
INDEX(Input_Usage[],MATCH($L12&amp;" - Balance",Input_Usage[[Ref]:[Ref]],0),MATCH($D$7,Inputs!$C$147:$BA$147,0))),0)+
IFERROR((INDEX(OP_TotalRates_SME_1[[Ausnet]:[United Energy]],MATCH("Single rate",OP_TotalRates_SME_1[[Rate name]:[Rate name]],0),MATCH(N$10,OP_TotalRates_SME_1[[#Headers],[Ausnet]:[United Energy]],0))*
INDEX(Input_Usage[],MATCH($L12&amp;" - Annual",Input_Usage[[Ref]:[Ref]],0),MATCH($D$7,Inputs!$C$147:$BA$147,0))),0)),0),
ROUNDUP(
(INDEX(OP_TotalRates_SME_1[[Ausnet]:[United Energy]],MATCH("TOU - supply",OP_TotalRates_SME_1[[Rate name]:[Rate name]],0),MATCH(N$10,OP_TotalRates_SME_1[[#Headers],[Ausnet]:[United Energy]],0))*_xlfn.SINGLE(DiY))+
(INDEX(OP_TotalRates_SME_1[[Ausnet]:[United Energy]],MATCH("Peak",OP_TotalRates_SME_1[[Rate name]:[Rate name]],0),MATCH(N$10,OP_TotalRates_SME_1[[#Headers],[Ausnet]:[United Energy]],0))*
INDEX(Input_Usage[],MATCH($L12&amp;" - Peak",Input_Usage[[Ref]:[Ref]],0),MATCH($D$7,Inputs!$C$147:$BA$147,0)))+
IFERROR((INDEX(OP_TotalRates_SME_1[[Ausnet]:[United Energy]],MATCH("TOU - Shoulder",OP_TotalRates_SME_1[[Rate name]:[Rate name]],0),MATCH(N$10,OP_TotalRates_SME_1[[#Headers],[Ausnet]:[United Energy]],0))*
INDEX(Input_Usage[],MATCH($L12&amp;" - Shoulder",Input_Usage[[Ref]:[Ref]],0),MATCH($D$7,Inputs!$C$147:$BA$147,0))),0)+
(INDEX(OP_TotalRates_SME_1[[Ausnet]:[United Energy]],MATCH("Off peak",OP_TotalRates_SME_1[[Rate name]:[Rate name]],0),MATCH(N$10,OP_TotalRates_SME_1[[#Headers],[Ausnet]:[United Energy]],0))*
INDEX(Input_Usage[],MATCH($L12&amp;" - Off peak",Input_Usage[[Ref]:[Ref]],0),MATCH($D$7,Inputs!$C$147:$BA$147,0))),0)),"-")</f>
        <v>5473</v>
      </c>
      <c r="O12" s="126">
        <f>IFERROR(
IF($D$7="VDO 2021 - Final",
ROUNDUP(
(INDEX(OP_TotalRates_SME_1[[Ausnet]:[United Energy]],MATCH("Anytime - supply",OP_TotalRates_SME_1[[Rate name]:[Rate name]],0),MATCH(O$10,OP_TotalRates_SME_1[[#Headers],[Ausnet]:[United Energy]],0))*_xlfn.SINGLE(DiY))+
(IFERROR((INDEX(OP_TotalRates_SME_1[[Ausnet]:[United Energy]],MATCH("Block 1",OP_TotalRates_SME_1[[Rate name]:[Rate name]],0),MATCH(O$10,OP_TotalRates_SME_1[[#Headers],[Ausnet]:[United Energy]],0))*
INDEX(Input_Usage[],MATCH($L12&amp;" - Block 1",Input_Usage[[Ref]:[Ref]],0),MATCH($D$7,Inputs!$C$147:$BA$147,0))),0)+
IFERROR((INDEX(OP_TotalRates_SME_1[[Ausnet]:[United Energy]],MATCH("Balance",OP_TotalRates_SME_1[[Rate name]:[Rate name]],0),MATCH(O$10,OP_TotalRates_SME_1[[#Headers],[Ausnet]:[United Energy]],0))*
INDEX(Input_Usage[],MATCH($L12&amp;" - Balance",Input_Usage[[Ref]:[Ref]],0),MATCH($D$7,Inputs!$C$147:$BA$147,0))),0)+
IFERROR((INDEX(OP_TotalRates_SME_1[[Ausnet]:[United Energy]],MATCH("Single rate",OP_TotalRates_SME_1[[Rate name]:[Rate name]],0),MATCH(O$10,OP_TotalRates_SME_1[[#Headers],[Ausnet]:[United Energy]],0))*
INDEX(Input_Usage[],MATCH($L12&amp;" - Annual",Input_Usage[[Ref]:[Ref]],0),MATCH($D$7,Inputs!$C$147:$BA$147,0))),0)),0),
ROUNDUP(
(INDEX(OP_TotalRates_SME_1[[Ausnet]:[United Energy]],MATCH("TOU - supply",OP_TotalRates_SME_1[[Rate name]:[Rate name]],0),MATCH(O$10,OP_TotalRates_SME_1[[#Headers],[Ausnet]:[United Energy]],0))*_xlfn.SINGLE(DiY))+
(INDEX(OP_TotalRates_SME_1[[Ausnet]:[United Energy]],MATCH("Peak",OP_TotalRates_SME_1[[Rate name]:[Rate name]],0),MATCH(O$10,OP_TotalRates_SME_1[[#Headers],[Ausnet]:[United Energy]],0))*
INDEX(Input_Usage[],MATCH($L12&amp;" - Peak",Input_Usage[[Ref]:[Ref]],0),MATCH($D$7,Inputs!$C$147:$BA$147,0)))+
IFERROR((INDEX(OP_TotalRates_SME_1[[Ausnet]:[United Energy]],MATCH("TOU - Shoulder",OP_TotalRates_SME_1[[Rate name]:[Rate name]],0),MATCH(O$10,OP_TotalRates_SME_1[[#Headers],[Ausnet]:[United Energy]],0))*
INDEX(Input_Usage[],MATCH($L12&amp;" - Shoulder",Input_Usage[[Ref]:[Ref]],0),MATCH($D$7,Inputs!$C$147:$BA$147,0))),0)+
(INDEX(OP_TotalRates_SME_1[[Ausnet]:[United Energy]],MATCH("Off peak",OP_TotalRates_SME_1[[Rate name]:[Rate name]],0),MATCH(O$10,OP_TotalRates_SME_1[[#Headers],[Ausnet]:[United Energy]],0))*
INDEX(Input_Usage[],MATCH($L12&amp;" - Off peak",Input_Usage[[Ref]:[Ref]],0),MATCH($D$7,Inputs!$C$147:$BA$147,0))),0)),"-")</f>
        <v>6257</v>
      </c>
      <c r="P12" s="126">
        <f>IFERROR(
IF($D$7="VDO 2021 - Final",
ROUNDUP(
(INDEX(OP_TotalRates_SME_1[[Ausnet]:[United Energy]],MATCH("Anytime - supply",OP_TotalRates_SME_1[[Rate name]:[Rate name]],0),MATCH(P$10,OP_TotalRates_SME_1[[#Headers],[Ausnet]:[United Energy]],0))*_xlfn.SINGLE(DiY))+
(IFERROR((INDEX(OP_TotalRates_SME_1[[Ausnet]:[United Energy]],MATCH("Block 1",OP_TotalRates_SME_1[[Rate name]:[Rate name]],0),MATCH(P$10,OP_TotalRates_SME_1[[#Headers],[Ausnet]:[United Energy]],0))*
INDEX(Input_Usage[],MATCH($L12&amp;" - Block 1",Input_Usage[[Ref]:[Ref]],0),MATCH($D$7,Inputs!$C$147:$BA$147,0))),0)+
IFERROR((INDEX(OP_TotalRates_SME_1[[Ausnet]:[United Energy]],MATCH("Balance",OP_TotalRates_SME_1[[Rate name]:[Rate name]],0),MATCH(P$10,OP_TotalRates_SME_1[[#Headers],[Ausnet]:[United Energy]],0))*
INDEX(Input_Usage[],MATCH($L12&amp;" - Balance",Input_Usage[[Ref]:[Ref]],0),MATCH($D$7,Inputs!$C$147:$BA$147,0))),0)+
IFERROR((INDEX(OP_TotalRates_SME_1[[Ausnet]:[United Energy]],MATCH("Single rate",OP_TotalRates_SME_1[[Rate name]:[Rate name]],0),MATCH(P$10,OP_TotalRates_SME_1[[#Headers],[Ausnet]:[United Energy]],0))*
INDEX(Input_Usage[],MATCH($L12&amp;" - Annual",Input_Usage[[Ref]:[Ref]],0),MATCH($D$7,Inputs!$C$147:$BA$147,0))),0)),0),
ROUNDUP(
(INDEX(OP_TotalRates_SME_1[[Ausnet]:[United Energy]],MATCH("TOU - supply",OP_TotalRates_SME_1[[Rate name]:[Rate name]],0),MATCH(P$10,OP_TotalRates_SME_1[[#Headers],[Ausnet]:[United Energy]],0))*_xlfn.SINGLE(DiY))+
(INDEX(OP_TotalRates_SME_1[[Ausnet]:[United Energy]],MATCH("Peak",OP_TotalRates_SME_1[[Rate name]:[Rate name]],0),MATCH(P$10,OP_TotalRates_SME_1[[#Headers],[Ausnet]:[United Energy]],0))*
INDEX(Input_Usage[],MATCH($L12&amp;" - Peak",Input_Usage[[Ref]:[Ref]],0),MATCH($D$7,Inputs!$C$147:$BA$147,0)))+
IFERROR((INDEX(OP_TotalRates_SME_1[[Ausnet]:[United Energy]],MATCH("TOU - Shoulder",OP_TotalRates_SME_1[[Rate name]:[Rate name]],0),MATCH(P$10,OP_TotalRates_SME_1[[#Headers],[Ausnet]:[United Energy]],0))*
INDEX(Input_Usage[],MATCH($L12&amp;" - Shoulder",Input_Usage[[Ref]:[Ref]],0),MATCH($D$7,Inputs!$C$147:$BA$147,0))),0)+
(INDEX(OP_TotalRates_SME_1[[Ausnet]:[United Energy]],MATCH("Off peak",OP_TotalRates_SME_1[[Rate name]:[Rate name]],0),MATCH(P$10,OP_TotalRates_SME_1[[#Headers],[Ausnet]:[United Energy]],0))*
INDEX(Input_Usage[],MATCH($L12&amp;" - Off peak",Input_Usage[[Ref]:[Ref]],0),MATCH($D$7,Inputs!$C$147:$BA$147,0))),0)),"-")</f>
        <v>6285</v>
      </c>
      <c r="Q12" s="126">
        <f>IFERROR(
IF($D$7="VDO 2021 - Final",
ROUNDUP(
(INDEX(OP_TotalRates_SME_1[[Ausnet]:[United Energy]],MATCH("Anytime - supply",OP_TotalRates_SME_1[[Rate name]:[Rate name]],0),MATCH(Q$10,OP_TotalRates_SME_1[[#Headers],[Ausnet]:[United Energy]],0))*_xlfn.SINGLE(DiY))+
(IFERROR((INDEX(OP_TotalRates_SME_1[[Ausnet]:[United Energy]],MATCH("Block 1",OP_TotalRates_SME_1[[Rate name]:[Rate name]],0),MATCH(Q$10,OP_TotalRates_SME_1[[#Headers],[Ausnet]:[United Energy]],0))*
INDEX(Input_Usage[],MATCH($L12&amp;" - Block 1",Input_Usage[[Ref]:[Ref]],0),MATCH($D$7,Inputs!$C$147:$BA$147,0))),0)+
IFERROR((INDEX(OP_TotalRates_SME_1[[Ausnet]:[United Energy]],MATCH("Balance",OP_TotalRates_SME_1[[Rate name]:[Rate name]],0),MATCH(Q$10,OP_TotalRates_SME_1[[#Headers],[Ausnet]:[United Energy]],0))*
INDEX(Input_Usage[],MATCH($L12&amp;" - Balance",Input_Usage[[Ref]:[Ref]],0),MATCH($D$7,Inputs!$C$147:$BA$147,0))),0)+
IFERROR((INDEX(OP_TotalRates_SME_1[[Ausnet]:[United Energy]],MATCH("Single rate",OP_TotalRates_SME_1[[Rate name]:[Rate name]],0),MATCH(Q$10,OP_TotalRates_SME_1[[#Headers],[Ausnet]:[United Energy]],0))*
INDEX(Input_Usage[],MATCH($L12&amp;" - Annual",Input_Usage[[Ref]:[Ref]],0),MATCH($D$7,Inputs!$C$147:$BA$147,0))),0)),0),
ROUNDUP(
(INDEX(OP_TotalRates_SME_1[[Ausnet]:[United Energy]],MATCH("TOU - supply",OP_TotalRates_SME_1[[Rate name]:[Rate name]],0),MATCH(Q$10,OP_TotalRates_SME_1[[#Headers],[Ausnet]:[United Energy]],0))*_xlfn.SINGLE(DiY))+
(INDEX(OP_TotalRates_SME_1[[Ausnet]:[United Energy]],MATCH("Peak",OP_TotalRates_SME_1[[Rate name]:[Rate name]],0),MATCH(Q$10,OP_TotalRates_SME_1[[#Headers],[Ausnet]:[United Energy]],0))*
INDEX(Input_Usage[],MATCH($L12&amp;" - Peak",Input_Usage[[Ref]:[Ref]],0),MATCH($D$7,Inputs!$C$147:$BA$147,0)))+
IFERROR((INDEX(OP_TotalRates_SME_1[[Ausnet]:[United Energy]],MATCH("TOU - Shoulder",OP_TotalRates_SME_1[[Rate name]:[Rate name]],0),MATCH(Q$10,OP_TotalRates_SME_1[[#Headers],[Ausnet]:[United Energy]],0))*
INDEX(Input_Usage[],MATCH($L12&amp;" - Shoulder",Input_Usage[[Ref]:[Ref]],0),MATCH($D$7,Inputs!$C$147:$BA$147,0))),0)+
(INDEX(OP_TotalRates_SME_1[[Ausnet]:[United Energy]],MATCH("Off peak",OP_TotalRates_SME_1[[Rate name]:[Rate name]],0),MATCH(Q$10,OP_TotalRates_SME_1[[#Headers],[Ausnet]:[United Energy]],0))*
INDEX(Input_Usage[],MATCH($L12&amp;" - Off peak",Input_Usage[[Ref]:[Ref]],0),MATCH($D$7,Inputs!$C$147:$BA$147,0))),0)),"-")</f>
        <v>5862</v>
      </c>
    </row>
    <row r="13" spans="1:18" hidden="1" x14ac:dyDescent="0.25">
      <c r="C13" s="31" t="s">
        <v>72</v>
      </c>
      <c r="D13" s="31" t="s">
        <v>96</v>
      </c>
      <c r="E13" s="126">
        <f>IFERROR(
IF($D$7="VDO 2021 - Final",
ROUNDUP(
(INDEX(OP_TotalRates_RES_1[[Ausnet]:[United Energy]],MATCH("Anytime - supply",OP_TotalRates_RES_1[[Rate name]:[Rate name]],0),MATCH(E$10,OP_TotalRates_RES_1[[#Headers],[Ausnet]:[United Energy]],0))*_xlfn.SINGLE(DiY))+
(IFERROR((INDEX(OP_TotalRates_RES_1[[Ausnet]:[United Energy]],MATCH("Block 1",OP_TotalRates_RES_1[[Rate name]:[Rate name]],0),MATCH(E$10,OP_TotalRates_RES_1[[#Headers],[Ausnet]:[United Energy]],0))*
INDEX(Input_Usage[],MATCH($D13&amp;" - Block 1",Input_Usage[[Ref]:[Ref]],0),MATCH($D$7,Inputs!$C$147:$BA$147,0))),0)+
IFERROR((INDEX(OP_TotalRates_RES_1[[Ausnet]:[United Energy]],MATCH("Balance",OP_TotalRates_RES_1[[Rate name]:[Rate name]],0),MATCH(E$10,OP_TotalRates_RES_1[[#Headers],[Ausnet]:[United Energy]],0))*
INDEX(Input_Usage[],MATCH($D13&amp;" - Balance",Input_Usage[[Ref]:[Ref]],0),MATCH($D$7,Inputs!$C$147:$BA$147,0))),0)+
IFERROR((INDEX(OP_TotalRates_RES_1[[Ausnet]:[United Energy]],MATCH("Single rate",OP_TotalRates_RES_1[[Rate name]:[Rate name]],0),MATCH(E$10,OP_TotalRates_RES_1[[#Headers],[Ausnet]:[United Energy]],0))*
INDEX(Input_Usage[],MATCH($D13&amp;" - Annual",Input_Usage[[Ref]:[Ref]],0),MATCH($D$7,Inputs!$C$147:$BA$147,0))),0)),0),
ROUNDUP(
(INDEX(OP_TotalRates_RES_1[[Ausnet]:[United Energy]],MATCH("TOU - supply",OP_TotalRates_RES_1[[Rate name]:[Rate name]],0),MATCH(E$10,OP_TotalRates_RES_1[[#Headers],[Ausnet]:[United Energy]],0))*_xlfn.SINGLE(DiY))+
(INDEX(OP_TotalRates_RES_1[[Ausnet]:[United Energy]],MATCH("Peak",OP_TotalRates_RES_1[[Rate name]:[Rate name]],0),MATCH(E$10,OP_TotalRates_RES_1[[#Headers],[Ausnet]:[United Energy]],0))*
INDEX(Input_Usage[],MATCH($D13&amp;" - Peak",Input_Usage[[Ref]:[Ref]],0),MATCH($D$7,Inputs!$C$147:$BA$147,0)))+
IFERROR((INDEX(OP_TotalRates_RES_1[[Ausnet]:[United Energy]],MATCH("TOU - Shoulder",OP_TotalRates_RES_1[[Rate name]:[Rate name]],0),MATCH(E$10,OP_TotalRates_RES_1[[#Headers],[Ausnet]:[United Energy]],0))*
INDEX(Input_Usage[],MATCH($D13&amp;" - Shoulder",Input_Usage[[Ref]:[Ref]],0),MATCH($D$7,Inputs!$C$147:$BA$147,0))),0)+
(INDEX(OP_TotalRates_RES_1[[Ausnet]:[United Energy]],MATCH("Off peak",OP_TotalRates_RES_1[[Rate name]:[Rate name]],0),MATCH(E$10,OP_TotalRates_RES_1[[#Headers],[Ausnet]:[United Energy]],0))*
INDEX(Input_Usage[],MATCH($D13&amp;" - Off peak",Input_Usage[[Ref]:[Ref]],0),MATCH($D$7,Inputs!$C$147:$BA$147,0))),0)),"-")</f>
        <v>3079</v>
      </c>
      <c r="F13" s="126">
        <f>IFERROR(
IF($D$7="VDO 2021 - Final",
ROUNDUP(
(INDEX(OP_TotalRates_RES_1[[Ausnet]:[United Energy]],MATCH("Anytime - supply",OP_TotalRates_RES_1[[Rate name]:[Rate name]],0),MATCH(F$10,OP_TotalRates_RES_1[[#Headers],[Ausnet]:[United Energy]],0))*_xlfn.SINGLE(DiY))+
(IFERROR((INDEX(OP_TotalRates_RES_1[[Ausnet]:[United Energy]],MATCH("Block 1",OP_TotalRates_RES_1[[Rate name]:[Rate name]],0),MATCH(F$10,OP_TotalRates_RES_1[[#Headers],[Ausnet]:[United Energy]],0))*
INDEX(Input_Usage[],MATCH($D13&amp;" - Block 1",Input_Usage[[Ref]:[Ref]],0),MATCH($D$7,Inputs!$C$147:$BA$147,0))),0)+
IFERROR((INDEX(OP_TotalRates_RES_1[[Ausnet]:[United Energy]],MATCH("Balance",OP_TotalRates_RES_1[[Rate name]:[Rate name]],0),MATCH(F$10,OP_TotalRates_RES_1[[#Headers],[Ausnet]:[United Energy]],0))*
INDEX(Input_Usage[],MATCH($D13&amp;" - Balance",Input_Usage[[Ref]:[Ref]],0),MATCH($D$7,Inputs!$C$147:$BA$147,0))),0)+
IFERROR((INDEX(OP_TotalRates_RES_1[[Ausnet]:[United Energy]],MATCH("Single rate",OP_TotalRates_RES_1[[Rate name]:[Rate name]],0),MATCH(F$10,OP_TotalRates_RES_1[[#Headers],[Ausnet]:[United Energy]],0))*
INDEX(Input_Usage[],MATCH($D13&amp;" - Annual",Input_Usage[[Ref]:[Ref]],0),MATCH($D$7,Inputs!$C$147:$BA$147,0))),0)),0),
ROUNDUP(
(INDEX(OP_TotalRates_RES_1[[Ausnet]:[United Energy]],MATCH("TOU - supply",OP_TotalRates_RES_1[[Rate name]:[Rate name]],0),MATCH(F$10,OP_TotalRates_RES_1[[#Headers],[Ausnet]:[United Energy]],0))*_xlfn.SINGLE(DiY))+
(INDEX(OP_TotalRates_RES_1[[Ausnet]:[United Energy]],MATCH("Peak",OP_TotalRates_RES_1[[Rate name]:[Rate name]],0),MATCH(F$10,OP_TotalRates_RES_1[[#Headers],[Ausnet]:[United Energy]],0))*
INDEX(Input_Usage[],MATCH($D13&amp;" - Peak",Input_Usage[[Ref]:[Ref]],0),MATCH($D$7,Inputs!$C$147:$BA$147,0)))+
IFERROR((INDEX(OP_TotalRates_RES_1[[Ausnet]:[United Energy]],MATCH("TOU - Shoulder",OP_TotalRates_RES_1[[Rate name]:[Rate name]],0),MATCH(F$10,OP_TotalRates_RES_1[[#Headers],[Ausnet]:[United Energy]],0))*
INDEX(Input_Usage[],MATCH($D13&amp;" - Shoulder",Input_Usage[[Ref]:[Ref]],0),MATCH($D$7,Inputs!$C$147:$BA$147,0))),0)+
(INDEX(OP_TotalRates_RES_1[[Ausnet]:[United Energy]],MATCH("Off peak",OP_TotalRates_RES_1[[Rate name]:[Rate name]],0),MATCH(F$10,OP_TotalRates_RES_1[[#Headers],[Ausnet]:[United Energy]],0))*
INDEX(Input_Usage[],MATCH($D13&amp;" - Off peak",Input_Usage[[Ref]:[Ref]],0),MATCH($D$7,Inputs!$C$147:$BA$147,0))),0)),"-")</f>
        <v>2455</v>
      </c>
      <c r="G13" s="126">
        <f>IFERROR(
IF($D$7="VDO 2021 - Final",
ROUNDUP(
(INDEX(OP_TotalRates_RES_1[[Ausnet]:[United Energy]],MATCH("Anytime - supply",OP_TotalRates_RES_1[[Rate name]:[Rate name]],0),MATCH(G$10,OP_TotalRates_RES_1[[#Headers],[Ausnet]:[United Energy]],0))*_xlfn.SINGLE(DiY))+
(IFERROR((INDEX(OP_TotalRates_RES_1[[Ausnet]:[United Energy]],MATCH("Block 1",OP_TotalRates_RES_1[[Rate name]:[Rate name]],0),MATCH(G$10,OP_TotalRates_RES_1[[#Headers],[Ausnet]:[United Energy]],0))*
INDEX(Input_Usage[],MATCH($D13&amp;" - Block 1",Input_Usage[[Ref]:[Ref]],0),MATCH($D$7,Inputs!$C$147:$BA$147,0))),0)+
IFERROR((INDEX(OP_TotalRates_RES_1[[Ausnet]:[United Energy]],MATCH("Balance",OP_TotalRates_RES_1[[Rate name]:[Rate name]],0),MATCH(G$10,OP_TotalRates_RES_1[[#Headers],[Ausnet]:[United Energy]],0))*
INDEX(Input_Usage[],MATCH($D13&amp;" - Balance",Input_Usage[[Ref]:[Ref]],0),MATCH($D$7,Inputs!$C$147:$BA$147,0))),0)+
IFERROR((INDEX(OP_TotalRates_RES_1[[Ausnet]:[United Energy]],MATCH("Single rate",OP_TotalRates_RES_1[[Rate name]:[Rate name]],0),MATCH(G$10,OP_TotalRates_RES_1[[#Headers],[Ausnet]:[United Energy]],0))*
INDEX(Input_Usage[],MATCH($D13&amp;" - Annual",Input_Usage[[Ref]:[Ref]],0),MATCH($D$7,Inputs!$C$147:$BA$147,0))),0)),0),
ROUNDUP(
(INDEX(OP_TotalRates_RES_1[[Ausnet]:[United Energy]],MATCH("TOU - supply",OP_TotalRates_RES_1[[Rate name]:[Rate name]],0),MATCH(G$10,OP_TotalRates_RES_1[[#Headers],[Ausnet]:[United Energy]],0))*_xlfn.SINGLE(DiY))+
(INDEX(OP_TotalRates_RES_1[[Ausnet]:[United Energy]],MATCH("Peak",OP_TotalRates_RES_1[[Rate name]:[Rate name]],0),MATCH(G$10,OP_TotalRates_RES_1[[#Headers],[Ausnet]:[United Energy]],0))*
INDEX(Input_Usage[],MATCH($D13&amp;" - Peak",Input_Usage[[Ref]:[Ref]],0),MATCH($D$7,Inputs!$C$147:$BA$147,0)))+
IFERROR((INDEX(OP_TotalRates_RES_1[[Ausnet]:[United Energy]],MATCH("TOU - Shoulder",OP_TotalRates_RES_1[[Rate name]:[Rate name]],0),MATCH(G$10,OP_TotalRates_RES_1[[#Headers],[Ausnet]:[United Energy]],0))*
INDEX(Input_Usage[],MATCH($D13&amp;" - Shoulder",Input_Usage[[Ref]:[Ref]],0),MATCH($D$7,Inputs!$C$147:$BA$147,0))),0)+
(INDEX(OP_TotalRates_RES_1[[Ausnet]:[United Energy]],MATCH("Off peak",OP_TotalRates_RES_1[[Rate name]:[Rate name]],0),MATCH(G$10,OP_TotalRates_RES_1[[#Headers],[Ausnet]:[United Energy]],0))*
INDEX(Input_Usage[],MATCH($D13&amp;" - Off peak",Input_Usage[[Ref]:[Ref]],0),MATCH($D$7,Inputs!$C$147:$BA$147,0))),0)),"-")</f>
        <v>2761</v>
      </c>
      <c r="H13" s="126">
        <f>IFERROR(
IF($D$7="VDO 2021 - Final",
ROUNDUP(
(INDEX(OP_TotalRates_RES_1[[Ausnet]:[United Energy]],MATCH("Anytime - supply",OP_TotalRates_RES_1[[Rate name]:[Rate name]],0),MATCH(H$10,OP_TotalRates_RES_1[[#Headers],[Ausnet]:[United Energy]],0))*_xlfn.SINGLE(DiY))+
(IFERROR((INDEX(OP_TotalRates_RES_1[[Ausnet]:[United Energy]],MATCH("Block 1",OP_TotalRates_RES_1[[Rate name]:[Rate name]],0),MATCH(H$10,OP_TotalRates_RES_1[[#Headers],[Ausnet]:[United Energy]],0))*
INDEX(Input_Usage[],MATCH($D13&amp;" - Block 1",Input_Usage[[Ref]:[Ref]],0),MATCH($D$7,Inputs!$C$147:$BA$147,0))),0)+
IFERROR((INDEX(OP_TotalRates_RES_1[[Ausnet]:[United Energy]],MATCH("Balance",OP_TotalRates_RES_1[[Rate name]:[Rate name]],0),MATCH(H$10,OP_TotalRates_RES_1[[#Headers],[Ausnet]:[United Energy]],0))*
INDEX(Input_Usage[],MATCH($D13&amp;" - Balance",Input_Usage[[Ref]:[Ref]],0),MATCH($D$7,Inputs!$C$147:$BA$147,0))),0)+
IFERROR((INDEX(OP_TotalRates_RES_1[[Ausnet]:[United Energy]],MATCH("Single rate",OP_TotalRates_RES_1[[Rate name]:[Rate name]],0),MATCH(H$10,OP_TotalRates_RES_1[[#Headers],[Ausnet]:[United Energy]],0))*
INDEX(Input_Usage[],MATCH($D13&amp;" - Annual",Input_Usage[[Ref]:[Ref]],0),MATCH($D$7,Inputs!$C$147:$BA$147,0))),0)),0),
ROUNDUP(
(INDEX(OP_TotalRates_RES_1[[Ausnet]:[United Energy]],MATCH("TOU - supply",OP_TotalRates_RES_1[[Rate name]:[Rate name]],0),MATCH(H$10,OP_TotalRates_RES_1[[#Headers],[Ausnet]:[United Energy]],0))*_xlfn.SINGLE(DiY))+
(INDEX(OP_TotalRates_RES_1[[Ausnet]:[United Energy]],MATCH("Peak",OP_TotalRates_RES_1[[Rate name]:[Rate name]],0),MATCH(H$10,OP_TotalRates_RES_1[[#Headers],[Ausnet]:[United Energy]],0))*
INDEX(Input_Usage[],MATCH($D13&amp;" - Peak",Input_Usage[[Ref]:[Ref]],0),MATCH($D$7,Inputs!$C$147:$BA$147,0)))+
IFERROR((INDEX(OP_TotalRates_RES_1[[Ausnet]:[United Energy]],MATCH("TOU - Shoulder",OP_TotalRates_RES_1[[Rate name]:[Rate name]],0),MATCH(H$10,OP_TotalRates_RES_1[[#Headers],[Ausnet]:[United Energy]],0))*
INDEX(Input_Usage[],MATCH($D13&amp;" - Shoulder",Input_Usage[[Ref]:[Ref]],0),MATCH($D$7,Inputs!$C$147:$BA$147,0))),0)+
(INDEX(OP_TotalRates_RES_1[[Ausnet]:[United Energy]],MATCH("Off peak",OP_TotalRates_RES_1[[Rate name]:[Rate name]],0),MATCH(H$10,OP_TotalRates_RES_1[[#Headers],[Ausnet]:[United Energy]],0))*
INDEX(Input_Usage[],MATCH($D13&amp;" - Off peak",Input_Usage[[Ref]:[Ref]],0),MATCH($D$7,Inputs!$C$147:$BA$147,0))),0)),"-")</f>
        <v>2868</v>
      </c>
      <c r="I13" s="126">
        <f>IFERROR(
IF($D$7="VDO 2021 - Final",
ROUNDUP(
(INDEX(OP_TotalRates_RES_1[[Ausnet]:[United Energy]],MATCH("Anytime - supply",OP_TotalRates_RES_1[[Rate name]:[Rate name]],0),MATCH(I$10,OP_TotalRates_RES_1[[#Headers],[Ausnet]:[United Energy]],0))*_xlfn.SINGLE(DiY))+
(IFERROR((INDEX(OP_TotalRates_RES_1[[Ausnet]:[United Energy]],MATCH("Block 1",OP_TotalRates_RES_1[[Rate name]:[Rate name]],0),MATCH(I$10,OP_TotalRates_RES_1[[#Headers],[Ausnet]:[United Energy]],0))*
INDEX(Input_Usage[],MATCH($D13&amp;" - Block 1",Input_Usage[[Ref]:[Ref]],0),MATCH($D$7,Inputs!$C$147:$BA$147,0))),0)+
IFERROR((INDEX(OP_TotalRates_RES_1[[Ausnet]:[United Energy]],MATCH("Balance",OP_TotalRates_RES_1[[Rate name]:[Rate name]],0),MATCH(I$10,OP_TotalRates_RES_1[[#Headers],[Ausnet]:[United Energy]],0))*
INDEX(Input_Usage[],MATCH($D13&amp;" - Balance",Input_Usage[[Ref]:[Ref]],0),MATCH($D$7,Inputs!$C$147:$BA$147,0))),0)+
IFERROR((INDEX(OP_TotalRates_RES_1[[Ausnet]:[United Energy]],MATCH("Single rate",OP_TotalRates_RES_1[[Rate name]:[Rate name]],0),MATCH(I$10,OP_TotalRates_RES_1[[#Headers],[Ausnet]:[United Energy]],0))*
INDEX(Input_Usage[],MATCH($D13&amp;" - Annual",Input_Usage[[Ref]:[Ref]],0),MATCH($D$7,Inputs!$C$147:$BA$147,0))),0)),0),
ROUNDUP(
(INDEX(OP_TotalRates_RES_1[[Ausnet]:[United Energy]],MATCH("TOU - supply",OP_TotalRates_RES_1[[Rate name]:[Rate name]],0),MATCH(I$10,OP_TotalRates_RES_1[[#Headers],[Ausnet]:[United Energy]],0))*_xlfn.SINGLE(DiY))+
(INDEX(OP_TotalRates_RES_1[[Ausnet]:[United Energy]],MATCH("Peak",OP_TotalRates_RES_1[[Rate name]:[Rate name]],0),MATCH(I$10,OP_TotalRates_RES_1[[#Headers],[Ausnet]:[United Energy]],0))*
INDEX(Input_Usage[],MATCH($D13&amp;" - Peak",Input_Usage[[Ref]:[Ref]],0),MATCH($D$7,Inputs!$C$147:$BA$147,0)))+
IFERROR((INDEX(OP_TotalRates_RES_1[[Ausnet]:[United Energy]],MATCH("TOU - Shoulder",OP_TotalRates_RES_1[[Rate name]:[Rate name]],0),MATCH(I$10,OP_TotalRates_RES_1[[#Headers],[Ausnet]:[United Energy]],0))*
INDEX(Input_Usage[],MATCH($D13&amp;" - Shoulder",Input_Usage[[Ref]:[Ref]],0),MATCH($D$7,Inputs!$C$147:$BA$147,0))),0)+
(INDEX(OP_TotalRates_RES_1[[Ausnet]:[United Energy]],MATCH("Off peak",OP_TotalRates_RES_1[[Rate name]:[Rate name]],0),MATCH(I$10,OP_TotalRates_RES_1[[#Headers],[Ausnet]:[United Energy]],0))*
INDEX(Input_Usage[],MATCH($D13&amp;" - Off peak",Input_Usage[[Ref]:[Ref]],0),MATCH($D$7,Inputs!$C$147:$BA$147,0))),0)),"-")</f>
        <v>2651</v>
      </c>
      <c r="K13" s="31" t="s">
        <v>73</v>
      </c>
      <c r="L13" s="31" t="s">
        <v>97</v>
      </c>
      <c r="M13" s="126">
        <f>IFERROR(
IF($D$7="VDO 2021 - Final",
ROUNDUP(
(INDEX(OP_TotalRates_SME_1[[Ausnet]:[United Energy]],MATCH("Anytime - supply",OP_TotalRates_SME_1[[Rate name]:[Rate name]],0),MATCH(M$10,OP_TotalRates_SME_1[[#Headers],[Ausnet]:[United Energy]],0))*_xlfn.SINGLE(DiY))+
(IFERROR((INDEX(OP_TotalRates_SME_1[[Ausnet]:[United Energy]],MATCH("Block 1",OP_TotalRates_SME_1[[Rate name]:[Rate name]],0),MATCH(M$10,OP_TotalRates_SME_1[[#Headers],[Ausnet]:[United Energy]],0))*
INDEX(Input_Usage[],MATCH($L13&amp;" - Block 1",Input_Usage[[Ref]:[Ref]],0),MATCH($D$7,Inputs!$C$147:$BA$147,0))),0)+
IFERROR((INDEX(OP_TotalRates_SME_1[[Ausnet]:[United Energy]],MATCH("Balance",OP_TotalRates_SME_1[[Rate name]:[Rate name]],0),MATCH(M$10,OP_TotalRates_SME_1[[#Headers],[Ausnet]:[United Energy]],0))*
INDEX(Input_Usage[],MATCH($L13&amp;" - Balance",Input_Usage[[Ref]:[Ref]],0),MATCH($D$7,Inputs!$C$147:$BA$147,0))),0)+
IFERROR((INDEX(OP_TotalRates_SME_1[[Ausnet]:[United Energy]],MATCH("Single rate",OP_TotalRates_SME_1[[Rate name]:[Rate name]],0),MATCH(M$10,OP_TotalRates_SME_1[[#Headers],[Ausnet]:[United Energy]],0))*
INDEX(Input_Usage[],MATCH($L13&amp;" - Annual",Input_Usage[[Ref]:[Ref]],0),MATCH($D$7,Inputs!$C$147:$BA$147,0))),0)),0),
ROUNDUP(
(INDEX(OP_TotalRates_SME_1[[Ausnet]:[United Energy]],MATCH("TOU - supply",OP_TotalRates_SME_1[[Rate name]:[Rate name]],0),MATCH(M$10,OP_TotalRates_SME_1[[#Headers],[Ausnet]:[United Energy]],0))*_xlfn.SINGLE(DiY))+
(INDEX(OP_TotalRates_SME_1[[Ausnet]:[United Energy]],MATCH("Peak",OP_TotalRates_SME_1[[Rate name]:[Rate name]],0),MATCH(M$10,OP_TotalRates_SME_1[[#Headers],[Ausnet]:[United Energy]],0))*
INDEX(Input_Usage[],MATCH($L13&amp;" - Peak",Input_Usage[[Ref]:[Ref]],0),MATCH($D$7,Inputs!$C$147:$BA$147,0)))+
IFERROR((INDEX(OP_TotalRates_SME_1[[Ausnet]:[United Energy]],MATCH("TOU - Shoulder",OP_TotalRates_SME_1[[Rate name]:[Rate name]],0),MATCH(M$10,OP_TotalRates_SME_1[[#Headers],[Ausnet]:[United Energy]],0))*
INDEX(Input_Usage[],MATCH($L13&amp;" - Shoulder",Input_Usage[[Ref]:[Ref]],0),MATCH($D$7,Inputs!$C$147:$BA$147,0))),0)+
(INDEX(OP_TotalRates_SME_1[[Ausnet]:[United Energy]],MATCH("Off peak",OP_TotalRates_SME_1[[Rate name]:[Rate name]],0),MATCH(M$10,OP_TotalRates_SME_1[[#Headers],[Ausnet]:[United Energy]],0))*
INDEX(Input_Usage[],MATCH($L13&amp;" - Off peak",Input_Usage[[Ref]:[Ref]],0),MATCH($D$7,Inputs!$C$147:$BA$147,0))),0)),"-")</f>
        <v>12628</v>
      </c>
      <c r="N13" s="126">
        <f>IFERROR(
IF($D$7="VDO 2021 - Final",
ROUNDUP(
(INDEX(OP_TotalRates_SME_1[[Ausnet]:[United Energy]],MATCH("Anytime - supply",OP_TotalRates_SME_1[[Rate name]:[Rate name]],0),MATCH(N$10,OP_TotalRates_SME_1[[#Headers],[Ausnet]:[United Energy]],0))*_xlfn.SINGLE(DiY))+
(IFERROR((INDEX(OP_TotalRates_SME_1[[Ausnet]:[United Energy]],MATCH("Block 1",OP_TotalRates_SME_1[[Rate name]:[Rate name]],0),MATCH(N$10,OP_TotalRates_SME_1[[#Headers],[Ausnet]:[United Energy]],0))*
INDEX(Input_Usage[],MATCH($L13&amp;" - Block 1",Input_Usage[[Ref]:[Ref]],0),MATCH($D$7,Inputs!$C$147:$BA$147,0))),0)+
IFERROR((INDEX(OP_TotalRates_SME_1[[Ausnet]:[United Energy]],MATCH("Balance",OP_TotalRates_SME_1[[Rate name]:[Rate name]],0),MATCH(N$10,OP_TotalRates_SME_1[[#Headers],[Ausnet]:[United Energy]],0))*
INDEX(Input_Usage[],MATCH($L13&amp;" - Balance",Input_Usage[[Ref]:[Ref]],0),MATCH($D$7,Inputs!$C$147:$BA$147,0))),0)+
IFERROR((INDEX(OP_TotalRates_SME_1[[Ausnet]:[United Energy]],MATCH("Single rate",OP_TotalRates_SME_1[[Rate name]:[Rate name]],0),MATCH(N$10,OP_TotalRates_SME_1[[#Headers],[Ausnet]:[United Energy]],0))*
INDEX(Input_Usage[],MATCH($L13&amp;" - Annual",Input_Usage[[Ref]:[Ref]],0),MATCH($D$7,Inputs!$C$147:$BA$147,0))),0)),0),
ROUNDUP(
(INDEX(OP_TotalRates_SME_1[[Ausnet]:[United Energy]],MATCH("TOU - supply",OP_TotalRates_SME_1[[Rate name]:[Rate name]],0),MATCH(N$10,OP_TotalRates_SME_1[[#Headers],[Ausnet]:[United Energy]],0))*_xlfn.SINGLE(DiY))+
(INDEX(OP_TotalRates_SME_1[[Ausnet]:[United Energy]],MATCH("Peak",OP_TotalRates_SME_1[[Rate name]:[Rate name]],0),MATCH(N$10,OP_TotalRates_SME_1[[#Headers],[Ausnet]:[United Energy]],0))*
INDEX(Input_Usage[],MATCH($L13&amp;" - Peak",Input_Usage[[Ref]:[Ref]],0),MATCH($D$7,Inputs!$C$147:$BA$147,0)))+
IFERROR((INDEX(OP_TotalRates_SME_1[[Ausnet]:[United Energy]],MATCH("TOU - Shoulder",OP_TotalRates_SME_1[[Rate name]:[Rate name]],0),MATCH(N$10,OP_TotalRates_SME_1[[#Headers],[Ausnet]:[United Energy]],0))*
INDEX(Input_Usage[],MATCH($L13&amp;" - Shoulder",Input_Usage[[Ref]:[Ref]],0),MATCH($D$7,Inputs!$C$147:$BA$147,0))),0)+
(INDEX(OP_TotalRates_SME_1[[Ausnet]:[United Energy]],MATCH("Off peak",OP_TotalRates_SME_1[[Rate name]:[Rate name]],0),MATCH(N$10,OP_TotalRates_SME_1[[#Headers],[Ausnet]:[United Energy]],0))*
INDEX(Input_Usage[],MATCH($L13&amp;" - Off peak",Input_Usage[[Ref]:[Ref]],0),MATCH($D$7,Inputs!$C$147:$BA$147,0))),0)),"-")</f>
        <v>10449</v>
      </c>
      <c r="O13" s="126">
        <f>IFERROR(
IF($D$7="VDO 2021 - Final",
ROUNDUP(
(INDEX(OP_TotalRates_SME_1[[Ausnet]:[United Energy]],MATCH("Anytime - supply",OP_TotalRates_SME_1[[Rate name]:[Rate name]],0),MATCH(O$10,OP_TotalRates_SME_1[[#Headers],[Ausnet]:[United Energy]],0))*_xlfn.SINGLE(DiY))+
(IFERROR((INDEX(OP_TotalRates_SME_1[[Ausnet]:[United Energy]],MATCH("Block 1",OP_TotalRates_SME_1[[Rate name]:[Rate name]],0),MATCH(O$10,OP_TotalRates_SME_1[[#Headers],[Ausnet]:[United Energy]],0))*
INDEX(Input_Usage[],MATCH($L13&amp;" - Block 1",Input_Usage[[Ref]:[Ref]],0),MATCH($D$7,Inputs!$C$147:$BA$147,0))),0)+
IFERROR((INDEX(OP_TotalRates_SME_1[[Ausnet]:[United Energy]],MATCH("Balance",OP_TotalRates_SME_1[[Rate name]:[Rate name]],0),MATCH(O$10,OP_TotalRates_SME_1[[#Headers],[Ausnet]:[United Energy]],0))*
INDEX(Input_Usage[],MATCH($L13&amp;" - Balance",Input_Usage[[Ref]:[Ref]],0),MATCH($D$7,Inputs!$C$147:$BA$147,0))),0)+
IFERROR((INDEX(OP_TotalRates_SME_1[[Ausnet]:[United Energy]],MATCH("Single rate",OP_TotalRates_SME_1[[Rate name]:[Rate name]],0),MATCH(O$10,OP_TotalRates_SME_1[[#Headers],[Ausnet]:[United Energy]],0))*
INDEX(Input_Usage[],MATCH($L13&amp;" - Annual",Input_Usage[[Ref]:[Ref]],0),MATCH($D$7,Inputs!$C$147:$BA$147,0))),0)),0),
ROUNDUP(
(INDEX(OP_TotalRates_SME_1[[Ausnet]:[United Energy]],MATCH("TOU - supply",OP_TotalRates_SME_1[[Rate name]:[Rate name]],0),MATCH(O$10,OP_TotalRates_SME_1[[#Headers],[Ausnet]:[United Energy]],0))*_xlfn.SINGLE(DiY))+
(INDEX(OP_TotalRates_SME_1[[Ausnet]:[United Energy]],MATCH("Peak",OP_TotalRates_SME_1[[Rate name]:[Rate name]],0),MATCH(O$10,OP_TotalRates_SME_1[[#Headers],[Ausnet]:[United Energy]],0))*
INDEX(Input_Usage[],MATCH($L13&amp;" - Peak",Input_Usage[[Ref]:[Ref]],0),MATCH($D$7,Inputs!$C$147:$BA$147,0)))+
IFERROR((INDEX(OP_TotalRates_SME_1[[Ausnet]:[United Energy]],MATCH("TOU - Shoulder",OP_TotalRates_SME_1[[Rate name]:[Rate name]],0),MATCH(O$10,OP_TotalRates_SME_1[[#Headers],[Ausnet]:[United Energy]],0))*
INDEX(Input_Usage[],MATCH($L13&amp;" - Shoulder",Input_Usage[[Ref]:[Ref]],0),MATCH($D$7,Inputs!$C$147:$BA$147,0))),0)+
(INDEX(OP_TotalRates_SME_1[[Ausnet]:[United Energy]],MATCH("Off peak",OP_TotalRates_SME_1[[Rate name]:[Rate name]],0),MATCH(O$10,OP_TotalRates_SME_1[[#Headers],[Ausnet]:[United Energy]],0))*
INDEX(Input_Usage[],MATCH($L13&amp;" - Off peak",Input_Usage[[Ref]:[Ref]],0),MATCH($D$7,Inputs!$C$147:$BA$147,0))),0)),"-")</f>
        <v>11883</v>
      </c>
      <c r="P13" s="126">
        <f>IFERROR(
IF($D$7="VDO 2021 - Final",
ROUNDUP(
(INDEX(OP_TotalRates_SME_1[[Ausnet]:[United Energy]],MATCH("Anytime - supply",OP_TotalRates_SME_1[[Rate name]:[Rate name]],0),MATCH(P$10,OP_TotalRates_SME_1[[#Headers],[Ausnet]:[United Energy]],0))*_xlfn.SINGLE(DiY))+
(IFERROR((INDEX(OP_TotalRates_SME_1[[Ausnet]:[United Energy]],MATCH("Block 1",OP_TotalRates_SME_1[[Rate name]:[Rate name]],0),MATCH(P$10,OP_TotalRates_SME_1[[#Headers],[Ausnet]:[United Energy]],0))*
INDEX(Input_Usage[],MATCH($L13&amp;" - Block 1",Input_Usage[[Ref]:[Ref]],0),MATCH($D$7,Inputs!$C$147:$BA$147,0))),0)+
IFERROR((INDEX(OP_TotalRates_SME_1[[Ausnet]:[United Energy]],MATCH("Balance",OP_TotalRates_SME_1[[Rate name]:[Rate name]],0),MATCH(P$10,OP_TotalRates_SME_1[[#Headers],[Ausnet]:[United Energy]],0))*
INDEX(Input_Usage[],MATCH($L13&amp;" - Balance",Input_Usage[[Ref]:[Ref]],0),MATCH($D$7,Inputs!$C$147:$BA$147,0))),0)+
IFERROR((INDEX(OP_TotalRates_SME_1[[Ausnet]:[United Energy]],MATCH("Single rate",OP_TotalRates_SME_1[[Rate name]:[Rate name]],0),MATCH(P$10,OP_TotalRates_SME_1[[#Headers],[Ausnet]:[United Energy]],0))*
INDEX(Input_Usage[],MATCH($L13&amp;" - Annual",Input_Usage[[Ref]:[Ref]],0),MATCH($D$7,Inputs!$C$147:$BA$147,0))),0)),0),
ROUNDUP(
(INDEX(OP_TotalRates_SME_1[[Ausnet]:[United Energy]],MATCH("TOU - supply",OP_TotalRates_SME_1[[Rate name]:[Rate name]],0),MATCH(P$10,OP_TotalRates_SME_1[[#Headers],[Ausnet]:[United Energy]],0))*_xlfn.SINGLE(DiY))+
(INDEX(OP_TotalRates_SME_1[[Ausnet]:[United Energy]],MATCH("Peak",OP_TotalRates_SME_1[[Rate name]:[Rate name]],0),MATCH(P$10,OP_TotalRates_SME_1[[#Headers],[Ausnet]:[United Energy]],0))*
INDEX(Input_Usage[],MATCH($L13&amp;" - Peak",Input_Usage[[Ref]:[Ref]],0),MATCH($D$7,Inputs!$C$147:$BA$147,0)))+
IFERROR((INDEX(OP_TotalRates_SME_1[[Ausnet]:[United Energy]],MATCH("TOU - Shoulder",OP_TotalRates_SME_1[[Rate name]:[Rate name]],0),MATCH(P$10,OP_TotalRates_SME_1[[#Headers],[Ausnet]:[United Energy]],0))*
INDEX(Input_Usage[],MATCH($L13&amp;" - Shoulder",Input_Usage[[Ref]:[Ref]],0),MATCH($D$7,Inputs!$C$147:$BA$147,0))),0)+
(INDEX(OP_TotalRates_SME_1[[Ausnet]:[United Energy]],MATCH("Off peak",OP_TotalRates_SME_1[[Rate name]:[Rate name]],0),MATCH(P$10,OP_TotalRates_SME_1[[#Headers],[Ausnet]:[United Energy]],0))*
INDEX(Input_Usage[],MATCH($L13&amp;" - Off peak",Input_Usage[[Ref]:[Ref]],0),MATCH($D$7,Inputs!$C$147:$BA$147,0))),0)),"-")</f>
        <v>12038</v>
      </c>
      <c r="Q13" s="126">
        <f>IFERROR(
IF($D$7="VDO 2021 - Final",
ROUNDUP(
(INDEX(OP_TotalRates_SME_1[[Ausnet]:[United Energy]],MATCH("Anytime - supply",OP_TotalRates_SME_1[[Rate name]:[Rate name]],0),MATCH(Q$10,OP_TotalRates_SME_1[[#Headers],[Ausnet]:[United Energy]],0))*_xlfn.SINGLE(DiY))+
(IFERROR((INDEX(OP_TotalRates_SME_1[[Ausnet]:[United Energy]],MATCH("Block 1",OP_TotalRates_SME_1[[Rate name]:[Rate name]],0),MATCH(Q$10,OP_TotalRates_SME_1[[#Headers],[Ausnet]:[United Energy]],0))*
INDEX(Input_Usage[],MATCH($L13&amp;" - Block 1",Input_Usage[[Ref]:[Ref]],0),MATCH($D$7,Inputs!$C$147:$BA$147,0))),0)+
IFERROR((INDEX(OP_TotalRates_SME_1[[Ausnet]:[United Energy]],MATCH("Balance",OP_TotalRates_SME_1[[Rate name]:[Rate name]],0),MATCH(Q$10,OP_TotalRates_SME_1[[#Headers],[Ausnet]:[United Energy]],0))*
INDEX(Input_Usage[],MATCH($L13&amp;" - Balance",Input_Usage[[Ref]:[Ref]],0),MATCH($D$7,Inputs!$C$147:$BA$147,0))),0)+
IFERROR((INDEX(OP_TotalRates_SME_1[[Ausnet]:[United Energy]],MATCH("Single rate",OP_TotalRates_SME_1[[Rate name]:[Rate name]],0),MATCH(Q$10,OP_TotalRates_SME_1[[#Headers],[Ausnet]:[United Energy]],0))*
INDEX(Input_Usage[],MATCH($L13&amp;" - Annual",Input_Usage[[Ref]:[Ref]],0),MATCH($D$7,Inputs!$C$147:$BA$147,0))),0)),0),
ROUNDUP(
(INDEX(OP_TotalRates_SME_1[[Ausnet]:[United Energy]],MATCH("TOU - supply",OP_TotalRates_SME_1[[Rate name]:[Rate name]],0),MATCH(Q$10,OP_TotalRates_SME_1[[#Headers],[Ausnet]:[United Energy]],0))*_xlfn.SINGLE(DiY))+
(INDEX(OP_TotalRates_SME_1[[Ausnet]:[United Energy]],MATCH("Peak",OP_TotalRates_SME_1[[Rate name]:[Rate name]],0),MATCH(Q$10,OP_TotalRates_SME_1[[#Headers],[Ausnet]:[United Energy]],0))*
INDEX(Input_Usage[],MATCH($L13&amp;" - Peak",Input_Usage[[Ref]:[Ref]],0),MATCH($D$7,Inputs!$C$147:$BA$147,0)))+
IFERROR((INDEX(OP_TotalRates_SME_1[[Ausnet]:[United Energy]],MATCH("TOU - Shoulder",OP_TotalRates_SME_1[[Rate name]:[Rate name]],0),MATCH(Q$10,OP_TotalRates_SME_1[[#Headers],[Ausnet]:[United Energy]],0))*
INDEX(Input_Usage[],MATCH($L13&amp;" - Shoulder",Input_Usage[[Ref]:[Ref]],0),MATCH($D$7,Inputs!$C$147:$BA$147,0))),0)+
(INDEX(OP_TotalRates_SME_1[[Ausnet]:[United Energy]],MATCH("Off peak",OP_TotalRates_SME_1[[Rate name]:[Rate name]],0),MATCH(Q$10,OP_TotalRates_SME_1[[#Headers],[Ausnet]:[United Energy]],0))*
INDEX(Input_Usage[],MATCH($L13&amp;" - Off peak",Input_Usage[[Ref]:[Ref]],0),MATCH($D$7,Inputs!$C$147:$BA$147,0))),0)),"-")</f>
        <v>11255</v>
      </c>
    </row>
    <row r="15" spans="1:18" ht="15.75" hidden="1" x14ac:dyDescent="0.25">
      <c r="E15" s="67" cm="1">
        <f t="array" ref="E15">IF($D$21="VDO 2021 - Final",
IF(E11=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INDEX(Input_Usage[],MATCH($D11&amp;" - Block 1",Input_Usage[Ref],0),MATCH($D$21,Inputs!$C$147:$BA$147,0))),0)+
IFERROR((INDEX(OP_TotalRates_RES_1[[Ausnet]:[United Energy]],MATCH("Balance",OP_TotalRates_RES_1[Rate name],0),MATCH(E$10,OP_TotalRates_RES_1[[#Headers],[Ausnet]:[United Energy]],0))*
INDEX(Input_Usage[],MATCH($D11&amp;" - Balance",Input_Usage[Ref],0),MATCH($D$21,Inputs!$C$147:$BA$147,0))),0)+
IFERROR((INDEX(OP_TotalRates_RES_1[[Ausnet]:[United Energy]],MATCH("Single rate",OP_TotalRates_RES_1[Rate name],0),MATCH(E$10,OP_TotalRates_RES_1[[#Headers],[Ausnet]:[United Energy]],0))*
INDEX(Input_Usage[],MATCH($D11&amp;" - Annual",Input_Usage[Ref],0),MATCH($D$21,Inputs!$C$147:$BA$147,0))),0)),0),0,1),
IF(E11=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INDEX(Input_Usage[],MATCH($D11&amp;" - Peak",Input_Usage[Profile name]&amp;" - "&amp;Input_Usage[Usage type],0),MATCH($D$21,Inputs!$C$147:$BA$147,0)))+
IFERROR((INDEX(OP_TotalRates_RES_1[[Ausnet]:[United Energy]],MATCH("TOU - Shoulder",OP_TotalRates_RES_1[Rate name],0),MATCH(E$10,OP_TotalRates_RES_1[[#Headers],[Ausnet]:[United Energy]],0))*
INDEX(Input_Usage[],MATCH($D11&amp;" - Shoulder",Input_Usage[Profile name]&amp;" - "&amp;Input_Usage[Usage type],0),MATCH($D$21,Inputs!$C$147:$BA$147,0))),0)+
(INDEX(OP_TotalRates_RES_1[[Ausnet]:[United Energy]],MATCH("Off peak",OP_TotalRates_RES_1[Rate name],0),MATCH(E$10,OP_TotalRates_RES_1[[#Headers],[Ausnet]:[United Energy]],0))*
INDEX(Input_Usage[],MATCH($D11&amp;" - Off peak",Input_Usage[Profile name]&amp;" - "&amp;Input_Usage[Usage type],0),MATCH($D$21,Inputs!$C$147:$BA$147,0))),0),0,1))</f>
        <v>0</v>
      </c>
      <c r="F15" s="67" cm="1">
        <f t="array" ref="F15">IF($D$21="VDO 2021 - Final",
IF(F11=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INDEX(Input_Usage[],MATCH($D11&amp;" - Block 1",Input_Usage[Ref],0),MATCH($D$21,Inputs!$C$147:$BA$147,0))),0)+
IFERROR((INDEX(OP_TotalRates_RES_1[[Ausnet]:[United Energy]],MATCH("Balance",OP_TotalRates_RES_1[Rate name],0),MATCH(F$10,OP_TotalRates_RES_1[[#Headers],[Ausnet]:[United Energy]],0))*
INDEX(Input_Usage[],MATCH($D11&amp;" - Balance",Input_Usage[Ref],0),MATCH($D$21,Inputs!$C$147:$BA$147,0))),0)+
IFERROR((INDEX(OP_TotalRates_RES_1[[Ausnet]:[United Energy]],MATCH("Single rate",OP_TotalRates_RES_1[Rate name],0),MATCH(F$10,OP_TotalRates_RES_1[[#Headers],[Ausnet]:[United Energy]],0))*
INDEX(Input_Usage[],MATCH($D11&amp;" - Annual",Input_Usage[Ref],0),MATCH($D$21,Inputs!$C$147:$BA$147,0))),0)),0),0,1),
IF(F11=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INDEX(Input_Usage[],MATCH($D11&amp;" - Peak",Input_Usage[Profile name]&amp;" - "&amp;Input_Usage[Usage type],0),MATCH($D$21,Inputs!$C$147:$BA$147,0)))+
IFERROR((INDEX(OP_TotalRates_RES_1[[Ausnet]:[United Energy]],MATCH("TOU - Shoulder",OP_TotalRates_RES_1[Rate name],0),MATCH(F$10,OP_TotalRates_RES_1[[#Headers],[Ausnet]:[United Energy]],0))*
INDEX(Input_Usage[],MATCH($D11&amp;" - Shoulder",Input_Usage[Profile name]&amp;" - "&amp;Input_Usage[Usage type],0),MATCH($D$21,Inputs!$C$147:$BA$147,0))),0)+
(INDEX(OP_TotalRates_RES_1[[Ausnet]:[United Energy]],MATCH("Off peak",OP_TotalRates_RES_1[Rate name],0),MATCH(F$10,OP_TotalRates_RES_1[[#Headers],[Ausnet]:[United Energy]],0))*
INDEX(Input_Usage[],MATCH($D11&amp;" - Off peak",Input_Usage[Profile name]&amp;" - "&amp;Input_Usage[Usage type],0),MATCH($D$21,Inputs!$C$147:$BA$147,0))),0),0,1))</f>
        <v>0</v>
      </c>
      <c r="G15" s="67" cm="1">
        <f t="array" ref="G15">IF($D$21="VDO 2021 - Final",
IF(G11=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INDEX(Input_Usage[],MATCH($D11&amp;" - Block 1",Input_Usage[Ref],0),MATCH($D$21,Inputs!$C$147:$BA$147,0))),0)+
IFERROR((INDEX(OP_TotalRates_RES_1[[Ausnet]:[United Energy]],MATCH("Balance",OP_TotalRates_RES_1[Rate name],0),MATCH(G$10,OP_TotalRates_RES_1[[#Headers],[Ausnet]:[United Energy]],0))*
INDEX(Input_Usage[],MATCH($D11&amp;" - Balance",Input_Usage[Ref],0),MATCH($D$21,Inputs!$C$147:$BA$147,0))),0)+
IFERROR((INDEX(OP_TotalRates_RES_1[[Ausnet]:[United Energy]],MATCH("Single rate",OP_TotalRates_RES_1[Rate name],0),MATCH(G$10,OP_TotalRates_RES_1[[#Headers],[Ausnet]:[United Energy]],0))*
INDEX(Input_Usage[],MATCH($D11&amp;" - Annual",Input_Usage[Ref],0),MATCH($D$21,Inputs!$C$147:$BA$147,0))),0)),0),0,1),
IF(G11=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INDEX(Input_Usage[],MATCH($D11&amp;" - Peak",Input_Usage[Profile name]&amp;" - "&amp;Input_Usage[Usage type],0),MATCH($D$21,Inputs!$C$147:$BA$147,0)))+
IFERROR((INDEX(OP_TotalRates_RES_1[[Ausnet]:[United Energy]],MATCH("TOU - Shoulder",OP_TotalRates_RES_1[Rate name],0),MATCH(G$10,OP_TotalRates_RES_1[[#Headers],[Ausnet]:[United Energy]],0))*
INDEX(Input_Usage[],MATCH($D11&amp;" - Shoulder",Input_Usage[Profile name]&amp;" - "&amp;Input_Usage[Usage type],0),MATCH($D$21,Inputs!$C$147:$BA$147,0))),0)+
(INDEX(OP_TotalRates_RES_1[[Ausnet]:[United Energy]],MATCH("Off peak",OP_TotalRates_RES_1[Rate name],0),MATCH(G$10,OP_TotalRates_RES_1[[#Headers],[Ausnet]:[United Energy]],0))*
INDEX(Input_Usage[],MATCH($D11&amp;" - Off peak",Input_Usage[Profile name]&amp;" - "&amp;Input_Usage[Usage type],0),MATCH($D$21,Inputs!$C$147:$BA$147,0))),0),0,1))</f>
        <v>0</v>
      </c>
      <c r="H15" s="67" cm="1">
        <f t="array" ref="H15">IF($D$21="VDO 2021 - Final",
IF(H11=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INDEX(Input_Usage[],MATCH($D11&amp;" - Block 1",Input_Usage[Ref],0),MATCH($D$21,Inputs!$C$147:$BA$147,0))),0)+
IFERROR((INDEX(OP_TotalRates_RES_1[[Ausnet]:[United Energy]],MATCH("Balance",OP_TotalRates_RES_1[Rate name],0),MATCH(H$10,OP_TotalRates_RES_1[[#Headers],[Ausnet]:[United Energy]],0))*
INDEX(Input_Usage[],MATCH($D11&amp;" - Balance",Input_Usage[Ref],0),MATCH($D$21,Inputs!$C$147:$BA$147,0))),0)+
IFERROR((INDEX(OP_TotalRates_RES_1[[Ausnet]:[United Energy]],MATCH("Single rate",OP_TotalRates_RES_1[Rate name],0),MATCH(H$10,OP_TotalRates_RES_1[[#Headers],[Ausnet]:[United Energy]],0))*
INDEX(Input_Usage[],MATCH($D11&amp;" - Annual",Input_Usage[Ref],0),MATCH($D$21,Inputs!$C$147:$BA$147,0))),0)),0),0,1),
IF(H11=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INDEX(Input_Usage[],MATCH($D11&amp;" - Peak",Input_Usage[Profile name]&amp;" - "&amp;Input_Usage[Usage type],0),MATCH($D$21,Inputs!$C$147:$BA$147,0)))+
IFERROR((INDEX(OP_TotalRates_RES_1[[Ausnet]:[United Energy]],MATCH("TOU - Shoulder",OP_TotalRates_RES_1[Rate name],0),MATCH(H$10,OP_TotalRates_RES_1[[#Headers],[Ausnet]:[United Energy]],0))*
INDEX(Input_Usage[],MATCH($D11&amp;" - Shoulder",Input_Usage[Profile name]&amp;" - "&amp;Input_Usage[Usage type],0),MATCH($D$21,Inputs!$C$147:$BA$147,0))),0)+
(INDEX(OP_TotalRates_RES_1[[Ausnet]:[United Energy]],MATCH("Off peak",OP_TotalRates_RES_1[Rate name],0),MATCH(H$10,OP_TotalRates_RES_1[[#Headers],[Ausnet]:[United Energy]],0))*
INDEX(Input_Usage[],MATCH($D11&amp;" - Off peak",Input_Usage[Profile name]&amp;" - "&amp;Input_Usage[Usage type],0),MATCH($D$21,Inputs!$C$147:$BA$147,0))),0),0,1))</f>
        <v>0</v>
      </c>
      <c r="I15" s="67" cm="1">
        <f t="array" ref="I15">IF($D$21="VDO 2021 - Final",
IF(I11=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INDEX(Input_Usage[],MATCH($D11&amp;" - Block 1",Input_Usage[Ref],0),MATCH($D$21,Inputs!$C$147:$BA$147,0))),0)+
IFERROR((INDEX(OP_TotalRates_RES_1[[Ausnet]:[United Energy]],MATCH("Balance",OP_TotalRates_RES_1[Rate name],0),MATCH(I$10,OP_TotalRates_RES_1[[#Headers],[Ausnet]:[United Energy]],0))*
INDEX(Input_Usage[],MATCH($D11&amp;" - Balance",Input_Usage[Ref],0),MATCH($D$21,Inputs!$C$147:$BA$147,0))),0)+
IFERROR((INDEX(OP_TotalRates_RES_1[[Ausnet]:[United Energy]],MATCH("Single rate",OP_TotalRates_RES_1[Rate name],0),MATCH(I$10,OP_TotalRates_RES_1[[#Headers],[Ausnet]:[United Energy]],0))*
INDEX(Input_Usage[],MATCH($D11&amp;" - Annual",Input_Usage[Ref],0),MATCH($D$21,Inputs!$C$147:$BA$147,0))),0)),0),0,1),
IF(I11=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INDEX(Input_Usage[],MATCH($D11&amp;" - Peak",Input_Usage[Profile name]&amp;" - "&amp;Input_Usage[Usage type],0),MATCH($D$21,Inputs!$C$147:$BA$147,0)))+
IFERROR((INDEX(OP_TotalRates_RES_1[[Ausnet]:[United Energy]],MATCH("TOU - Shoulder",OP_TotalRates_RES_1[Rate name],0),MATCH(I$10,OP_TotalRates_RES_1[[#Headers],[Ausnet]:[United Energy]],0))*
INDEX(Input_Usage[],MATCH($D11&amp;" - Shoulder",Input_Usage[Profile name]&amp;" - "&amp;Input_Usage[Usage type],0),MATCH($D$21,Inputs!$C$147:$BA$147,0))),0)+
(INDEX(OP_TotalRates_RES_1[[Ausnet]:[United Energy]],MATCH("Off peak",OP_TotalRates_RES_1[Rate name],0),MATCH(I$10,OP_TotalRates_RES_1[[#Headers],[Ausnet]:[United Energy]],0))*
INDEX(Input_Usage[],MATCH($D11&amp;" - Off peak",Input_Usage[Profile name]&amp;" - "&amp;Input_Usage[Usage type],0),MATCH($D$21,Inputs!$C$147:$BA$147,0))),0),0,1))</f>
        <v>0</v>
      </c>
      <c r="M15" s="67" cm="1">
        <f t="array" ref="M15">IF($D$21="VDO 2021 - Final",
IF(M11=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INDEX(Input_Usage[],MATCH($L11&amp;" - Block 1",Input_Usage[Profile name]&amp;" - "&amp;Input_Usage[Usage type],0),MATCH($D$21,Inputs!$C$147:$BA$147,0))),0)+
IFERROR((INDEX(OP_TotalRates_SME_1[[Ausnet]:[United Energy]],MATCH("Balance",OP_TotalRates_SME_1[Rate name],0),MATCH(M$24,OP_TotalRates_SME_1[[#Headers],[Ausnet]:[United Energy]],0))*
INDEX(Input_Usage[],MATCH($L11&amp;" - Balance",Input_Usage[Profile name]&amp;" - "&amp;Input_Usage[Usage type],0),MATCH($D$21,Inputs!$C$147:$BA$147,0))),0)+
IFERROR((INDEX(OP_TotalRates_SME_1[[Ausnet]:[United Energy]],MATCH("Single rate",OP_TotalRates_SME_1[Rate name],0),MATCH(M$24,OP_TotalRates_SME_1[[#Headers],[Ausnet]:[United Energy]],0))*
INDEX(Input_Usage[],MATCH($L11&amp;" - Annual",Input_Usage[Profile name]&amp;" - "&amp;Input_Usage[Usage type],0),MATCH($D$21,Inputs!$C$147:$BA$147,0))),0)),0),0,1),
IF(M11=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INDEX(Input_Usage[],MATCH($L11&amp;" - Peak",Input_Usage[Profile name]&amp;" - "&amp;Input_Usage[Usage type],0),MATCH($D$21,Inputs!$C$147:$BA$147,0)))+
IFERROR((INDEX(OP_TotalRates_SME_1[[Ausnet]:[United Energy]],MATCH("TOU - Shoulder",OP_TotalRates_SME_1[Rate name],0),MATCH(M$24,OP_TotalRates_SME_1[[#Headers],[Ausnet]:[United Energy]],0))*
INDEX(Input_Usage[],MATCH($L11&amp;" - Shoulder",Input_Usage[Profile name]&amp;" - "&amp;Input_Usage[Usage type],0),MATCH($D$21,Inputs!$C$147:$BA$147,0))),0)+
(INDEX(OP_TotalRates_SME_1[[Ausnet]:[United Energy]],MATCH("Off peak",OP_TotalRates_SME_1[Rate name],0),MATCH(M$24,OP_TotalRates_SME_1[[#Headers],[Ausnet]:[United Energy]],0))*
INDEX(Input_Usage[],MATCH($L11&amp;" - Off peak",Input_Usage[Profile name]&amp;" - "&amp;Input_Usage[Usage type],0),MATCH($D$21,Inputs!$C$147:$BA$147,0))),0),0,1))</f>
        <v>0</v>
      </c>
      <c r="N15" s="67" cm="1">
        <f t="array" ref="N15">IF($D$21="VDO 2021 - Final",
IF(N11=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INDEX(Input_Usage[],MATCH($L11&amp;" - Block 1",Input_Usage[Profile name]&amp;" - "&amp;Input_Usage[Usage type],0),MATCH($D$21,Inputs!$C$147:$BA$147,0))),0)+
IFERROR((INDEX(OP_TotalRates_SME_1[[Ausnet]:[United Energy]],MATCH("Balance",OP_TotalRates_SME_1[Rate name],0),MATCH(N$24,OP_TotalRates_SME_1[[#Headers],[Ausnet]:[United Energy]],0))*
INDEX(Input_Usage[],MATCH($L11&amp;" - Balance",Input_Usage[Profile name]&amp;" - "&amp;Input_Usage[Usage type],0),MATCH($D$21,Inputs!$C$147:$BA$147,0))),0)+
IFERROR((INDEX(OP_TotalRates_SME_1[[Ausnet]:[United Energy]],MATCH("Single rate",OP_TotalRates_SME_1[Rate name],0),MATCH(N$24,OP_TotalRates_SME_1[[#Headers],[Ausnet]:[United Energy]],0))*
INDEX(Input_Usage[],MATCH($L11&amp;" - Annual",Input_Usage[Profile name]&amp;" - "&amp;Input_Usage[Usage type],0),MATCH($D$21,Inputs!$C$147:$BA$147,0))),0)),0),0,1),
IF(N11=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INDEX(Input_Usage[],MATCH($L11&amp;" - Peak",Input_Usage[Profile name]&amp;" - "&amp;Input_Usage[Usage type],0),MATCH($D$21,Inputs!$C$147:$BA$147,0)))+
IFERROR((INDEX(OP_TotalRates_SME_1[[Ausnet]:[United Energy]],MATCH("TOU - Shoulder",OP_TotalRates_SME_1[Rate name],0),MATCH(N$24,OP_TotalRates_SME_1[[#Headers],[Ausnet]:[United Energy]],0))*
INDEX(Input_Usage[],MATCH($L11&amp;" - Shoulder",Input_Usage[Profile name]&amp;" - "&amp;Input_Usage[Usage type],0),MATCH($D$21,Inputs!$C$147:$BA$147,0))),0)+
(INDEX(OP_TotalRates_SME_1[[Ausnet]:[United Energy]],MATCH("Off peak",OP_TotalRates_SME_1[Rate name],0),MATCH(N$24,OP_TotalRates_SME_1[[#Headers],[Ausnet]:[United Energy]],0))*
INDEX(Input_Usage[],MATCH($L11&amp;" - Off peak",Input_Usage[Profile name]&amp;" - "&amp;Input_Usage[Usage type],0),MATCH($D$21,Inputs!$C$147:$BA$147,0))),0),0,1))</f>
        <v>0</v>
      </c>
      <c r="O15" s="67" cm="1">
        <f t="array" ref="O15">IF($D$21="VDO 2021 - Final",
IF(O11=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INDEX(Input_Usage[],MATCH($L11&amp;" - Block 1",Input_Usage[Profile name]&amp;" - "&amp;Input_Usage[Usage type],0),MATCH($D$21,Inputs!$C$147:$BA$147,0))),0)+
IFERROR((INDEX(OP_TotalRates_SME_1[[Ausnet]:[United Energy]],MATCH("Balance",OP_TotalRates_SME_1[Rate name],0),MATCH(O$24,OP_TotalRates_SME_1[[#Headers],[Ausnet]:[United Energy]],0))*
INDEX(Input_Usage[],MATCH($L11&amp;" - Balance",Input_Usage[Profile name]&amp;" - "&amp;Input_Usage[Usage type],0),MATCH($D$21,Inputs!$C$147:$BA$147,0))),0)+
IFERROR((INDEX(OP_TotalRates_SME_1[[Ausnet]:[United Energy]],MATCH("Single rate",OP_TotalRates_SME_1[Rate name],0),MATCH(O$24,OP_TotalRates_SME_1[[#Headers],[Ausnet]:[United Energy]],0))*
INDEX(Input_Usage[],MATCH($L11&amp;" - Annual",Input_Usage[Profile name]&amp;" - "&amp;Input_Usage[Usage type],0),MATCH($D$21,Inputs!$C$147:$BA$147,0))),0)),0),0,1),
IF(O11=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INDEX(Input_Usage[],MATCH($L11&amp;" - Peak",Input_Usage[Profile name]&amp;" - "&amp;Input_Usage[Usage type],0),MATCH($D$21,Inputs!$C$147:$BA$147,0)))+
IFERROR((INDEX(OP_TotalRates_SME_1[[Ausnet]:[United Energy]],MATCH("TOU - Shoulder",OP_TotalRates_SME_1[Rate name],0),MATCH(O$24,OP_TotalRates_SME_1[[#Headers],[Ausnet]:[United Energy]],0))*
INDEX(Input_Usage[],MATCH($L11&amp;" - Shoulder",Input_Usage[Profile name]&amp;" - "&amp;Input_Usage[Usage type],0),MATCH($D$21,Inputs!$C$147:$BA$147,0))),0)+
(INDEX(OP_TotalRates_SME_1[[Ausnet]:[United Energy]],MATCH("Off peak",OP_TotalRates_SME_1[Rate name],0),MATCH(O$24,OP_TotalRates_SME_1[[#Headers],[Ausnet]:[United Energy]],0))*
INDEX(Input_Usage[],MATCH($L11&amp;" - Off peak",Input_Usage[Profile name]&amp;" - "&amp;Input_Usage[Usage type],0),MATCH($D$21,Inputs!$C$147:$BA$147,0))),0),0,1))</f>
        <v>0</v>
      </c>
      <c r="P15" s="67" cm="1">
        <f t="array" ref="P15">IF($D$21="VDO 2021 - Final",
IF(P11=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INDEX(Input_Usage[],MATCH($L11&amp;" - Block 1",Input_Usage[Profile name]&amp;" - "&amp;Input_Usage[Usage type],0),MATCH($D$21,Inputs!$C$147:$BA$147,0))),0)+
IFERROR((INDEX(OP_TotalRates_SME_1[[Ausnet]:[United Energy]],MATCH("Balance",OP_TotalRates_SME_1[Rate name],0),MATCH(P$24,OP_TotalRates_SME_1[[#Headers],[Ausnet]:[United Energy]],0))*
INDEX(Input_Usage[],MATCH($L11&amp;" - Balance",Input_Usage[Profile name]&amp;" - "&amp;Input_Usage[Usage type],0),MATCH($D$21,Inputs!$C$147:$BA$147,0))),0)+
IFERROR((INDEX(OP_TotalRates_SME_1[[Ausnet]:[United Energy]],MATCH("Single rate",OP_TotalRates_SME_1[Rate name],0),MATCH(P$24,OP_TotalRates_SME_1[[#Headers],[Ausnet]:[United Energy]],0))*
INDEX(Input_Usage[],MATCH($L11&amp;" - Annual",Input_Usage[Profile name]&amp;" - "&amp;Input_Usage[Usage type],0),MATCH($D$21,Inputs!$C$147:$BA$147,0))),0)),0),0,1),
IF(P11=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INDEX(Input_Usage[],MATCH($L11&amp;" - Peak",Input_Usage[Profile name]&amp;" - "&amp;Input_Usage[Usage type],0),MATCH($D$21,Inputs!$C$147:$BA$147,0)))+
IFERROR((INDEX(OP_TotalRates_SME_1[[Ausnet]:[United Energy]],MATCH("TOU - Shoulder",OP_TotalRates_SME_1[Rate name],0),MATCH(P$24,OP_TotalRates_SME_1[[#Headers],[Ausnet]:[United Energy]],0))*
INDEX(Input_Usage[],MATCH($L11&amp;" - Shoulder",Input_Usage[Profile name]&amp;" - "&amp;Input_Usage[Usage type],0),MATCH($D$21,Inputs!$C$147:$BA$147,0))),0)+
(INDEX(OP_TotalRates_SME_1[[Ausnet]:[United Energy]],MATCH("Off peak",OP_TotalRates_SME_1[Rate name],0),MATCH(P$24,OP_TotalRates_SME_1[[#Headers],[Ausnet]:[United Energy]],0))*
INDEX(Input_Usage[],MATCH($L11&amp;" - Off peak",Input_Usage[Profile name]&amp;" - "&amp;Input_Usage[Usage type],0),MATCH($D$21,Inputs!$C$147:$BA$147,0))),0),0,1))</f>
        <v>0</v>
      </c>
      <c r="Q15" s="67" cm="1">
        <f t="array" ref="Q15">IF($D$21="VDO 2021 - Final",
IF(Q11=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INDEX(Input_Usage[],MATCH($L11&amp;" - Block 1",Input_Usage[Profile name]&amp;" - "&amp;Input_Usage[Usage type],0),MATCH($D$21,Inputs!$C$147:$BA$147,0))),0)+
IFERROR((INDEX(OP_TotalRates_SME_1[[Ausnet]:[United Energy]],MATCH("Balance",OP_TotalRates_SME_1[Rate name],0),MATCH(Q$24,OP_TotalRates_SME_1[[#Headers],[Ausnet]:[United Energy]],0))*
INDEX(Input_Usage[],MATCH($L11&amp;" - Balance",Input_Usage[Profile name]&amp;" - "&amp;Input_Usage[Usage type],0),MATCH($D$21,Inputs!$C$147:$BA$147,0))),0)+
IFERROR((INDEX(OP_TotalRates_SME_1[[Ausnet]:[United Energy]],MATCH("Single rate",OP_TotalRates_SME_1[Rate name],0),MATCH(Q$24,OP_TotalRates_SME_1[[#Headers],[Ausnet]:[United Energy]],0))*
INDEX(Input_Usage[],MATCH($L11&amp;" - Annual",Input_Usage[Profile name]&amp;" - "&amp;Input_Usage[Usage type],0),MATCH($D$21,Inputs!$C$147:$BA$147,0))),0)),0),0,1),
IF(Q11=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INDEX(Input_Usage[],MATCH($L11&amp;" - Peak",Input_Usage[Profile name]&amp;" - "&amp;Input_Usage[Usage type],0),MATCH($D$21,Inputs!$C$147:$BA$147,0)))+
IFERROR((INDEX(OP_TotalRates_SME_1[[Ausnet]:[United Energy]],MATCH("TOU - Shoulder",OP_TotalRates_SME_1[Rate name],0),MATCH(Q$24,OP_TotalRates_SME_1[[#Headers],[Ausnet]:[United Energy]],0))*
INDEX(Input_Usage[],MATCH($L11&amp;" - Shoulder",Input_Usage[Profile name]&amp;" - "&amp;Input_Usage[Usage type],0),MATCH($D$21,Inputs!$C$147:$BA$147,0))),0)+
(INDEX(OP_TotalRates_SME_1[[Ausnet]:[United Energy]],MATCH("Off peak",OP_TotalRates_SME_1[Rate name],0),MATCH(Q$24,OP_TotalRates_SME_1[[#Headers],[Ausnet]:[United Energy]],0))*
INDEX(Input_Usage[],MATCH($L11&amp;" - Off peak",Input_Usage[Profile name]&amp;" - "&amp;Input_Usage[Usage type],0),MATCH($D$21,Inputs!$C$147:$BA$147,0))),0),0,1))</f>
        <v>0</v>
      </c>
    </row>
    <row r="16" spans="1:18" ht="15.75" hidden="1" x14ac:dyDescent="0.25">
      <c r="E16" s="67" cm="1">
        <f t="array" ref="E16">IF($D$21="VDO 2021 - Final",
IF(E12=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INDEX(Input_Usage[],MATCH($D12&amp;" - Block 1",Input_Usage[Ref],0),MATCH($D$21,Inputs!$C$147:$BA$147,0))),0)+
IFERROR((INDEX(OP_TotalRates_RES_1[[Ausnet]:[United Energy]],MATCH("Balance",OP_TotalRates_RES_1[Rate name],0),MATCH(E$10,OP_TotalRates_RES_1[[#Headers],[Ausnet]:[United Energy]],0))*
INDEX(Input_Usage[],MATCH($D12&amp;" - Balance",Input_Usage[Ref],0),MATCH($D$21,Inputs!$C$147:$BA$147,0))),0)+
IFERROR((INDEX(OP_TotalRates_RES_1[[Ausnet]:[United Energy]],MATCH("Single rate",OP_TotalRates_RES_1[Rate name],0),MATCH(E$10,OP_TotalRates_RES_1[[#Headers],[Ausnet]:[United Energy]],0))*
INDEX(Input_Usage[],MATCH($D12&amp;" - Annual",Input_Usage[Ref],0),MATCH($D$21,Inputs!$C$147:$BA$147,0))),0)),0),0,1),
IF(E12=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INDEX(Input_Usage[],MATCH($D12&amp;" - Peak",Input_Usage[Profile name]&amp;" - "&amp;Input_Usage[Usage type],0),MATCH($D$21,Inputs!$C$147:$BA$147,0)))+
IFERROR((INDEX(OP_TotalRates_RES_1[[Ausnet]:[United Energy]],MATCH("TOU - Shoulder",OP_TotalRates_RES_1[Rate name],0),MATCH(E$10,OP_TotalRates_RES_1[[#Headers],[Ausnet]:[United Energy]],0))*
INDEX(Input_Usage[],MATCH($D12&amp;" - Shoulder",Input_Usage[Profile name]&amp;" - "&amp;Input_Usage[Usage type],0),MATCH($D$21,Inputs!$C$147:$BA$147,0))),0)+
(INDEX(OP_TotalRates_RES_1[[Ausnet]:[United Energy]],MATCH("Off peak",OP_TotalRates_RES_1[Rate name],0),MATCH(E$10,OP_TotalRates_RES_1[[#Headers],[Ausnet]:[United Energy]],0))*
INDEX(Input_Usage[],MATCH($D12&amp;" - Off peak",Input_Usage[Profile name]&amp;" - "&amp;Input_Usage[Usage type],0),MATCH($D$21,Inputs!$C$147:$BA$147,0))),0),0,1))</f>
        <v>0</v>
      </c>
      <c r="F16" s="67" cm="1">
        <f t="array" ref="F16">IF($D$21="VDO 2021 - Final",
IF(F12=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INDEX(Input_Usage[],MATCH($D12&amp;" - Block 1",Input_Usage[Ref],0),MATCH($D$21,Inputs!$C$147:$BA$147,0))),0)+
IFERROR((INDEX(OP_TotalRates_RES_1[[Ausnet]:[United Energy]],MATCH("Balance",OP_TotalRates_RES_1[Rate name],0),MATCH(F$10,OP_TotalRates_RES_1[[#Headers],[Ausnet]:[United Energy]],0))*
INDEX(Input_Usage[],MATCH($D12&amp;" - Balance",Input_Usage[Ref],0),MATCH($D$21,Inputs!$C$147:$BA$147,0))),0)+
IFERROR((INDEX(OP_TotalRates_RES_1[[Ausnet]:[United Energy]],MATCH("Single rate",OP_TotalRates_RES_1[Rate name],0),MATCH(F$10,OP_TotalRates_RES_1[[#Headers],[Ausnet]:[United Energy]],0))*
INDEX(Input_Usage[],MATCH($D12&amp;" - Annual",Input_Usage[Ref],0),MATCH($D$21,Inputs!$C$147:$BA$147,0))),0)),0),0,1),
IF(F12=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INDEX(Input_Usage[],MATCH($D12&amp;" - Peak",Input_Usage[Profile name]&amp;" - "&amp;Input_Usage[Usage type],0),MATCH($D$21,Inputs!$C$147:$BA$147,0)))+
IFERROR((INDEX(OP_TotalRates_RES_1[[Ausnet]:[United Energy]],MATCH("TOU - Shoulder",OP_TotalRates_RES_1[Rate name],0),MATCH(F$10,OP_TotalRates_RES_1[[#Headers],[Ausnet]:[United Energy]],0))*
INDEX(Input_Usage[],MATCH($D12&amp;" - Shoulder",Input_Usage[Profile name]&amp;" - "&amp;Input_Usage[Usage type],0),MATCH($D$21,Inputs!$C$147:$BA$147,0))),0)+
(INDEX(OP_TotalRates_RES_1[[Ausnet]:[United Energy]],MATCH("Off peak",OP_TotalRates_RES_1[Rate name],0),MATCH(F$10,OP_TotalRates_RES_1[[#Headers],[Ausnet]:[United Energy]],0))*
INDEX(Input_Usage[],MATCH($D12&amp;" - Off peak",Input_Usage[Profile name]&amp;" - "&amp;Input_Usage[Usage type],0),MATCH($D$21,Inputs!$C$147:$BA$147,0))),0),0,1))</f>
        <v>0</v>
      </c>
      <c r="G16" s="67" cm="1">
        <f t="array" ref="G16">IF($D$21="VDO 2021 - Final",
IF(G12=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INDEX(Input_Usage[],MATCH($D12&amp;" - Block 1",Input_Usage[Ref],0),MATCH($D$21,Inputs!$C$147:$BA$147,0))),0)+
IFERROR((INDEX(OP_TotalRates_RES_1[[Ausnet]:[United Energy]],MATCH("Balance",OP_TotalRates_RES_1[Rate name],0),MATCH(G$10,OP_TotalRates_RES_1[[#Headers],[Ausnet]:[United Energy]],0))*
INDEX(Input_Usage[],MATCH($D12&amp;" - Balance",Input_Usage[Ref],0),MATCH($D$21,Inputs!$C$147:$BA$147,0))),0)+
IFERROR((INDEX(OP_TotalRates_RES_1[[Ausnet]:[United Energy]],MATCH("Single rate",OP_TotalRates_RES_1[Rate name],0),MATCH(G$10,OP_TotalRates_RES_1[[#Headers],[Ausnet]:[United Energy]],0))*
INDEX(Input_Usage[],MATCH($D12&amp;" - Annual",Input_Usage[Ref],0),MATCH($D$21,Inputs!$C$147:$BA$147,0))),0)),0),0,1),
IF(G12=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INDEX(Input_Usage[],MATCH($D12&amp;" - Peak",Input_Usage[Profile name]&amp;" - "&amp;Input_Usage[Usage type],0),MATCH($D$21,Inputs!$C$147:$BA$147,0)))+
IFERROR((INDEX(OP_TotalRates_RES_1[[Ausnet]:[United Energy]],MATCH("TOU - Shoulder",OP_TotalRates_RES_1[Rate name],0),MATCH(G$10,OP_TotalRates_RES_1[[#Headers],[Ausnet]:[United Energy]],0))*
INDEX(Input_Usage[],MATCH($D12&amp;" - Shoulder",Input_Usage[Profile name]&amp;" - "&amp;Input_Usage[Usage type],0),MATCH($D$21,Inputs!$C$147:$BA$147,0))),0)+
(INDEX(OP_TotalRates_RES_1[[Ausnet]:[United Energy]],MATCH("Off peak",OP_TotalRates_RES_1[Rate name],0),MATCH(G$10,OP_TotalRates_RES_1[[#Headers],[Ausnet]:[United Energy]],0))*
INDEX(Input_Usage[],MATCH($D12&amp;" - Off peak",Input_Usage[Profile name]&amp;" - "&amp;Input_Usage[Usage type],0),MATCH($D$21,Inputs!$C$147:$BA$147,0))),0),0,1))</f>
        <v>0</v>
      </c>
      <c r="H16" s="67" cm="1">
        <f t="array" ref="H16">IF($D$21="VDO 2021 - Final",
IF(H12=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INDEX(Input_Usage[],MATCH($D12&amp;" - Block 1",Input_Usage[Ref],0),MATCH($D$21,Inputs!$C$147:$BA$147,0))),0)+
IFERROR((INDEX(OP_TotalRates_RES_1[[Ausnet]:[United Energy]],MATCH("Balance",OP_TotalRates_RES_1[Rate name],0),MATCH(H$10,OP_TotalRates_RES_1[[#Headers],[Ausnet]:[United Energy]],0))*
INDEX(Input_Usage[],MATCH($D12&amp;" - Balance",Input_Usage[Ref],0),MATCH($D$21,Inputs!$C$147:$BA$147,0))),0)+
IFERROR((INDEX(OP_TotalRates_RES_1[[Ausnet]:[United Energy]],MATCH("Single rate",OP_TotalRates_RES_1[Rate name],0),MATCH(H$10,OP_TotalRates_RES_1[[#Headers],[Ausnet]:[United Energy]],0))*
INDEX(Input_Usage[],MATCH($D12&amp;" - Annual",Input_Usage[Ref],0),MATCH($D$21,Inputs!$C$147:$BA$147,0))),0)),0),0,1),
IF(H12=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INDEX(Input_Usage[],MATCH($D12&amp;" - Peak",Input_Usage[Profile name]&amp;" - "&amp;Input_Usage[Usage type],0),MATCH($D$21,Inputs!$C$147:$BA$147,0)))+
IFERROR((INDEX(OP_TotalRates_RES_1[[Ausnet]:[United Energy]],MATCH("TOU - Shoulder",OP_TotalRates_RES_1[Rate name],0),MATCH(H$10,OP_TotalRates_RES_1[[#Headers],[Ausnet]:[United Energy]],0))*
INDEX(Input_Usage[],MATCH($D12&amp;" - Shoulder",Input_Usage[Profile name]&amp;" - "&amp;Input_Usage[Usage type],0),MATCH($D$21,Inputs!$C$147:$BA$147,0))),0)+
(INDEX(OP_TotalRates_RES_1[[Ausnet]:[United Energy]],MATCH("Off peak",OP_TotalRates_RES_1[Rate name],0),MATCH(H$10,OP_TotalRates_RES_1[[#Headers],[Ausnet]:[United Energy]],0))*
INDEX(Input_Usage[],MATCH($D12&amp;" - Off peak",Input_Usage[Profile name]&amp;" - "&amp;Input_Usage[Usage type],0),MATCH($D$21,Inputs!$C$147:$BA$147,0))),0),0,1))</f>
        <v>0</v>
      </c>
      <c r="I16" s="67" cm="1">
        <f t="array" ref="I16">IF($D$21="VDO 2021 - Final",
IF(I12=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INDEX(Input_Usage[],MATCH($D12&amp;" - Block 1",Input_Usage[Ref],0),MATCH($D$21,Inputs!$C$147:$BA$147,0))),0)+
IFERROR((INDEX(OP_TotalRates_RES_1[[Ausnet]:[United Energy]],MATCH("Balance",OP_TotalRates_RES_1[Rate name],0),MATCH(I$10,OP_TotalRates_RES_1[[#Headers],[Ausnet]:[United Energy]],0))*
INDEX(Input_Usage[],MATCH($D12&amp;" - Balance",Input_Usage[Ref],0),MATCH($D$21,Inputs!$C$147:$BA$147,0))),0)+
IFERROR((INDEX(OP_TotalRates_RES_1[[Ausnet]:[United Energy]],MATCH("Single rate",OP_TotalRates_RES_1[Rate name],0),MATCH(I$10,OP_TotalRates_RES_1[[#Headers],[Ausnet]:[United Energy]],0))*
INDEX(Input_Usage[],MATCH($D12&amp;" - Annual",Input_Usage[Ref],0),MATCH($D$21,Inputs!$C$147:$BA$147,0))),0)),0),0,1),
IF(I12=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INDEX(Input_Usage[],MATCH($D12&amp;" - Peak",Input_Usage[Profile name]&amp;" - "&amp;Input_Usage[Usage type],0),MATCH($D$21,Inputs!$C$147:$BA$147,0)))+
IFERROR((INDEX(OP_TotalRates_RES_1[[Ausnet]:[United Energy]],MATCH("TOU - Shoulder",OP_TotalRates_RES_1[Rate name],0),MATCH(I$10,OP_TotalRates_RES_1[[#Headers],[Ausnet]:[United Energy]],0))*
INDEX(Input_Usage[],MATCH($D12&amp;" - Shoulder",Input_Usage[Profile name]&amp;" - "&amp;Input_Usage[Usage type],0),MATCH($D$21,Inputs!$C$147:$BA$147,0))),0)+
(INDEX(OP_TotalRates_RES_1[[Ausnet]:[United Energy]],MATCH("Off peak",OP_TotalRates_RES_1[Rate name],0),MATCH(I$10,OP_TotalRates_RES_1[[#Headers],[Ausnet]:[United Energy]],0))*
INDEX(Input_Usage[],MATCH($D12&amp;" - Off peak",Input_Usage[Profile name]&amp;" - "&amp;Input_Usage[Usage type],0),MATCH($D$21,Inputs!$C$147:$BA$147,0))),0),0,1))</f>
        <v>0</v>
      </c>
      <c r="K16" s="133"/>
      <c r="M16" s="67" cm="1">
        <f t="array" ref="M16">IF($D$21="VDO 2021 - Final",
IF(M12=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INDEX(Input_Usage[],MATCH($L12&amp;" - Block 1",Input_Usage[Profile name]&amp;" - "&amp;Input_Usage[Usage type],0),MATCH($D$21,Inputs!$C$147:$BA$147,0))),0)+
IFERROR((INDEX(OP_TotalRates_SME_1[[Ausnet]:[United Energy]],MATCH("Balance",OP_TotalRates_SME_1[Rate name],0),MATCH(M$24,OP_TotalRates_SME_1[[#Headers],[Ausnet]:[United Energy]],0))*
INDEX(Input_Usage[],MATCH($L12&amp;" - Balance",Input_Usage[Profile name]&amp;" - "&amp;Input_Usage[Usage type],0),MATCH($D$21,Inputs!$C$147:$BA$147,0))),0)+
IFERROR((INDEX(OP_TotalRates_SME_1[[Ausnet]:[United Energy]],MATCH("Single rate",OP_TotalRates_SME_1[Rate name],0),MATCH(M$24,OP_TotalRates_SME_1[[#Headers],[Ausnet]:[United Energy]],0))*
INDEX(Input_Usage[],MATCH($L12&amp;" - Annual",Input_Usage[Profile name]&amp;" - "&amp;Input_Usage[Usage type],0),MATCH($D$21,Inputs!$C$147:$BA$147,0))),0)),0),0,1),
IF(M12=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INDEX(Input_Usage[],MATCH($L12&amp;" - Peak",Input_Usage[Profile name]&amp;" - "&amp;Input_Usage[Usage type],0),MATCH($D$21,Inputs!$C$147:$BA$147,0)))+
IFERROR((INDEX(OP_TotalRates_SME_1[[Ausnet]:[United Energy]],MATCH("TOU - Shoulder",OP_TotalRates_SME_1[Rate name],0),MATCH(M$24,OP_TotalRates_SME_1[[#Headers],[Ausnet]:[United Energy]],0))*
INDEX(Input_Usage[],MATCH($L12&amp;" - Shoulder",Input_Usage[Profile name]&amp;" - "&amp;Input_Usage[Usage type],0),MATCH($D$21,Inputs!$C$147:$BA$147,0))),0)+
(INDEX(OP_TotalRates_SME_1[[Ausnet]:[United Energy]],MATCH("Off peak",OP_TotalRates_SME_1[Rate name],0),MATCH(M$24,OP_TotalRates_SME_1[[#Headers],[Ausnet]:[United Energy]],0))*
INDEX(Input_Usage[],MATCH($L12&amp;" - Off peak",Input_Usage[Profile name]&amp;" - "&amp;Input_Usage[Usage type],0),MATCH($D$21,Inputs!$C$147:$BA$147,0))),0),0,1))</f>
        <v>0</v>
      </c>
      <c r="N16" s="67" cm="1">
        <f t="array" ref="N16">IF($D$21="VDO 2021 - Final",
IF(N12=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INDEX(Input_Usage[],MATCH($L12&amp;" - Block 1",Input_Usage[Profile name]&amp;" - "&amp;Input_Usage[Usage type],0),MATCH($D$21,Inputs!$C$147:$BA$147,0))),0)+
IFERROR((INDEX(OP_TotalRates_SME_1[[Ausnet]:[United Energy]],MATCH("Balance",OP_TotalRates_SME_1[Rate name],0),MATCH(N$24,OP_TotalRates_SME_1[[#Headers],[Ausnet]:[United Energy]],0))*
INDEX(Input_Usage[],MATCH($L12&amp;" - Balance",Input_Usage[Profile name]&amp;" - "&amp;Input_Usage[Usage type],0),MATCH($D$21,Inputs!$C$147:$BA$147,0))),0)+
IFERROR((INDEX(OP_TotalRates_SME_1[[Ausnet]:[United Energy]],MATCH("Single rate",OP_TotalRates_SME_1[Rate name],0),MATCH(N$24,OP_TotalRates_SME_1[[#Headers],[Ausnet]:[United Energy]],0))*
INDEX(Input_Usage[],MATCH($L12&amp;" - Annual",Input_Usage[Profile name]&amp;" - "&amp;Input_Usage[Usage type],0),MATCH($D$21,Inputs!$C$147:$BA$147,0))),0)),0),0,1),
IF(N12=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INDEX(Input_Usage[],MATCH($L12&amp;" - Peak",Input_Usage[Profile name]&amp;" - "&amp;Input_Usage[Usage type],0),MATCH($D$21,Inputs!$C$147:$BA$147,0)))+
IFERROR((INDEX(OP_TotalRates_SME_1[[Ausnet]:[United Energy]],MATCH("TOU - Shoulder",OP_TotalRates_SME_1[Rate name],0),MATCH(N$24,OP_TotalRates_SME_1[[#Headers],[Ausnet]:[United Energy]],0))*
INDEX(Input_Usage[],MATCH($L12&amp;" - Shoulder",Input_Usage[Profile name]&amp;" - "&amp;Input_Usage[Usage type],0),MATCH($D$21,Inputs!$C$147:$BA$147,0))),0)+
(INDEX(OP_TotalRates_SME_1[[Ausnet]:[United Energy]],MATCH("Off peak",OP_TotalRates_SME_1[Rate name],0),MATCH(N$24,OP_TotalRates_SME_1[[#Headers],[Ausnet]:[United Energy]],0))*
INDEX(Input_Usage[],MATCH($L12&amp;" - Off peak",Input_Usage[Profile name]&amp;" - "&amp;Input_Usage[Usage type],0),MATCH($D$21,Inputs!$C$147:$BA$147,0))),0),0,1))</f>
        <v>0</v>
      </c>
      <c r="O16" s="67" cm="1">
        <f t="array" ref="O16">IF($D$21="VDO 2021 - Final",
IF(O12=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INDEX(Input_Usage[],MATCH($L12&amp;" - Block 1",Input_Usage[Profile name]&amp;" - "&amp;Input_Usage[Usage type],0),MATCH($D$21,Inputs!$C$147:$BA$147,0))),0)+
IFERROR((INDEX(OP_TotalRates_SME_1[[Ausnet]:[United Energy]],MATCH("Balance",OP_TotalRates_SME_1[Rate name],0),MATCH(O$24,OP_TotalRates_SME_1[[#Headers],[Ausnet]:[United Energy]],0))*
INDEX(Input_Usage[],MATCH($L12&amp;" - Balance",Input_Usage[Profile name]&amp;" - "&amp;Input_Usage[Usage type],0),MATCH($D$21,Inputs!$C$147:$BA$147,0))),0)+
IFERROR((INDEX(OP_TotalRates_SME_1[[Ausnet]:[United Energy]],MATCH("Single rate",OP_TotalRates_SME_1[Rate name],0),MATCH(O$24,OP_TotalRates_SME_1[[#Headers],[Ausnet]:[United Energy]],0))*
INDEX(Input_Usage[],MATCH($L12&amp;" - Annual",Input_Usage[Profile name]&amp;" - "&amp;Input_Usage[Usage type],0),MATCH($D$21,Inputs!$C$147:$BA$147,0))),0)),0),0,1),
IF(O12=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INDEX(Input_Usage[],MATCH($L12&amp;" - Peak",Input_Usage[Profile name]&amp;" - "&amp;Input_Usage[Usage type],0),MATCH($D$21,Inputs!$C$147:$BA$147,0)))+
IFERROR((INDEX(OP_TotalRates_SME_1[[Ausnet]:[United Energy]],MATCH("TOU - Shoulder",OP_TotalRates_SME_1[Rate name],0),MATCH(O$24,OP_TotalRates_SME_1[[#Headers],[Ausnet]:[United Energy]],0))*
INDEX(Input_Usage[],MATCH($L12&amp;" - Shoulder",Input_Usage[Profile name]&amp;" - "&amp;Input_Usage[Usage type],0),MATCH($D$21,Inputs!$C$147:$BA$147,0))),0)+
(INDEX(OP_TotalRates_SME_1[[Ausnet]:[United Energy]],MATCH("Off peak",OP_TotalRates_SME_1[Rate name],0),MATCH(O$24,OP_TotalRates_SME_1[[#Headers],[Ausnet]:[United Energy]],0))*
INDEX(Input_Usage[],MATCH($L12&amp;" - Off peak",Input_Usage[Profile name]&amp;" - "&amp;Input_Usage[Usage type],0),MATCH($D$21,Inputs!$C$147:$BA$147,0))),0),0,1))</f>
        <v>0</v>
      </c>
      <c r="P16" s="67" cm="1">
        <f t="array" ref="P16">IF($D$21="VDO 2021 - Final",
IF(P12=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INDEX(Input_Usage[],MATCH($L12&amp;" - Block 1",Input_Usage[Profile name]&amp;" - "&amp;Input_Usage[Usage type],0),MATCH($D$21,Inputs!$C$147:$BA$147,0))),0)+
IFERROR((INDEX(OP_TotalRates_SME_1[[Ausnet]:[United Energy]],MATCH("Balance",OP_TotalRates_SME_1[Rate name],0),MATCH(P$24,OP_TotalRates_SME_1[[#Headers],[Ausnet]:[United Energy]],0))*
INDEX(Input_Usage[],MATCH($L12&amp;" - Balance",Input_Usage[Profile name]&amp;" - "&amp;Input_Usage[Usage type],0),MATCH($D$21,Inputs!$C$147:$BA$147,0))),0)+
IFERROR((INDEX(OP_TotalRates_SME_1[[Ausnet]:[United Energy]],MATCH("Single rate",OP_TotalRates_SME_1[Rate name],0),MATCH(P$24,OP_TotalRates_SME_1[[#Headers],[Ausnet]:[United Energy]],0))*
INDEX(Input_Usage[],MATCH($L12&amp;" - Annual",Input_Usage[Profile name]&amp;" - "&amp;Input_Usage[Usage type],0),MATCH($D$21,Inputs!$C$147:$BA$147,0))),0)),0),0,1),
IF(P12=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INDEX(Input_Usage[],MATCH($L12&amp;" - Peak",Input_Usage[Profile name]&amp;" - "&amp;Input_Usage[Usage type],0),MATCH($D$21,Inputs!$C$147:$BA$147,0)))+
IFERROR((INDEX(OP_TotalRates_SME_1[[Ausnet]:[United Energy]],MATCH("TOU - Shoulder",OP_TotalRates_SME_1[Rate name],0),MATCH(P$24,OP_TotalRates_SME_1[[#Headers],[Ausnet]:[United Energy]],0))*
INDEX(Input_Usage[],MATCH($L12&amp;" - Shoulder",Input_Usage[Profile name]&amp;" - "&amp;Input_Usage[Usage type],0),MATCH($D$21,Inputs!$C$147:$BA$147,0))),0)+
(INDEX(OP_TotalRates_SME_1[[Ausnet]:[United Energy]],MATCH("Off peak",OP_TotalRates_SME_1[Rate name],0),MATCH(P$24,OP_TotalRates_SME_1[[#Headers],[Ausnet]:[United Energy]],0))*
INDEX(Input_Usage[],MATCH($L12&amp;" - Off peak",Input_Usage[Profile name]&amp;" - "&amp;Input_Usage[Usage type],0),MATCH($D$21,Inputs!$C$147:$BA$147,0))),0),0,1))</f>
        <v>0</v>
      </c>
      <c r="Q16" s="67" cm="1">
        <f t="array" ref="Q16">IF($D$21="VDO 2021 - Final",
IF(Q12=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INDEX(Input_Usage[],MATCH($L12&amp;" - Block 1",Input_Usage[Profile name]&amp;" - "&amp;Input_Usage[Usage type],0),MATCH($D$21,Inputs!$C$147:$BA$147,0))),0)+
IFERROR((INDEX(OP_TotalRates_SME_1[[Ausnet]:[United Energy]],MATCH("Balance",OP_TotalRates_SME_1[Rate name],0),MATCH(Q$24,OP_TotalRates_SME_1[[#Headers],[Ausnet]:[United Energy]],0))*
INDEX(Input_Usage[],MATCH($L12&amp;" - Balance",Input_Usage[Profile name]&amp;" - "&amp;Input_Usage[Usage type],0),MATCH($D$21,Inputs!$C$147:$BA$147,0))),0)+
IFERROR((INDEX(OP_TotalRates_SME_1[[Ausnet]:[United Energy]],MATCH("Single rate",OP_TotalRates_SME_1[Rate name],0),MATCH(Q$24,OP_TotalRates_SME_1[[#Headers],[Ausnet]:[United Energy]],0))*
INDEX(Input_Usage[],MATCH($L12&amp;" - Annual",Input_Usage[Profile name]&amp;" - "&amp;Input_Usage[Usage type],0),MATCH($D$21,Inputs!$C$147:$BA$147,0))),0)),0),0,1),
IF(Q12=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INDEX(Input_Usage[],MATCH($L12&amp;" - Peak",Input_Usage[Profile name]&amp;" - "&amp;Input_Usage[Usage type],0),MATCH($D$21,Inputs!$C$147:$BA$147,0)))+
IFERROR((INDEX(OP_TotalRates_SME_1[[Ausnet]:[United Energy]],MATCH("TOU - Shoulder",OP_TotalRates_SME_1[Rate name],0),MATCH(Q$24,OP_TotalRates_SME_1[[#Headers],[Ausnet]:[United Energy]],0))*
INDEX(Input_Usage[],MATCH($L12&amp;" - Shoulder",Input_Usage[Profile name]&amp;" - "&amp;Input_Usage[Usage type],0),MATCH($D$21,Inputs!$C$147:$BA$147,0))),0)+
(INDEX(OP_TotalRates_SME_1[[Ausnet]:[United Energy]],MATCH("Off peak",OP_TotalRates_SME_1[Rate name],0),MATCH(Q$24,OP_TotalRates_SME_1[[#Headers],[Ausnet]:[United Energy]],0))*
INDEX(Input_Usage[],MATCH($L12&amp;" - Off peak",Input_Usage[Profile name]&amp;" - "&amp;Input_Usage[Usage type],0),MATCH($D$21,Inputs!$C$147:$BA$147,0))),0),0,1))</f>
        <v>0</v>
      </c>
    </row>
    <row r="17" spans="1:18" ht="15.75" hidden="1" x14ac:dyDescent="0.25">
      <c r="E17" s="67" cm="1">
        <f t="array" ref="E17">IF($D$21="VDO 2021 - Final",
IF(E13=
ROUNDUP(
(INDEX(OP_TotalRates_RES_1[[Ausnet]:[United Energy]],MATCH("Anytime - supply",OP_TotalRates_RES_1[Rate name],0),MATCH(E$10,OP_TotalRates_RES_1[[#Headers],[Ausnet]:[United Energy]],0))*DiY)+
(IFERROR((INDEX(OP_TotalRates_RES_1[[Ausnet]:[United Energy]],MATCH("Block 1",OP_TotalRates_RES_1[Rate name],0),MATCH(E$10,OP_TotalRates_RES_1[[#Headers],[Ausnet]:[United Energy]],0))*
INDEX(Input_Usage[],MATCH($D13&amp;" - Block 1",Input_Usage[Ref],0),MATCH($D$21,Inputs!$C$147:$BA$147,0))),0)+
IFERROR((INDEX(OP_TotalRates_RES_1[[Ausnet]:[United Energy]],MATCH("Balance",OP_TotalRates_RES_1[Rate name],0),MATCH(E$10,OP_TotalRates_RES_1[[#Headers],[Ausnet]:[United Energy]],0))*
INDEX(Input_Usage[],MATCH($D13&amp;" - Balance",Input_Usage[Ref],0),MATCH($D$21,Inputs!$C$147:$BA$147,0))),0)+
IFERROR((INDEX(OP_TotalRates_RES_1[[Ausnet]:[United Energy]],MATCH("Single rate",OP_TotalRates_RES_1[Rate name],0),MATCH(E$10,OP_TotalRates_RES_1[[#Headers],[Ausnet]:[United Energy]],0))*
INDEX(Input_Usage[],MATCH($D13&amp;" - Annual",Input_Usage[Ref],0),MATCH($D$21,Inputs!$C$147:$BA$147,0))),0)),0),0,1),
IF(E13=
ROUNDUP(
(INDEX(OP_TotalRates_RES_1[[Ausnet]:[United Energy]],MATCH("TOU - supply",OP_TotalRates_RES_1[Rate name],0),MATCH(E$10,OP_TotalRates_RES_1[[#Headers],[Ausnet]:[United Energy]],0))*DiY)+
(INDEX(OP_TotalRates_RES_1[[Ausnet]:[United Energy]],MATCH("Peak",OP_TotalRates_RES_1[Rate name],0),MATCH(E$10,OP_TotalRates_RES_1[[#Headers],[Ausnet]:[United Energy]],0))*
INDEX(Input_Usage[],MATCH($D13&amp;" - Peak",Input_Usage[Profile name]&amp;" - "&amp;Input_Usage[Usage type],0),MATCH($D$21,Inputs!$C$147:$BA$147,0)))+
IFERROR((INDEX(OP_TotalRates_RES_1[[Ausnet]:[United Energy]],MATCH("TOU - Shoulder",OP_TotalRates_RES_1[Rate name],0),MATCH(E$10,OP_TotalRates_RES_1[[#Headers],[Ausnet]:[United Energy]],0))*
INDEX(Input_Usage[],MATCH($D13&amp;" - Shoulder",Input_Usage[Profile name]&amp;" - "&amp;Input_Usage[Usage type],0),MATCH($D$21,Inputs!$C$147:$BA$147,0))),0)+
(INDEX(OP_TotalRates_RES_1[[Ausnet]:[United Energy]],MATCH("Off peak",OP_TotalRates_RES_1[Rate name],0),MATCH(E$10,OP_TotalRates_RES_1[[#Headers],[Ausnet]:[United Energy]],0))*
INDEX(Input_Usage[],MATCH($D13&amp;" - Off peak",Input_Usage[Profile name]&amp;" - "&amp;Input_Usage[Usage type],0),MATCH($D$21,Inputs!$C$147:$BA$147,0))),0),0,1))</f>
        <v>0</v>
      </c>
      <c r="F17" s="67" cm="1">
        <f t="array" ref="F17">IF($D$21="VDO 2021 - Final",
IF(F13=
ROUNDUP(
(INDEX(OP_TotalRates_RES_1[[Ausnet]:[United Energy]],MATCH("Anytime - supply",OP_TotalRates_RES_1[Rate name],0),MATCH(F$10,OP_TotalRates_RES_1[[#Headers],[Ausnet]:[United Energy]],0))*DiY)+
(IFERROR((INDEX(OP_TotalRates_RES_1[[Ausnet]:[United Energy]],MATCH("Block 1",OP_TotalRates_RES_1[Rate name],0),MATCH(F$10,OP_TotalRates_RES_1[[#Headers],[Ausnet]:[United Energy]],0))*
INDEX(Input_Usage[],MATCH($D13&amp;" - Block 1",Input_Usage[Ref],0),MATCH($D$21,Inputs!$C$147:$BA$147,0))),0)+
IFERROR((INDEX(OP_TotalRates_RES_1[[Ausnet]:[United Energy]],MATCH("Balance",OP_TotalRates_RES_1[Rate name],0),MATCH(F$10,OP_TotalRates_RES_1[[#Headers],[Ausnet]:[United Energy]],0))*
INDEX(Input_Usage[],MATCH($D13&amp;" - Balance",Input_Usage[Ref],0),MATCH($D$21,Inputs!$C$147:$BA$147,0))),0)+
IFERROR((INDEX(OP_TotalRates_RES_1[[Ausnet]:[United Energy]],MATCH("Single rate",OP_TotalRates_RES_1[Rate name],0),MATCH(F$10,OP_TotalRates_RES_1[[#Headers],[Ausnet]:[United Energy]],0))*
INDEX(Input_Usage[],MATCH($D13&amp;" - Annual",Input_Usage[Ref],0),MATCH($D$21,Inputs!$C$147:$BA$147,0))),0)),0),0,1),
IF(F13=
ROUNDUP(
(INDEX(OP_TotalRates_RES_1[[Ausnet]:[United Energy]],MATCH("TOU - supply",OP_TotalRates_RES_1[Rate name],0),MATCH(F$10,OP_TotalRates_RES_1[[#Headers],[Ausnet]:[United Energy]],0))*DiY)+
(INDEX(OP_TotalRates_RES_1[[Ausnet]:[United Energy]],MATCH("Peak",OP_TotalRates_RES_1[Rate name],0),MATCH(F$10,OP_TotalRates_RES_1[[#Headers],[Ausnet]:[United Energy]],0))*
INDEX(Input_Usage[],MATCH($D13&amp;" - Peak",Input_Usage[Profile name]&amp;" - "&amp;Input_Usage[Usage type],0),MATCH($D$21,Inputs!$C$147:$BA$147,0)))+
IFERROR((INDEX(OP_TotalRates_RES_1[[Ausnet]:[United Energy]],MATCH("TOU - Shoulder",OP_TotalRates_RES_1[Rate name],0),MATCH(F$10,OP_TotalRates_RES_1[[#Headers],[Ausnet]:[United Energy]],0))*
INDEX(Input_Usage[],MATCH($D13&amp;" - Shoulder",Input_Usage[Profile name]&amp;" - "&amp;Input_Usage[Usage type],0),MATCH($D$21,Inputs!$C$147:$BA$147,0))),0)+
(INDEX(OP_TotalRates_RES_1[[Ausnet]:[United Energy]],MATCH("Off peak",OP_TotalRates_RES_1[Rate name],0),MATCH(F$10,OP_TotalRates_RES_1[[#Headers],[Ausnet]:[United Energy]],0))*
INDEX(Input_Usage[],MATCH($D13&amp;" - Off peak",Input_Usage[Profile name]&amp;" - "&amp;Input_Usage[Usage type],0),MATCH($D$21,Inputs!$C$147:$BA$147,0))),0),0,1))</f>
        <v>0</v>
      </c>
      <c r="G17" s="67" cm="1">
        <f t="array" ref="G17">IF($D$21="VDO 2021 - Final",
IF(G13=
ROUNDUP(
(INDEX(OP_TotalRates_RES_1[[Ausnet]:[United Energy]],MATCH("Anytime - supply",OP_TotalRates_RES_1[Rate name],0),MATCH(G$10,OP_TotalRates_RES_1[[#Headers],[Ausnet]:[United Energy]],0))*DiY)+
(IFERROR((INDEX(OP_TotalRates_RES_1[[Ausnet]:[United Energy]],MATCH("Block 1",OP_TotalRates_RES_1[Rate name],0),MATCH(G$10,OP_TotalRates_RES_1[[#Headers],[Ausnet]:[United Energy]],0))*
INDEX(Input_Usage[],MATCH($D13&amp;" - Block 1",Input_Usage[Ref],0),MATCH($D$21,Inputs!$C$147:$BA$147,0))),0)+
IFERROR((INDEX(OP_TotalRates_RES_1[[Ausnet]:[United Energy]],MATCH("Balance",OP_TotalRates_RES_1[Rate name],0),MATCH(G$10,OP_TotalRates_RES_1[[#Headers],[Ausnet]:[United Energy]],0))*
INDEX(Input_Usage[],MATCH($D13&amp;" - Balance",Input_Usage[Ref],0),MATCH($D$21,Inputs!$C$147:$BA$147,0))),0)+
IFERROR((INDEX(OP_TotalRates_RES_1[[Ausnet]:[United Energy]],MATCH("Single rate",OP_TotalRates_RES_1[Rate name],0),MATCH(G$10,OP_TotalRates_RES_1[[#Headers],[Ausnet]:[United Energy]],0))*
INDEX(Input_Usage[],MATCH($D13&amp;" - Annual",Input_Usage[Ref],0),MATCH($D$21,Inputs!$C$147:$BA$147,0))),0)),0),0,1),
IF(G13=
ROUNDUP(
(INDEX(OP_TotalRates_RES_1[[Ausnet]:[United Energy]],MATCH("TOU - supply",OP_TotalRates_RES_1[Rate name],0),MATCH(G$10,OP_TotalRates_RES_1[[#Headers],[Ausnet]:[United Energy]],0))*DiY)+
(INDEX(OP_TotalRates_RES_1[[Ausnet]:[United Energy]],MATCH("Peak",OP_TotalRates_RES_1[Rate name],0),MATCH(G$10,OP_TotalRates_RES_1[[#Headers],[Ausnet]:[United Energy]],0))*
INDEX(Input_Usage[],MATCH($D13&amp;" - Peak",Input_Usage[Profile name]&amp;" - "&amp;Input_Usage[Usage type],0),MATCH($D$21,Inputs!$C$147:$BA$147,0)))+
IFERROR((INDEX(OP_TotalRates_RES_1[[Ausnet]:[United Energy]],MATCH("TOU - Shoulder",OP_TotalRates_RES_1[Rate name],0),MATCH(G$10,OP_TotalRates_RES_1[[#Headers],[Ausnet]:[United Energy]],0))*
INDEX(Input_Usage[],MATCH($D13&amp;" - Shoulder",Input_Usage[Profile name]&amp;" - "&amp;Input_Usage[Usage type],0),MATCH($D$21,Inputs!$C$147:$BA$147,0))),0)+
(INDEX(OP_TotalRates_RES_1[[Ausnet]:[United Energy]],MATCH("Off peak",OP_TotalRates_RES_1[Rate name],0),MATCH(G$10,OP_TotalRates_RES_1[[#Headers],[Ausnet]:[United Energy]],0))*
INDEX(Input_Usage[],MATCH($D13&amp;" - Off peak",Input_Usage[Profile name]&amp;" - "&amp;Input_Usage[Usage type],0),MATCH($D$21,Inputs!$C$147:$BA$147,0))),0),0,1))</f>
        <v>0</v>
      </c>
      <c r="H17" s="67" cm="1">
        <f t="array" ref="H17">IF($D$21="VDO 2021 - Final",
IF(H13=
ROUNDUP(
(INDEX(OP_TotalRates_RES_1[[Ausnet]:[United Energy]],MATCH("Anytime - supply",OP_TotalRates_RES_1[Rate name],0),MATCH(H$10,OP_TotalRates_RES_1[[#Headers],[Ausnet]:[United Energy]],0))*DiY)+
(IFERROR((INDEX(OP_TotalRates_RES_1[[Ausnet]:[United Energy]],MATCH("Block 1",OP_TotalRates_RES_1[Rate name],0),MATCH(H$10,OP_TotalRates_RES_1[[#Headers],[Ausnet]:[United Energy]],0))*
INDEX(Input_Usage[],MATCH($D13&amp;" - Block 1",Input_Usage[Ref],0),MATCH($D$21,Inputs!$C$147:$BA$147,0))),0)+
IFERROR((INDEX(OP_TotalRates_RES_1[[Ausnet]:[United Energy]],MATCH("Balance",OP_TotalRates_RES_1[Rate name],0),MATCH(H$10,OP_TotalRates_RES_1[[#Headers],[Ausnet]:[United Energy]],0))*
INDEX(Input_Usage[],MATCH($D13&amp;" - Balance",Input_Usage[Ref],0),MATCH($D$21,Inputs!$C$147:$BA$147,0))),0)+
IFERROR((INDEX(OP_TotalRates_RES_1[[Ausnet]:[United Energy]],MATCH("Single rate",OP_TotalRates_RES_1[Rate name],0),MATCH(H$10,OP_TotalRates_RES_1[[#Headers],[Ausnet]:[United Energy]],0))*
INDEX(Input_Usage[],MATCH($D13&amp;" - Annual",Input_Usage[Ref],0),MATCH($D$21,Inputs!$C$147:$BA$147,0))),0)),0),0,1),
IF(H13=
ROUNDUP(
(INDEX(OP_TotalRates_RES_1[[Ausnet]:[United Energy]],MATCH("TOU - supply",OP_TotalRates_RES_1[Rate name],0),MATCH(H$10,OP_TotalRates_RES_1[[#Headers],[Ausnet]:[United Energy]],0))*DiY)+
(INDEX(OP_TotalRates_RES_1[[Ausnet]:[United Energy]],MATCH("Peak",OP_TotalRates_RES_1[Rate name],0),MATCH(H$10,OP_TotalRates_RES_1[[#Headers],[Ausnet]:[United Energy]],0))*
INDEX(Input_Usage[],MATCH($D13&amp;" - Peak",Input_Usage[Profile name]&amp;" - "&amp;Input_Usage[Usage type],0),MATCH($D$21,Inputs!$C$147:$BA$147,0)))+
IFERROR((INDEX(OP_TotalRates_RES_1[[Ausnet]:[United Energy]],MATCH("TOU - Shoulder",OP_TotalRates_RES_1[Rate name],0),MATCH(H$10,OP_TotalRates_RES_1[[#Headers],[Ausnet]:[United Energy]],0))*
INDEX(Input_Usage[],MATCH($D13&amp;" - Shoulder",Input_Usage[Profile name]&amp;" - "&amp;Input_Usage[Usage type],0),MATCH($D$21,Inputs!$C$147:$BA$147,0))),0)+
(INDEX(OP_TotalRates_RES_1[[Ausnet]:[United Energy]],MATCH("Off peak",OP_TotalRates_RES_1[Rate name],0),MATCH(H$10,OP_TotalRates_RES_1[[#Headers],[Ausnet]:[United Energy]],0))*
INDEX(Input_Usage[],MATCH($D13&amp;" - Off peak",Input_Usage[Profile name]&amp;" - "&amp;Input_Usage[Usage type],0),MATCH($D$21,Inputs!$C$147:$BA$147,0))),0),0,1))</f>
        <v>0</v>
      </c>
      <c r="I17" s="67" cm="1">
        <f t="array" ref="I17">IF($D$21="VDO 2021 - Final",
IF(I13=
ROUNDUP(
(INDEX(OP_TotalRates_RES_1[[Ausnet]:[United Energy]],MATCH("Anytime - supply",OP_TotalRates_RES_1[Rate name],0),MATCH(I$10,OP_TotalRates_RES_1[[#Headers],[Ausnet]:[United Energy]],0))*DiY)+
(IFERROR((INDEX(OP_TotalRates_RES_1[[Ausnet]:[United Energy]],MATCH("Block 1",OP_TotalRates_RES_1[Rate name],0),MATCH(I$10,OP_TotalRates_RES_1[[#Headers],[Ausnet]:[United Energy]],0))*
INDEX(Input_Usage[],MATCH($D13&amp;" - Block 1",Input_Usage[Ref],0),MATCH($D$21,Inputs!$C$147:$BA$147,0))),0)+
IFERROR((INDEX(OP_TotalRates_RES_1[[Ausnet]:[United Energy]],MATCH("Balance",OP_TotalRates_RES_1[Rate name],0),MATCH(I$10,OP_TotalRates_RES_1[[#Headers],[Ausnet]:[United Energy]],0))*
INDEX(Input_Usage[],MATCH($D13&amp;" - Balance",Input_Usage[Ref],0),MATCH($D$21,Inputs!$C$147:$BA$147,0))),0)+
IFERROR((INDEX(OP_TotalRates_RES_1[[Ausnet]:[United Energy]],MATCH("Single rate",OP_TotalRates_RES_1[Rate name],0),MATCH(I$10,OP_TotalRates_RES_1[[#Headers],[Ausnet]:[United Energy]],0))*
INDEX(Input_Usage[],MATCH($D13&amp;" - Annual",Input_Usage[Ref],0),MATCH($D$21,Inputs!$C$147:$BA$147,0))),0)),0),0,1),
IF(I13=
ROUNDUP(
(INDEX(OP_TotalRates_RES_1[[Ausnet]:[United Energy]],MATCH("TOU - supply",OP_TotalRates_RES_1[Rate name],0),MATCH(I$10,OP_TotalRates_RES_1[[#Headers],[Ausnet]:[United Energy]],0))*DiY)+
(INDEX(OP_TotalRates_RES_1[[Ausnet]:[United Energy]],MATCH("Peak",OP_TotalRates_RES_1[Rate name],0),MATCH(I$10,OP_TotalRates_RES_1[[#Headers],[Ausnet]:[United Energy]],0))*
INDEX(Input_Usage[],MATCH($D13&amp;" - Peak",Input_Usage[Profile name]&amp;" - "&amp;Input_Usage[Usage type],0),MATCH($D$21,Inputs!$C$147:$BA$147,0)))+
IFERROR((INDEX(OP_TotalRates_RES_1[[Ausnet]:[United Energy]],MATCH("TOU - Shoulder",OP_TotalRates_RES_1[Rate name],0),MATCH(I$10,OP_TotalRates_RES_1[[#Headers],[Ausnet]:[United Energy]],0))*
INDEX(Input_Usage[],MATCH($D13&amp;" - Shoulder",Input_Usage[Profile name]&amp;" - "&amp;Input_Usage[Usage type],0),MATCH($D$21,Inputs!$C$147:$BA$147,0))),0)+
(INDEX(OP_TotalRates_RES_1[[Ausnet]:[United Energy]],MATCH("Off peak",OP_TotalRates_RES_1[Rate name],0),MATCH(I$10,OP_TotalRates_RES_1[[#Headers],[Ausnet]:[United Energy]],0))*
INDEX(Input_Usage[],MATCH($D13&amp;" - Off peak",Input_Usage[Profile name]&amp;" - "&amp;Input_Usage[Usage type],0),MATCH($D$21,Inputs!$C$147:$BA$147,0))),0),0,1))</f>
        <v>0</v>
      </c>
      <c r="K17" s="133"/>
      <c r="M17" s="67" cm="1">
        <f t="array" ref="M17">IF($D$21="VDO 2021 - Final",
IF(M13=
ROUNDUP(
(INDEX(OP_TotalRates_SME_1[[Ausnet]:[United Energy]],MATCH("Anytime - supply",OP_TotalRates_SME_1[Rate name],0),MATCH(M$24,OP_TotalRates_SME_1[[#Headers],[Ausnet]:[United Energy]],0))*DiY)+
(IFERROR((INDEX(OP_TotalRates_SME_1[[Ausnet]:[United Energy]],MATCH("Block 1",OP_TotalRates_SME_1[Rate name],0),MATCH(M$24,OP_TotalRates_SME_1[[#Headers],[Ausnet]:[United Energy]],0))*
INDEX(Input_Usage[],MATCH($L13&amp;" - Block 1",Input_Usage[Profile name]&amp;" - "&amp;Input_Usage[Usage type],0),MATCH($D$21,Inputs!$C$147:$BA$147,0))),0)+
IFERROR((INDEX(OP_TotalRates_SME_1[[Ausnet]:[United Energy]],MATCH("Balance",OP_TotalRates_SME_1[Rate name],0),MATCH(M$24,OP_TotalRates_SME_1[[#Headers],[Ausnet]:[United Energy]],0))*
INDEX(Input_Usage[],MATCH($L13&amp;" - Balance",Input_Usage[Profile name]&amp;" - "&amp;Input_Usage[Usage type],0),MATCH($D$21,Inputs!$C$147:$BA$147,0))),0)+
IFERROR((INDEX(OP_TotalRates_SME_1[[Ausnet]:[United Energy]],MATCH("Single rate",OP_TotalRates_SME_1[Rate name],0),MATCH(M$24,OP_TotalRates_SME_1[[#Headers],[Ausnet]:[United Energy]],0))*
INDEX(Input_Usage[],MATCH($L13&amp;" - Annual",Input_Usage[Profile name]&amp;" - "&amp;Input_Usage[Usage type],0),MATCH($D$21,Inputs!$C$147:$BA$147,0))),0)),0),0,1),
IF(M13=
ROUNDUP(
(INDEX(OP_TotalRates_SME_1[[Ausnet]:[United Energy]],MATCH("TOU - supply",OP_TotalRates_SME_1[Rate name],0),MATCH(M$24,OP_TotalRates_SME_1[[#Headers],[Ausnet]:[United Energy]],0))*DiY)+
(INDEX(OP_TotalRates_SME_1[[Ausnet]:[United Energy]],MATCH("Peak",OP_TotalRates_SME_1[Rate name],0),MATCH(M$24,OP_TotalRates_SME_1[[#Headers],[Ausnet]:[United Energy]],0))*
INDEX(Input_Usage[],MATCH($L13&amp;" - Peak",Input_Usage[Profile name]&amp;" - "&amp;Input_Usage[Usage type],0),MATCH($D$21,Inputs!$C$147:$BA$147,0)))+
IFERROR((INDEX(OP_TotalRates_SME_1[[Ausnet]:[United Energy]],MATCH("TOU - Shoulder",OP_TotalRates_SME_1[Rate name],0),MATCH(M$24,OP_TotalRates_SME_1[[#Headers],[Ausnet]:[United Energy]],0))*
INDEX(Input_Usage[],MATCH($L13&amp;" - Shoulder",Input_Usage[Profile name]&amp;" - "&amp;Input_Usage[Usage type],0),MATCH($D$21,Inputs!$C$147:$BA$147,0))),0)+
(INDEX(OP_TotalRates_SME_1[[Ausnet]:[United Energy]],MATCH("Off peak",OP_TotalRates_SME_1[Rate name],0),MATCH(M$24,OP_TotalRates_SME_1[[#Headers],[Ausnet]:[United Energy]],0))*
INDEX(Input_Usage[],MATCH($L13&amp;" - Off peak",Input_Usage[Profile name]&amp;" - "&amp;Input_Usage[Usage type],0),MATCH($D$21,Inputs!$C$147:$BA$147,0))),0),0,1))</f>
        <v>0</v>
      </c>
      <c r="N17" s="67" cm="1">
        <f t="array" ref="N17">IF($D$21="VDO 2021 - Final",
IF(N13=
ROUNDUP(
(INDEX(OP_TotalRates_SME_1[[Ausnet]:[United Energy]],MATCH("Anytime - supply",OP_TotalRates_SME_1[Rate name],0),MATCH(N$24,OP_TotalRates_SME_1[[#Headers],[Ausnet]:[United Energy]],0))*DiY)+
(IFERROR((INDEX(OP_TotalRates_SME_1[[Ausnet]:[United Energy]],MATCH("Block 1",OP_TotalRates_SME_1[Rate name],0),MATCH(N$24,OP_TotalRates_SME_1[[#Headers],[Ausnet]:[United Energy]],0))*
INDEX(Input_Usage[],MATCH($L13&amp;" - Block 1",Input_Usage[Profile name]&amp;" - "&amp;Input_Usage[Usage type],0),MATCH($D$21,Inputs!$C$147:$BA$147,0))),0)+
IFERROR((INDEX(OP_TotalRates_SME_1[[Ausnet]:[United Energy]],MATCH("Balance",OP_TotalRates_SME_1[Rate name],0),MATCH(N$24,OP_TotalRates_SME_1[[#Headers],[Ausnet]:[United Energy]],0))*
INDEX(Input_Usage[],MATCH($L13&amp;" - Balance",Input_Usage[Profile name]&amp;" - "&amp;Input_Usage[Usage type],0),MATCH($D$21,Inputs!$C$147:$BA$147,0))),0)+
IFERROR((INDEX(OP_TotalRates_SME_1[[Ausnet]:[United Energy]],MATCH("Single rate",OP_TotalRates_SME_1[Rate name],0),MATCH(N$24,OP_TotalRates_SME_1[[#Headers],[Ausnet]:[United Energy]],0))*
INDEX(Input_Usage[],MATCH($L13&amp;" - Annual",Input_Usage[Profile name]&amp;" - "&amp;Input_Usage[Usage type],0),MATCH($D$21,Inputs!$C$147:$BA$147,0))),0)),0),0,1),
IF(N13=
ROUNDUP(
(INDEX(OP_TotalRates_SME_1[[Ausnet]:[United Energy]],MATCH("TOU - supply",OP_TotalRates_SME_1[Rate name],0),MATCH(N$24,OP_TotalRates_SME_1[[#Headers],[Ausnet]:[United Energy]],0))*DiY)+
(INDEX(OP_TotalRates_SME_1[[Ausnet]:[United Energy]],MATCH("Peak",OP_TotalRates_SME_1[Rate name],0),MATCH(N$24,OP_TotalRates_SME_1[[#Headers],[Ausnet]:[United Energy]],0))*
INDEX(Input_Usage[],MATCH($L13&amp;" - Peak",Input_Usage[Profile name]&amp;" - "&amp;Input_Usage[Usage type],0),MATCH($D$21,Inputs!$C$147:$BA$147,0)))+
IFERROR((INDEX(OP_TotalRates_SME_1[[Ausnet]:[United Energy]],MATCH("TOU - Shoulder",OP_TotalRates_SME_1[Rate name],0),MATCH(N$24,OP_TotalRates_SME_1[[#Headers],[Ausnet]:[United Energy]],0))*
INDEX(Input_Usage[],MATCH($L13&amp;" - Shoulder",Input_Usage[Profile name]&amp;" - "&amp;Input_Usage[Usage type],0),MATCH($D$21,Inputs!$C$147:$BA$147,0))),0)+
(INDEX(OP_TotalRates_SME_1[[Ausnet]:[United Energy]],MATCH("Off peak",OP_TotalRates_SME_1[Rate name],0),MATCH(N$24,OP_TotalRates_SME_1[[#Headers],[Ausnet]:[United Energy]],0))*
INDEX(Input_Usage[],MATCH($L13&amp;" - Off peak",Input_Usage[Profile name]&amp;" - "&amp;Input_Usage[Usage type],0),MATCH($D$21,Inputs!$C$147:$BA$147,0))),0),0,1))</f>
        <v>0</v>
      </c>
      <c r="O17" s="67" cm="1">
        <f t="array" ref="O17">IF($D$21="VDO 2021 - Final",
IF(O13=
ROUNDUP(
(INDEX(OP_TotalRates_SME_1[[Ausnet]:[United Energy]],MATCH("Anytime - supply",OP_TotalRates_SME_1[Rate name],0),MATCH(O$24,OP_TotalRates_SME_1[[#Headers],[Ausnet]:[United Energy]],0))*DiY)+
(IFERROR((INDEX(OP_TotalRates_SME_1[[Ausnet]:[United Energy]],MATCH("Block 1",OP_TotalRates_SME_1[Rate name],0),MATCH(O$24,OP_TotalRates_SME_1[[#Headers],[Ausnet]:[United Energy]],0))*
INDEX(Input_Usage[],MATCH($L13&amp;" - Block 1",Input_Usage[Profile name]&amp;" - "&amp;Input_Usage[Usage type],0),MATCH($D$21,Inputs!$C$147:$BA$147,0))),0)+
IFERROR((INDEX(OP_TotalRates_SME_1[[Ausnet]:[United Energy]],MATCH("Balance",OP_TotalRates_SME_1[Rate name],0),MATCH(O$24,OP_TotalRates_SME_1[[#Headers],[Ausnet]:[United Energy]],0))*
INDEX(Input_Usage[],MATCH($L13&amp;" - Balance",Input_Usage[Profile name]&amp;" - "&amp;Input_Usage[Usage type],0),MATCH($D$21,Inputs!$C$147:$BA$147,0))),0)+
IFERROR((INDEX(OP_TotalRates_SME_1[[Ausnet]:[United Energy]],MATCH("Single rate",OP_TotalRates_SME_1[Rate name],0),MATCH(O$24,OP_TotalRates_SME_1[[#Headers],[Ausnet]:[United Energy]],0))*
INDEX(Input_Usage[],MATCH($L13&amp;" - Annual",Input_Usage[Profile name]&amp;" - "&amp;Input_Usage[Usage type],0),MATCH($D$21,Inputs!$C$147:$BA$147,0))),0)),0),0,1),
IF(O13=
ROUNDUP(
(INDEX(OP_TotalRates_SME_1[[Ausnet]:[United Energy]],MATCH("TOU - supply",OP_TotalRates_SME_1[Rate name],0),MATCH(O$24,OP_TotalRates_SME_1[[#Headers],[Ausnet]:[United Energy]],0))*DiY)+
(INDEX(OP_TotalRates_SME_1[[Ausnet]:[United Energy]],MATCH("Peak",OP_TotalRates_SME_1[Rate name],0),MATCH(O$24,OP_TotalRates_SME_1[[#Headers],[Ausnet]:[United Energy]],0))*
INDEX(Input_Usage[],MATCH($L13&amp;" - Peak",Input_Usage[Profile name]&amp;" - "&amp;Input_Usage[Usage type],0),MATCH($D$21,Inputs!$C$147:$BA$147,0)))+
IFERROR((INDEX(OP_TotalRates_SME_1[[Ausnet]:[United Energy]],MATCH("TOU - Shoulder",OP_TotalRates_SME_1[Rate name],0),MATCH(O$24,OP_TotalRates_SME_1[[#Headers],[Ausnet]:[United Energy]],0))*
INDEX(Input_Usage[],MATCH($L13&amp;" - Shoulder",Input_Usage[Profile name]&amp;" - "&amp;Input_Usage[Usage type],0),MATCH($D$21,Inputs!$C$147:$BA$147,0))),0)+
(INDEX(OP_TotalRates_SME_1[[Ausnet]:[United Energy]],MATCH("Off peak",OP_TotalRates_SME_1[Rate name],0),MATCH(O$24,OP_TotalRates_SME_1[[#Headers],[Ausnet]:[United Energy]],0))*
INDEX(Input_Usage[],MATCH($L13&amp;" - Off peak",Input_Usage[Profile name]&amp;" - "&amp;Input_Usage[Usage type],0),MATCH($D$21,Inputs!$C$147:$BA$147,0))),0),0,1))</f>
        <v>0</v>
      </c>
      <c r="P17" s="67" cm="1">
        <f t="array" ref="P17">IF($D$21="VDO 2021 - Final",
IF(P13=
ROUNDUP(
(INDEX(OP_TotalRates_SME_1[[Ausnet]:[United Energy]],MATCH("Anytime - supply",OP_TotalRates_SME_1[Rate name],0),MATCH(P$24,OP_TotalRates_SME_1[[#Headers],[Ausnet]:[United Energy]],0))*DiY)+
(IFERROR((INDEX(OP_TotalRates_SME_1[[Ausnet]:[United Energy]],MATCH("Block 1",OP_TotalRates_SME_1[Rate name],0),MATCH(P$24,OP_TotalRates_SME_1[[#Headers],[Ausnet]:[United Energy]],0))*
INDEX(Input_Usage[],MATCH($L13&amp;" - Block 1",Input_Usage[Profile name]&amp;" - "&amp;Input_Usage[Usage type],0),MATCH($D$21,Inputs!$C$147:$BA$147,0))),0)+
IFERROR((INDEX(OP_TotalRates_SME_1[[Ausnet]:[United Energy]],MATCH("Balance",OP_TotalRates_SME_1[Rate name],0),MATCH(P$24,OP_TotalRates_SME_1[[#Headers],[Ausnet]:[United Energy]],0))*
INDEX(Input_Usage[],MATCH($L13&amp;" - Balance",Input_Usage[Profile name]&amp;" - "&amp;Input_Usage[Usage type],0),MATCH($D$21,Inputs!$C$147:$BA$147,0))),0)+
IFERROR((INDEX(OP_TotalRates_SME_1[[Ausnet]:[United Energy]],MATCH("Single rate",OP_TotalRates_SME_1[Rate name],0),MATCH(P$24,OP_TotalRates_SME_1[[#Headers],[Ausnet]:[United Energy]],0))*
INDEX(Input_Usage[],MATCH($L13&amp;" - Annual",Input_Usage[Profile name]&amp;" - "&amp;Input_Usage[Usage type],0),MATCH($D$21,Inputs!$C$147:$BA$147,0))),0)),0),0,1),
IF(P13=
ROUNDUP(
(INDEX(OP_TotalRates_SME_1[[Ausnet]:[United Energy]],MATCH("TOU - supply",OP_TotalRates_SME_1[Rate name],0),MATCH(P$24,OP_TotalRates_SME_1[[#Headers],[Ausnet]:[United Energy]],0))*DiY)+
(INDEX(OP_TotalRates_SME_1[[Ausnet]:[United Energy]],MATCH("Peak",OP_TotalRates_SME_1[Rate name],0),MATCH(P$24,OP_TotalRates_SME_1[[#Headers],[Ausnet]:[United Energy]],0))*
INDEX(Input_Usage[],MATCH($L13&amp;" - Peak",Input_Usage[Profile name]&amp;" - "&amp;Input_Usage[Usage type],0),MATCH($D$21,Inputs!$C$147:$BA$147,0)))+
IFERROR((INDEX(OP_TotalRates_SME_1[[Ausnet]:[United Energy]],MATCH("TOU - Shoulder",OP_TotalRates_SME_1[Rate name],0),MATCH(P$24,OP_TotalRates_SME_1[[#Headers],[Ausnet]:[United Energy]],0))*
INDEX(Input_Usage[],MATCH($L13&amp;" - Shoulder",Input_Usage[Profile name]&amp;" - "&amp;Input_Usage[Usage type],0),MATCH($D$21,Inputs!$C$147:$BA$147,0))),0)+
(INDEX(OP_TotalRates_SME_1[[Ausnet]:[United Energy]],MATCH("Off peak",OP_TotalRates_SME_1[Rate name],0),MATCH(P$24,OP_TotalRates_SME_1[[#Headers],[Ausnet]:[United Energy]],0))*
INDEX(Input_Usage[],MATCH($L13&amp;" - Off peak",Input_Usage[Profile name]&amp;" - "&amp;Input_Usage[Usage type],0),MATCH($D$21,Inputs!$C$147:$BA$147,0))),0),0,1))</f>
        <v>0</v>
      </c>
      <c r="Q17" s="67" cm="1">
        <f t="array" ref="Q17">IF($D$21="VDO 2021 - Final",
IF(Q13=
ROUNDUP(
(INDEX(OP_TotalRates_SME_1[[Ausnet]:[United Energy]],MATCH("Anytime - supply",OP_TotalRates_SME_1[Rate name],0),MATCH(Q$24,OP_TotalRates_SME_1[[#Headers],[Ausnet]:[United Energy]],0))*DiY)+
(IFERROR((INDEX(OP_TotalRates_SME_1[[Ausnet]:[United Energy]],MATCH("Block 1",OP_TotalRates_SME_1[Rate name],0),MATCH(Q$24,OP_TotalRates_SME_1[[#Headers],[Ausnet]:[United Energy]],0))*
INDEX(Input_Usage[],MATCH($L13&amp;" - Block 1",Input_Usage[Profile name]&amp;" - "&amp;Input_Usage[Usage type],0),MATCH($D$21,Inputs!$C$147:$BA$147,0))),0)+
IFERROR((INDEX(OP_TotalRates_SME_1[[Ausnet]:[United Energy]],MATCH("Balance",OP_TotalRates_SME_1[Rate name],0),MATCH(Q$24,OP_TotalRates_SME_1[[#Headers],[Ausnet]:[United Energy]],0))*
INDEX(Input_Usage[],MATCH($L13&amp;" - Balance",Input_Usage[Profile name]&amp;" - "&amp;Input_Usage[Usage type],0),MATCH($D$21,Inputs!$C$147:$BA$147,0))),0)+
IFERROR((INDEX(OP_TotalRates_SME_1[[Ausnet]:[United Energy]],MATCH("Single rate",OP_TotalRates_SME_1[Rate name],0),MATCH(Q$24,OP_TotalRates_SME_1[[#Headers],[Ausnet]:[United Energy]],0))*
INDEX(Input_Usage[],MATCH($L13&amp;" - Annual",Input_Usage[Profile name]&amp;" - "&amp;Input_Usage[Usage type],0),MATCH($D$21,Inputs!$C$147:$BA$147,0))),0)),0),0,1),
IF(Q13=
ROUNDUP(
(INDEX(OP_TotalRates_SME_1[[Ausnet]:[United Energy]],MATCH("TOU - supply",OP_TotalRates_SME_1[Rate name],0),MATCH(Q$24,OP_TotalRates_SME_1[[#Headers],[Ausnet]:[United Energy]],0))*DiY)+
(INDEX(OP_TotalRates_SME_1[[Ausnet]:[United Energy]],MATCH("Peak",OP_TotalRates_SME_1[Rate name],0),MATCH(Q$24,OP_TotalRates_SME_1[[#Headers],[Ausnet]:[United Energy]],0))*
INDEX(Input_Usage[],MATCH($L13&amp;" - Peak",Input_Usage[Profile name]&amp;" - "&amp;Input_Usage[Usage type],0),MATCH($D$21,Inputs!$C$147:$BA$147,0)))+
IFERROR((INDEX(OP_TotalRates_SME_1[[Ausnet]:[United Energy]],MATCH("TOU - Shoulder",OP_TotalRates_SME_1[Rate name],0),MATCH(Q$24,OP_TotalRates_SME_1[[#Headers],[Ausnet]:[United Energy]],0))*
INDEX(Input_Usage[],MATCH($L13&amp;" - Shoulder",Input_Usage[Profile name]&amp;" - "&amp;Input_Usage[Usage type],0),MATCH($D$21,Inputs!$C$147:$BA$147,0))),0)+
(INDEX(OP_TotalRates_SME_1[[Ausnet]:[United Energy]],MATCH("Off peak",OP_TotalRates_SME_1[Rate name],0),MATCH(Q$24,OP_TotalRates_SME_1[[#Headers],[Ausnet]:[United Energy]],0))*
INDEX(Input_Usage[],MATCH($L13&amp;" - Off peak",Input_Usage[Profile name]&amp;" - "&amp;Input_Usage[Usage type],0),MATCH($D$21,Inputs!$C$147:$BA$147,0))),0),0,1))</f>
        <v>0</v>
      </c>
    </row>
    <row r="18" spans="1:18" x14ac:dyDescent="0.25">
      <c r="E18" s="7"/>
      <c r="F18" s="7"/>
      <c r="G18" s="7"/>
      <c r="H18" s="7"/>
      <c r="I18" s="7"/>
      <c r="K18" s="133"/>
    </row>
    <row r="19" spans="1:18" ht="16.5" thickBot="1" x14ac:dyDescent="0.3">
      <c r="A19" s="1" t="s">
        <v>36</v>
      </c>
      <c r="B19" s="155">
        <f ca="1">MAX(B$3:B18)+0.01</f>
        <v>6.02</v>
      </c>
      <c r="C19" s="19" t="str">
        <f>"CMAB amounts - "&amp;Calc_Rates!$D$267</f>
        <v>CMAB amounts - VDO 2023-24 - Final</v>
      </c>
      <c r="D19" s="19"/>
      <c r="E19" s="19"/>
      <c r="F19" s="19"/>
      <c r="G19" s="19"/>
      <c r="H19" s="19"/>
      <c r="I19" s="19"/>
      <c r="J19" s="19"/>
      <c r="K19" s="19"/>
      <c r="L19" s="19"/>
      <c r="M19" s="19"/>
      <c r="N19" s="19"/>
      <c r="O19" s="19"/>
      <c r="P19" s="19"/>
      <c r="Q19" s="19"/>
      <c r="R19" s="19"/>
    </row>
    <row r="21" spans="1:18" ht="15.75" x14ac:dyDescent="0.25">
      <c r="C21" s="36" t="s">
        <v>49</v>
      </c>
      <c r="D21" s="28" t="str">
        <f>Calc_Rates!$D$267</f>
        <v>VDO 2023-24 - Final</v>
      </c>
    </row>
    <row r="23" spans="1:18" ht="15.75" x14ac:dyDescent="0.25">
      <c r="C23" s="20" t="s">
        <v>72</v>
      </c>
      <c r="K23" s="20" t="s">
        <v>73</v>
      </c>
    </row>
    <row r="24" spans="1:18" ht="15.75" x14ac:dyDescent="0.25">
      <c r="C24" s="30" t="s">
        <v>63</v>
      </c>
      <c r="D24" s="30" t="s">
        <v>91</v>
      </c>
      <c r="E24" s="40" t="s">
        <v>65</v>
      </c>
      <c r="F24" s="40" t="s">
        <v>66</v>
      </c>
      <c r="G24" s="40" t="s">
        <v>67</v>
      </c>
      <c r="H24" s="40" t="s">
        <v>68</v>
      </c>
      <c r="I24" s="40" t="s">
        <v>69</v>
      </c>
      <c r="K24" s="30" t="s">
        <v>63</v>
      </c>
      <c r="L24" s="30" t="s">
        <v>91</v>
      </c>
      <c r="M24" s="40" t="s">
        <v>65</v>
      </c>
      <c r="N24" s="40" t="s">
        <v>66</v>
      </c>
      <c r="O24" s="40" t="s">
        <v>67</v>
      </c>
      <c r="P24" s="40" t="s">
        <v>68</v>
      </c>
      <c r="Q24" s="40" t="s">
        <v>69</v>
      </c>
    </row>
    <row r="25" spans="1:18" hidden="1" x14ac:dyDescent="0.25">
      <c r="C25" s="14" t="s">
        <v>72</v>
      </c>
      <c r="D25" s="14" t="s">
        <v>92</v>
      </c>
      <c r="E25" s="82">
        <f>IFERROR(
IF($D$7="VDO 2021 - Final",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INDEX(Input_Usage[],MATCH($D25&amp;" - Block 1",Input_Usage[Ref],0),MATCH($D$7,Inputs!$C$147:$BA$147,0))),0)+
IFERROR((INDEX(OP_TotalRates_RES_2[[Ausnet]:[United Energy]],MATCH("Balance",OP_TotalRates_RES_2[Rate name],0),MATCH(E$24,OP_TotalRates_RES_2[[#Headers],[Ausnet]:[United Energy]],0))*
INDEX(Input_Usage[],MATCH($D25&amp;" - Balance",Input_Usage[Ref],0),MATCH($D$7,Inputs!$C$147:$BA$147,0))),0)+
IFERROR((INDEX(OP_TotalRates_RES_2[[Ausnet]:[United Energy]],MATCH("Single rate",OP_TotalRates_RES_2[Rate name],0),MATCH(E$24,OP_TotalRates_RES_2[[#Headers],[Ausnet]:[United Energy]],0))*
INDEX(Input_Usage[],MATCH($D25&amp;" - Annual",Input_Usage[Ref],0),MATCH($D$7,Inputs!$C$147:$BA$147,0))),0)),0),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INDEX(Input_Usage[],MATCH($D25&amp;" - Peak",Input_Usage[Ref],0),MATCH($D$7,Inputs!$C$147:$BA$147,0)))+
IFERROR((INDEX(OP_TotalRates_RES_2[[Ausnet]:[United Energy]],MATCH("TOU - Shoulder",OP_TotalRates_RES_2[Rate name],0),MATCH(E$24,OP_TotalRates_RES_2[[#Headers],[Ausnet]:[United Energy]],0))*
INDEX(Input_Usage[],MATCH($D25&amp;" - Shoulder",Input_Usage[Ref],0),MATCH($D$7,Inputs!$C$147:$BA$147,0))),0)+
(INDEX(OP_TotalRates_RES_2[[Ausnet]:[United Energy]],MATCH("Off peak",OP_TotalRates_RES_2[Rate name],0),MATCH(E$24,OP_TotalRates_RES_2[[#Headers],[Ausnet]:[United Energy]],0))*
INDEX(Input_Usage[],MATCH($D25&amp;" - Off peak",Input_Usage[Ref],0),MATCH($D$7,Inputs!$C$147:$BA$147,0))),0)),"-")</f>
        <v>1195</v>
      </c>
      <c r="F25" s="82">
        <f>IFERROR(
IF($D$7="VDO 2021 - Final",
ROUNDUP(
(INDEX(OP_TotalRates_RES_2[[Ausnet]:[United Energy]],MATCH("Anytime - supply",OP_TotalRates_RES_2[[Rate name]:[Rate name]],0),MATCH(F$24,OP_TotalRates_RES_2[[#Headers],[Ausnet]:[United Energy]],0))*DiPY)+
(IFERROR((INDEX(OP_TotalRates_RES_2[[Ausnet]:[United Energy]],MATCH("Block 1",OP_TotalRates_RES_2[[Rate name]:[Rate name]],0),MATCH(F$24,OP_TotalRates_RES_2[[#Headers],[Ausnet]:[United Energy]],0))*
INDEX(Input_Usage[],MATCH($D25&amp;" - Block 1",Input_Usage[[Ref]:[Ref]],0),MATCH($D$7,Inputs!$C$147:$BA$147,0))),0)+
IFERROR((INDEX(OP_TotalRates_RES_2[[Ausnet]:[United Energy]],MATCH("Balance",OP_TotalRates_RES_2[[Rate name]:[Rate name]],0),MATCH(F$24,OP_TotalRates_RES_2[[#Headers],[Ausnet]:[United Energy]],0))*
INDEX(Input_Usage[],MATCH($D25&amp;" - Balance",Input_Usage[[Ref]:[Ref]],0),MATCH($D$7,Inputs!$C$147:$BA$147,0))),0)+
IFERROR((INDEX(OP_TotalRates_RES_2[[Ausnet]:[United Energy]],MATCH("Single rate",OP_TotalRates_RES_2[[Rate name]:[Rate name]],0),MATCH(F$24,OP_TotalRates_RES_2[[#Headers],[Ausnet]:[United Energy]],0))*
INDEX(Input_Usage[],MATCH($D25&amp;" - Annual",Input_Usage[[Ref]:[Ref]],0),MATCH($D$7,Inputs!$C$147:$BA$147,0))),0)),0),
ROUNDUP(
(INDEX(OP_TotalRates_RES_2[[Ausnet]:[United Energy]],MATCH("TOU - supply",OP_TotalRates_RES_2[[Rate name]:[Rate name]],0),MATCH(F$24,OP_TotalRates_RES_2[[#Headers],[Ausnet]:[United Energy]],0))*DiPY)+
(INDEX(OP_TotalRates_RES_2[[Ausnet]:[United Energy]],MATCH("Peak",OP_TotalRates_RES_2[[Rate name]:[Rate name]],0),MATCH(F$24,OP_TotalRates_RES_2[[#Headers],[Ausnet]:[United Energy]],0))*
INDEX(Input_Usage[],MATCH($D25&amp;" - Peak",Input_Usage[[Ref]:[Ref]],0),MATCH($D$7,Inputs!$C$147:$BA$147,0)))+
IFERROR((INDEX(OP_TotalRates_RES_2[[Ausnet]:[United Energy]],MATCH("TOU - Shoulder",OP_TotalRates_RES_2[[Rate name]:[Rate name]],0),MATCH(F$24,OP_TotalRates_RES_2[[#Headers],[Ausnet]:[United Energy]],0))*
INDEX(Input_Usage[],MATCH($D25&amp;" - Shoulder",Input_Usage[[Ref]:[Ref]],0),MATCH($D$7,Inputs!$C$147:$BA$147,0))),0)+
(INDEX(OP_TotalRates_RES_2[[Ausnet]:[United Energy]],MATCH("Off peak",OP_TotalRates_RES_2[[Rate name]:[Rate name]],0),MATCH(F$24,OP_TotalRates_RES_2[[#Headers],[Ausnet]:[United Energy]],0))*
INDEX(Input_Usage[],MATCH($D25&amp;" - Off peak",Input_Usage[[Ref]:[Ref]],0),MATCH($D$7,Inputs!$C$147:$BA$147,0))),0)),"-")</f>
        <v>995</v>
      </c>
      <c r="G25" s="82">
        <f>IFERROR(
IF($D$7="VDO 2021 - Final",
ROUNDUP(
(INDEX(OP_TotalRates_RES_2[[Ausnet]:[United Energy]],MATCH("Anytime - supply",OP_TotalRates_RES_2[[Rate name]:[Rate name]],0),MATCH(G$24,OP_TotalRates_RES_2[[#Headers],[Ausnet]:[United Energy]],0))*DiPY)+
(IFERROR((INDEX(OP_TotalRates_RES_2[[Ausnet]:[United Energy]],MATCH("Block 1",OP_TotalRates_RES_2[[Rate name]:[Rate name]],0),MATCH(G$24,OP_TotalRates_RES_2[[#Headers],[Ausnet]:[United Energy]],0))*
INDEX(Input_Usage[],MATCH($D25&amp;" - Block 1",Input_Usage[[Ref]:[Ref]],0),MATCH($D$7,Inputs!$C$147:$BA$147,0))),0)+
IFERROR((INDEX(OP_TotalRates_RES_2[[Ausnet]:[United Energy]],MATCH("Balance",OP_TotalRates_RES_2[[Rate name]:[Rate name]],0),MATCH(G$24,OP_TotalRates_RES_2[[#Headers],[Ausnet]:[United Energy]],0))*
INDEX(Input_Usage[],MATCH($D25&amp;" - Balance",Input_Usage[[Ref]:[Ref]],0),MATCH($D$7,Inputs!$C$147:$BA$147,0))),0)+
IFERROR((INDEX(OP_TotalRates_RES_2[[Ausnet]:[United Energy]],MATCH("Single rate",OP_TotalRates_RES_2[[Rate name]:[Rate name]],0),MATCH(G$24,OP_TotalRates_RES_2[[#Headers],[Ausnet]:[United Energy]],0))*
INDEX(Input_Usage[],MATCH($D25&amp;" - Annual",Input_Usage[[Ref]:[Ref]],0),MATCH($D$7,Inputs!$C$147:$BA$147,0))),0)),0),
ROUNDUP(
(INDEX(OP_TotalRates_RES_2[[Ausnet]:[United Energy]],MATCH("TOU - supply",OP_TotalRates_RES_2[[Rate name]:[Rate name]],0),MATCH(G$24,OP_TotalRates_RES_2[[#Headers],[Ausnet]:[United Energy]],0))*DiPY)+
(INDEX(OP_TotalRates_RES_2[[Ausnet]:[United Energy]],MATCH("Peak",OP_TotalRates_RES_2[[Rate name]:[Rate name]],0),MATCH(G$24,OP_TotalRates_RES_2[[#Headers],[Ausnet]:[United Energy]],0))*
INDEX(Input_Usage[],MATCH($D25&amp;" - Peak",Input_Usage[[Ref]:[Ref]],0),MATCH($D$7,Inputs!$C$147:$BA$147,0)))+
IFERROR((INDEX(OP_TotalRates_RES_2[[Ausnet]:[United Energy]],MATCH("TOU - Shoulder",OP_TotalRates_RES_2[[Rate name]:[Rate name]],0),MATCH(G$24,OP_TotalRates_RES_2[[#Headers],[Ausnet]:[United Energy]],0))*
INDEX(Input_Usage[],MATCH($D25&amp;" - Shoulder",Input_Usage[[Ref]:[Ref]],0),MATCH($D$7,Inputs!$C$147:$BA$147,0))),0)+
(INDEX(OP_TotalRates_RES_2[[Ausnet]:[United Energy]],MATCH("Off peak",OP_TotalRates_RES_2[[Rate name]:[Rate name]],0),MATCH(G$24,OP_TotalRates_RES_2[[#Headers],[Ausnet]:[United Energy]],0))*
INDEX(Input_Usage[],MATCH($D25&amp;" - Off peak",Input_Usage[[Ref]:[Ref]],0),MATCH($D$7,Inputs!$C$147:$BA$147,0))),0)),"-")</f>
        <v>1041</v>
      </c>
      <c r="H25" s="82">
        <f>IFERROR(
IF($D$7="VDO 2021 - Final",
ROUNDUP(
(INDEX(OP_TotalRates_RES_2[[Ausnet]:[United Energy]],MATCH("Anytime - supply",OP_TotalRates_RES_2[[Rate name]:[Rate name]],0),MATCH(H$24,OP_TotalRates_RES_2[[#Headers],[Ausnet]:[United Energy]],0))*DiPY)+
(IFERROR((INDEX(OP_TotalRates_RES_2[[Ausnet]:[United Energy]],MATCH("Block 1",OP_TotalRates_RES_2[[Rate name]:[Rate name]],0),MATCH(H$24,OP_TotalRates_RES_2[[#Headers],[Ausnet]:[United Energy]],0))*
INDEX(Input_Usage[],MATCH($D25&amp;" - Block 1",Input_Usage[[Ref]:[Ref]],0),MATCH($D$7,Inputs!$C$147:$BA$147,0))),0)+
IFERROR((INDEX(OP_TotalRates_RES_2[[Ausnet]:[United Energy]],MATCH("Balance",OP_TotalRates_RES_2[[Rate name]:[Rate name]],0),MATCH(H$24,OP_TotalRates_RES_2[[#Headers],[Ausnet]:[United Energy]],0))*
INDEX(Input_Usage[],MATCH($D25&amp;" - Balance",Input_Usage[[Ref]:[Ref]],0),MATCH($D$7,Inputs!$C$147:$BA$147,0))),0)+
IFERROR((INDEX(OP_TotalRates_RES_2[[Ausnet]:[United Energy]],MATCH("Single rate",OP_TotalRates_RES_2[[Rate name]:[Rate name]],0),MATCH(H$24,OP_TotalRates_RES_2[[#Headers],[Ausnet]:[United Energy]],0))*
INDEX(Input_Usage[],MATCH($D25&amp;" - Annual",Input_Usage[[Ref]:[Ref]],0),MATCH($D$7,Inputs!$C$147:$BA$147,0))),0)),0),
ROUNDUP(
(INDEX(OP_TotalRates_RES_2[[Ausnet]:[United Energy]],MATCH("TOU - supply",OP_TotalRates_RES_2[[Rate name]:[Rate name]],0),MATCH(H$24,OP_TotalRates_RES_2[[#Headers],[Ausnet]:[United Energy]],0))*DiPY)+
(INDEX(OP_TotalRates_RES_2[[Ausnet]:[United Energy]],MATCH("Peak",OP_TotalRates_RES_2[[Rate name]:[Rate name]],0),MATCH(H$24,OP_TotalRates_RES_2[[#Headers],[Ausnet]:[United Energy]],0))*
INDEX(Input_Usage[],MATCH($D25&amp;" - Peak",Input_Usage[[Ref]:[Ref]],0),MATCH($D$7,Inputs!$C$147:$BA$147,0)))+
IFERROR((INDEX(OP_TotalRates_RES_2[[Ausnet]:[United Energy]],MATCH("TOU - Shoulder",OP_TotalRates_RES_2[[Rate name]:[Rate name]],0),MATCH(H$24,OP_TotalRates_RES_2[[#Headers],[Ausnet]:[United Energy]],0))*
INDEX(Input_Usage[],MATCH($D25&amp;" - Shoulder",Input_Usage[[Ref]:[Ref]],0),MATCH($D$7,Inputs!$C$147:$BA$147,0))),0)+
(INDEX(OP_TotalRates_RES_2[[Ausnet]:[United Energy]],MATCH("Off peak",OP_TotalRates_RES_2[[Rate name]:[Rate name]],0),MATCH(H$24,OP_TotalRates_RES_2[[#Headers],[Ausnet]:[United Energy]],0))*
INDEX(Input_Usage[],MATCH($D25&amp;" - Off peak",Input_Usage[[Ref]:[Ref]],0),MATCH($D$7,Inputs!$C$147:$BA$147,0))),0)),"-")</f>
        <v>1129</v>
      </c>
      <c r="I25" s="82">
        <f>IFERROR(
IF($D$7="VDO 2021 - Final",
ROUNDUP(
(INDEX(OP_TotalRates_RES_2[[Ausnet]:[United Energy]],MATCH("Anytime - supply",OP_TotalRates_RES_2[[Rate name]:[Rate name]],0),MATCH(I$24,OP_TotalRates_RES_2[[#Headers],[Ausnet]:[United Energy]],0))*DiPY)+
(IFERROR((INDEX(OP_TotalRates_RES_2[[Ausnet]:[United Energy]],MATCH("Block 1",OP_TotalRates_RES_2[[Rate name]:[Rate name]],0),MATCH(I$24,OP_TotalRates_RES_2[[#Headers],[Ausnet]:[United Energy]],0))*
INDEX(Input_Usage[],MATCH($D25&amp;" - Block 1",Input_Usage[[Ref]:[Ref]],0),MATCH($D$7,Inputs!$C$147:$BA$147,0))),0)+
IFERROR((INDEX(OP_TotalRates_RES_2[[Ausnet]:[United Energy]],MATCH("Balance",OP_TotalRates_RES_2[[Rate name]:[Rate name]],0),MATCH(I$24,OP_TotalRates_RES_2[[#Headers],[Ausnet]:[United Energy]],0))*
INDEX(Input_Usage[],MATCH($D25&amp;" - Balance",Input_Usage[[Ref]:[Ref]],0),MATCH($D$7,Inputs!$C$147:$BA$147,0))),0)+
IFERROR((INDEX(OP_TotalRates_RES_2[[Ausnet]:[United Energy]],MATCH("Single rate",OP_TotalRates_RES_2[[Rate name]:[Rate name]],0),MATCH(I$24,OP_TotalRates_RES_2[[#Headers],[Ausnet]:[United Energy]],0))*
INDEX(Input_Usage[],MATCH($D25&amp;" - Annual",Input_Usage[[Ref]:[Ref]],0),MATCH($D$7,Inputs!$C$147:$BA$147,0))),0)),0),
ROUNDUP(
(INDEX(OP_TotalRates_RES_2[[Ausnet]:[United Energy]],MATCH("TOU - supply",OP_TotalRates_RES_2[[Rate name]:[Rate name]],0),MATCH(I$24,OP_TotalRates_RES_2[[#Headers],[Ausnet]:[United Energy]],0))*DiPY)+
(INDEX(OP_TotalRates_RES_2[[Ausnet]:[United Energy]],MATCH("Peak",OP_TotalRates_RES_2[[Rate name]:[Rate name]],0),MATCH(I$24,OP_TotalRates_RES_2[[#Headers],[Ausnet]:[United Energy]],0))*
INDEX(Input_Usage[],MATCH($D25&amp;" - Peak",Input_Usage[[Ref]:[Ref]],0),MATCH($D$7,Inputs!$C$147:$BA$147,0)))+
IFERROR((INDEX(OP_TotalRates_RES_2[[Ausnet]:[United Energy]],MATCH("TOU - Shoulder",OP_TotalRates_RES_2[[Rate name]:[Rate name]],0),MATCH(I$24,OP_TotalRates_RES_2[[#Headers],[Ausnet]:[United Energy]],0))*
INDEX(Input_Usage[],MATCH($D25&amp;" - Shoulder",Input_Usage[[Ref]:[Ref]],0),MATCH($D$7,Inputs!$C$147:$BA$147,0))),0)+
(INDEX(OP_TotalRates_RES_2[[Ausnet]:[United Energy]],MATCH("Off peak",OP_TotalRates_RES_2[[Rate name]:[Rate name]],0),MATCH(I$24,OP_TotalRates_RES_2[[#Headers],[Ausnet]:[United Energy]],0))*
INDEX(Input_Usage[],MATCH($D25&amp;" - Off peak",Input_Usage[[Ref]:[Ref]],0),MATCH($D$7,Inputs!$C$147:$BA$147,0))),0)),"-")</f>
        <v>1025</v>
      </c>
      <c r="K25" s="14" t="s">
        <v>73</v>
      </c>
      <c r="L25" s="14" t="s">
        <v>93</v>
      </c>
      <c r="M25" s="82">
        <f>IFERROR(
IF($D$7="VDO 2021 - Final",
ROUNDUP(
(INDEX(OP_TotalRates_SME_2[[Ausnet]:[United Energy]],MATCH("Anytime - supply",OP_TotalRates_SME_2[[Rate name]:[Rate name]],0),MATCH(M$24,OP_TotalRates_SME_2[[#Headers],[Ausnet]:[United Energy]],0))*DiPY)+
(IFERROR((INDEX(OP_TotalRates_SME_2[[Ausnet]:[United Energy]],MATCH("Block 1",OP_TotalRates_SME_2[[Rate name]:[Rate name]],0),MATCH(M$24,OP_TotalRates_SME_2[[#Headers],[Ausnet]:[United Energy]],0))*
INDEX(Input_Usage[],MATCH($L25&amp;" - Block 1",Input_Usage[[Ref]:[Ref]],0),MATCH($D$7,Inputs!$C$147:$BA$147,0))),0)+
IFERROR((INDEX(OP_TotalRates_SME_2[[Ausnet]:[United Energy]],MATCH("Balance",OP_TotalRates_SME_2[[Rate name]:[Rate name]],0),MATCH(M$24,OP_TotalRates_SME_2[[#Headers],[Ausnet]:[United Energy]],0))*
INDEX(Input_Usage[],MATCH($L25&amp;" - Balance",Input_Usage[[Ref]:[Ref]],0),MATCH($D$7,Inputs!$C$147:$BA$147,0))),0)+
IFERROR((INDEX(OP_TotalRates_SME_2[[Ausnet]:[United Energy]],MATCH("Single rate",OP_TotalRates_SME_2[[Rate name]:[Rate name]],0),MATCH(M$24,OP_TotalRates_SME_2[[#Headers],[Ausnet]:[United Energy]],0))*
INDEX(Input_Usage[],MATCH($L25&amp;" - Annual",Input_Usage[[Ref]:[Ref]],0),MATCH($D$7,Inputs!$C$147:$BA$147,0))),0)),0),
ROUNDUP(
(INDEX(OP_TotalRates_SME_2[[Ausnet]:[United Energy]],MATCH("TOU - supply",OP_TotalRates_SME_2[[Rate name]:[Rate name]],0),MATCH(M$24,OP_TotalRates_SME_2[[#Headers],[Ausnet]:[United Energy]],0))*DiPY)+
(INDEX(OP_TotalRates_SME_2[[Ausnet]:[United Energy]],MATCH("Peak",OP_TotalRates_SME_2[[Rate name]:[Rate name]],0),MATCH(M$24,OP_TotalRates_SME_2[[#Headers],[Ausnet]:[United Energy]],0))*
INDEX(Input_Usage[],MATCH($L25&amp;" - Peak",Input_Usage[[Ref]:[Ref]],0),MATCH($D$7,Inputs!$C$147:$BA$147,0)))+
IFERROR((INDEX(OP_TotalRates_SME_2[[Ausnet]:[United Energy]],MATCH("TOU - Shoulder",OP_TotalRates_SME_2[[Rate name]:[Rate name]],0),MATCH(M$24,OP_TotalRates_SME_2[[#Headers],[Ausnet]:[United Energy]],0))*
INDEX(Input_Usage[],MATCH($L25&amp;" - Shoulder",Input_Usage[[Ref]:[Ref]],0),MATCH($D$7,Inputs!$C$147:$BA$147,0))),0)+
(INDEX(OP_TotalRates_SME_2[[Ausnet]:[United Energy]],MATCH("Off peak",OP_TotalRates_SME_2[[Rate name]:[Rate name]],0),MATCH(M$24,OP_TotalRates_SME_2[[#Headers],[Ausnet]:[United Energy]],0))*
INDEX(Input_Usage[],MATCH($L25&amp;" - Off peak",Input_Usage[[Ref]:[Ref]],0),MATCH($D$7,Inputs!$C$147:$BA$147,0))),0)),"-")</f>
        <v>3871</v>
      </c>
      <c r="N25" s="82">
        <f>IFERROR(
IF($D$7="VDO 2021 - Final",
ROUNDUP(
(INDEX(OP_TotalRates_SME_2[[Ausnet]:[United Energy]],MATCH("Anytime - supply",OP_TotalRates_SME_2[[Rate name]:[Rate name]],0),MATCH(N$24,OP_TotalRates_SME_2[[#Headers],[Ausnet]:[United Energy]],0))*DiPY)+
(IFERROR((INDEX(OP_TotalRates_SME_2[[Ausnet]:[United Energy]],MATCH("Block 1",OP_TotalRates_SME_2[[Rate name]:[Rate name]],0),MATCH(N$24,OP_TotalRates_SME_2[[#Headers],[Ausnet]:[United Energy]],0))*
INDEX(Input_Usage[],MATCH($L25&amp;" - Block 1",Input_Usage[[Ref]:[Ref]],0),MATCH($D$7,Inputs!$C$147:$BA$147,0))),0)+
IFERROR((INDEX(OP_TotalRates_SME_2[[Ausnet]:[United Energy]],MATCH("Balance",OP_TotalRates_SME_2[[Rate name]:[Rate name]],0),MATCH(N$24,OP_TotalRates_SME_2[[#Headers],[Ausnet]:[United Energy]],0))*
INDEX(Input_Usage[],MATCH($L25&amp;" - Balance",Input_Usage[[Ref]:[Ref]],0),MATCH($D$7,Inputs!$C$147:$BA$147,0))),0)+
IFERROR((INDEX(OP_TotalRates_SME_2[[Ausnet]:[United Energy]],MATCH("Single rate",OP_TotalRates_SME_2[[Rate name]:[Rate name]],0),MATCH(N$24,OP_TotalRates_SME_2[[#Headers],[Ausnet]:[United Energy]],0))*
INDEX(Input_Usage[],MATCH($L25&amp;" - Annual",Input_Usage[[Ref]:[Ref]],0),MATCH($D$7,Inputs!$C$147:$BA$147,0))),0)),0),
ROUNDUP(
(INDEX(OP_TotalRates_SME_2[[Ausnet]:[United Energy]],MATCH("TOU - supply",OP_TotalRates_SME_2[[Rate name]:[Rate name]],0),MATCH(N$24,OP_TotalRates_SME_2[[#Headers],[Ausnet]:[United Energy]],0))*DiPY)+
(INDEX(OP_TotalRates_SME_2[[Ausnet]:[United Energy]],MATCH("Peak",OP_TotalRates_SME_2[[Rate name]:[Rate name]],0),MATCH(N$24,OP_TotalRates_SME_2[[#Headers],[Ausnet]:[United Energy]],0))*
INDEX(Input_Usage[],MATCH($L25&amp;" - Peak",Input_Usage[[Ref]:[Ref]],0),MATCH($D$7,Inputs!$C$147:$BA$147,0)))+
IFERROR((INDEX(OP_TotalRates_SME_2[[Ausnet]:[United Energy]],MATCH("TOU - Shoulder",OP_TotalRates_SME_2[[Rate name]:[Rate name]],0),MATCH(N$24,OP_TotalRates_SME_2[[#Headers],[Ausnet]:[United Energy]],0))*
INDEX(Input_Usage[],MATCH($L25&amp;" - Shoulder",Input_Usage[[Ref]:[Ref]],0),MATCH($D$7,Inputs!$C$147:$BA$147,0))),0)+
(INDEX(OP_TotalRates_SME_2[[Ausnet]:[United Energy]],MATCH("Off peak",OP_TotalRates_SME_2[[Rate name]:[Rate name]],0),MATCH(N$24,OP_TotalRates_SME_2[[#Headers],[Ausnet]:[United Energy]],0))*
INDEX(Input_Usage[],MATCH($L25&amp;" - Off peak",Input_Usage[[Ref]:[Ref]],0),MATCH($D$7,Inputs!$C$147:$BA$147,0))),0)),"-")</f>
        <v>3309</v>
      </c>
      <c r="O25" s="82">
        <f>IFERROR(
IF($D$7="VDO 2021 - Final",
ROUNDUP(
(INDEX(OP_TotalRates_SME_2[[Ausnet]:[United Energy]],MATCH("Anytime - supply",OP_TotalRates_SME_2[[Rate name]:[Rate name]],0),MATCH(O$24,OP_TotalRates_SME_2[[#Headers],[Ausnet]:[United Energy]],0))*DiPY)+
(IFERROR((INDEX(OP_TotalRates_SME_2[[Ausnet]:[United Energy]],MATCH("Block 1",OP_TotalRates_SME_2[[Rate name]:[Rate name]],0),MATCH(O$24,OP_TotalRates_SME_2[[#Headers],[Ausnet]:[United Energy]],0))*
INDEX(Input_Usage[],MATCH($L25&amp;" - Block 1",Input_Usage[[Ref]:[Ref]],0),MATCH($D$7,Inputs!$C$147:$BA$147,0))),0)+
IFERROR((INDEX(OP_TotalRates_SME_2[[Ausnet]:[United Energy]],MATCH("Balance",OP_TotalRates_SME_2[[Rate name]:[Rate name]],0),MATCH(O$24,OP_TotalRates_SME_2[[#Headers],[Ausnet]:[United Energy]],0))*
INDEX(Input_Usage[],MATCH($L25&amp;" - Balance",Input_Usage[[Ref]:[Ref]],0),MATCH($D$7,Inputs!$C$147:$BA$147,0))),0)+
IFERROR((INDEX(OP_TotalRates_SME_2[[Ausnet]:[United Energy]],MATCH("Single rate",OP_TotalRates_SME_2[[Rate name]:[Rate name]],0),MATCH(O$24,OP_TotalRates_SME_2[[#Headers],[Ausnet]:[United Energy]],0))*
INDEX(Input_Usage[],MATCH($L25&amp;" - Annual",Input_Usage[[Ref]:[Ref]],0),MATCH($D$7,Inputs!$C$147:$BA$147,0))),0)),0),
ROUNDUP(
(INDEX(OP_TotalRates_SME_2[[Ausnet]:[United Energy]],MATCH("TOU - supply",OP_TotalRates_SME_2[[Rate name]:[Rate name]],0),MATCH(O$24,OP_TotalRates_SME_2[[#Headers],[Ausnet]:[United Energy]],0))*DiPY)+
(INDEX(OP_TotalRates_SME_2[[Ausnet]:[United Energy]],MATCH("Peak",OP_TotalRates_SME_2[[Rate name]:[Rate name]],0),MATCH(O$24,OP_TotalRates_SME_2[[#Headers],[Ausnet]:[United Energy]],0))*
INDEX(Input_Usage[],MATCH($L25&amp;" - Peak",Input_Usage[[Ref]:[Ref]],0),MATCH($D$7,Inputs!$C$147:$BA$147,0)))+
IFERROR((INDEX(OP_TotalRates_SME_2[[Ausnet]:[United Energy]],MATCH("TOU - Shoulder",OP_TotalRates_SME_2[[Rate name]:[Rate name]],0),MATCH(O$24,OP_TotalRates_SME_2[[#Headers],[Ausnet]:[United Energy]],0))*
INDEX(Input_Usage[],MATCH($L25&amp;" - Shoulder",Input_Usage[[Ref]:[Ref]],0),MATCH($D$7,Inputs!$C$147:$BA$147,0))),0)+
(INDEX(OP_TotalRates_SME_2[[Ausnet]:[United Energy]],MATCH("Off peak",OP_TotalRates_SME_2[[Rate name]:[Rate name]],0),MATCH(O$24,OP_TotalRates_SME_2[[#Headers],[Ausnet]:[United Energy]],0))*
INDEX(Input_Usage[],MATCH($L25&amp;" - Off peak",Input_Usage[[Ref]:[Ref]],0),MATCH($D$7,Inputs!$C$147:$BA$147,0))),0)),"-")</f>
        <v>3599</v>
      </c>
      <c r="P25" s="82">
        <f>IFERROR(
IF($D$7="VDO 2021 - Final",
ROUNDUP(
(INDEX(OP_TotalRates_SME_2[[Ausnet]:[United Energy]],MATCH("Anytime - supply",OP_TotalRates_SME_2[[Rate name]:[Rate name]],0),MATCH(P$24,OP_TotalRates_SME_2[[#Headers],[Ausnet]:[United Energy]],0))*DiPY)+
(IFERROR((INDEX(OP_TotalRates_SME_2[[Ausnet]:[United Energy]],MATCH("Block 1",OP_TotalRates_SME_2[[Rate name]:[Rate name]],0),MATCH(P$24,OP_TotalRates_SME_2[[#Headers],[Ausnet]:[United Energy]],0))*
INDEX(Input_Usage[],MATCH($L25&amp;" - Block 1",Input_Usage[[Ref]:[Ref]],0),MATCH($D$7,Inputs!$C$147:$BA$147,0))),0)+
IFERROR((INDEX(OP_TotalRates_SME_2[[Ausnet]:[United Energy]],MATCH("Balance",OP_TotalRates_SME_2[[Rate name]:[Rate name]],0),MATCH(P$24,OP_TotalRates_SME_2[[#Headers],[Ausnet]:[United Energy]],0))*
INDEX(Input_Usage[],MATCH($L25&amp;" - Balance",Input_Usage[[Ref]:[Ref]],0),MATCH($D$7,Inputs!$C$147:$BA$147,0))),0)+
IFERROR((INDEX(OP_TotalRates_SME_2[[Ausnet]:[United Energy]],MATCH("Single rate",OP_TotalRates_SME_2[[Rate name]:[Rate name]],0),MATCH(P$24,OP_TotalRates_SME_2[[#Headers],[Ausnet]:[United Energy]],0))*
INDEX(Input_Usage[],MATCH($L25&amp;" - Annual",Input_Usage[[Ref]:[Ref]],0),MATCH($D$7,Inputs!$C$147:$BA$147,0))),0)),0),
ROUNDUP(
(INDEX(OP_TotalRates_SME_2[[Ausnet]:[United Energy]],MATCH("TOU - supply",OP_TotalRates_SME_2[[Rate name]:[Rate name]],0),MATCH(P$24,OP_TotalRates_SME_2[[#Headers],[Ausnet]:[United Energy]],0))*DiPY)+
(INDEX(OP_TotalRates_SME_2[[Ausnet]:[United Energy]],MATCH("Peak",OP_TotalRates_SME_2[[Rate name]:[Rate name]],0),MATCH(P$24,OP_TotalRates_SME_2[[#Headers],[Ausnet]:[United Energy]],0))*
INDEX(Input_Usage[],MATCH($L25&amp;" - Peak",Input_Usage[[Ref]:[Ref]],0),MATCH($D$7,Inputs!$C$147:$BA$147,0)))+
IFERROR((INDEX(OP_TotalRates_SME_2[[Ausnet]:[United Energy]],MATCH("TOU - Shoulder",OP_TotalRates_SME_2[[Rate name]:[Rate name]],0),MATCH(P$24,OP_TotalRates_SME_2[[#Headers],[Ausnet]:[United Energy]],0))*
INDEX(Input_Usage[],MATCH($L25&amp;" - Shoulder",Input_Usage[[Ref]:[Ref]],0),MATCH($D$7,Inputs!$C$147:$BA$147,0))),0)+
(INDEX(OP_TotalRates_SME_2[[Ausnet]:[United Energy]],MATCH("Off peak",OP_TotalRates_SME_2[[Rate name]:[Rate name]],0),MATCH(P$24,OP_TotalRates_SME_2[[#Headers],[Ausnet]:[United Energy]],0))*
INDEX(Input_Usage[],MATCH($L25&amp;" - Off peak",Input_Usage[[Ref]:[Ref]],0),MATCH($D$7,Inputs!$C$147:$BA$147,0))),0)),"-")</f>
        <v>3669</v>
      </c>
      <c r="Q25" s="82">
        <f>IFERROR(
IF($D$7="VDO 2021 - Final",
ROUNDUP(
(INDEX(OP_TotalRates_SME_2[[Ausnet]:[United Energy]],MATCH("Anytime - supply",OP_TotalRates_SME_2[[Rate name]:[Rate name]],0),MATCH(Q$24,OP_TotalRates_SME_2[[#Headers],[Ausnet]:[United Energy]],0))*DiPY)+
(IFERROR((INDEX(OP_TotalRates_SME_2[[Ausnet]:[United Energy]],MATCH("Block 1",OP_TotalRates_SME_2[[Rate name]:[Rate name]],0),MATCH(Q$24,OP_TotalRates_SME_2[[#Headers],[Ausnet]:[United Energy]],0))*
INDEX(Input_Usage[],MATCH($L25&amp;" - Block 1",Input_Usage[[Ref]:[Ref]],0),MATCH($D$7,Inputs!$C$147:$BA$147,0))),0)+
IFERROR((INDEX(OP_TotalRates_SME_2[[Ausnet]:[United Energy]],MATCH("Balance",OP_TotalRates_SME_2[[Rate name]:[Rate name]],0),MATCH(Q$24,OP_TotalRates_SME_2[[#Headers],[Ausnet]:[United Energy]],0))*
INDEX(Input_Usage[],MATCH($L25&amp;" - Balance",Input_Usage[[Ref]:[Ref]],0),MATCH($D$7,Inputs!$C$147:$BA$147,0))),0)+
IFERROR((INDEX(OP_TotalRates_SME_2[[Ausnet]:[United Energy]],MATCH("Single rate",OP_TotalRates_SME_2[[Rate name]:[Rate name]],0),MATCH(Q$24,OP_TotalRates_SME_2[[#Headers],[Ausnet]:[United Energy]],0))*
INDEX(Input_Usage[],MATCH($L25&amp;" - Annual",Input_Usage[[Ref]:[Ref]],0),MATCH($D$7,Inputs!$C$147:$BA$147,0))),0)),0),
ROUNDUP(
(INDEX(OP_TotalRates_SME_2[[Ausnet]:[United Energy]],MATCH("TOU - supply",OP_TotalRates_SME_2[[Rate name]:[Rate name]],0),MATCH(Q$24,OP_TotalRates_SME_2[[#Headers],[Ausnet]:[United Energy]],0))*DiPY)+
(INDEX(OP_TotalRates_SME_2[[Ausnet]:[United Energy]],MATCH("Peak",OP_TotalRates_SME_2[[Rate name]:[Rate name]],0),MATCH(Q$24,OP_TotalRates_SME_2[[#Headers],[Ausnet]:[United Energy]],0))*
INDEX(Input_Usage[],MATCH($L25&amp;" - Peak",Input_Usage[[Ref]:[Ref]],0),MATCH($D$7,Inputs!$C$147:$BA$147,0)))+
IFERROR((INDEX(OP_TotalRates_SME_2[[Ausnet]:[United Energy]],MATCH("TOU - Shoulder",OP_TotalRates_SME_2[[Rate name]:[Rate name]],0),MATCH(Q$24,OP_TotalRates_SME_2[[#Headers],[Ausnet]:[United Energy]],0))*
INDEX(Input_Usage[],MATCH($L25&amp;" - Shoulder",Input_Usage[[Ref]:[Ref]],0),MATCH($D$7,Inputs!$C$147:$BA$147,0))),0)+
(INDEX(OP_TotalRates_SME_2[[Ausnet]:[United Energy]],MATCH("Off peak",OP_TotalRates_SME_2[[Rate name]:[Rate name]],0),MATCH(Q$24,OP_TotalRates_SME_2[[#Headers],[Ausnet]:[United Energy]],0))*
INDEX(Input_Usage[],MATCH($L25&amp;" - Off peak",Input_Usage[[Ref]:[Ref]],0),MATCH($D$7,Inputs!$C$147:$BA$147,0))),0)),"-")</f>
        <v>3473</v>
      </c>
    </row>
    <row r="26" spans="1:18" x14ac:dyDescent="0.25">
      <c r="C26" s="14" t="s">
        <v>72</v>
      </c>
      <c r="D26" s="14" t="s">
        <v>94</v>
      </c>
      <c r="E26" s="82">
        <f>IFERROR(
IF($D$7="VDO 2021 - Final",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INDEX(Input_Usage[],MATCH($D26&amp;" - Block 1",Input_Usage[Ref],0),MATCH($D$7,Inputs!$C$147:$BA$147,0))),0)+
IFERROR((INDEX(OP_TotalRates_RES_2[[Ausnet]:[United Energy]],MATCH("Balance",OP_TotalRates_RES_2[Rate name],0),MATCH(E$24,OP_TotalRates_RES_2[[#Headers],[Ausnet]:[United Energy]],0))*
INDEX(Input_Usage[],MATCH($D26&amp;" - Balance",Input_Usage[Ref],0),MATCH($D$7,Inputs!$C$147:$BA$147,0))),0)+
IFERROR((INDEX(OP_TotalRates_RES_2[[Ausnet]:[United Energy]],MATCH("Single rate",OP_TotalRates_RES_2[Rate name],0),MATCH(E$24,OP_TotalRates_RES_2[[#Headers],[Ausnet]:[United Energy]],0))*
INDEX(Input_Usage[],MATCH($D26&amp;" - Annual",Input_Usage[Ref],0),MATCH($D$7,Inputs!$C$147:$BA$147,0))),0)),0),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INDEX(Input_Usage[],MATCH($D26&amp;" - Peak",Input_Usage[Ref],0),MATCH($D$7,Inputs!$C$147:$BA$147,0)))+
IFERROR((INDEX(OP_TotalRates_RES_2[[Ausnet]:[United Energy]],MATCH("TOU - Shoulder",OP_TotalRates_RES_2[Rate name],0),MATCH(E$24,OP_TotalRates_RES_2[[#Headers],[Ausnet]:[United Energy]],0))*
INDEX(Input_Usage[],MATCH($D26&amp;" - Shoulder",Input_Usage[Ref],0),MATCH($D$7,Inputs!$C$147:$BA$147,0))),0)+
(INDEX(OP_TotalRates_RES_2[[Ausnet]:[United Energy]],MATCH("Off peak",OP_TotalRates_RES_2[Rate name],0),MATCH(E$24,OP_TotalRates_RES_2[[#Headers],[Ausnet]:[United Energy]],0))*
INDEX(Input_Usage[],MATCH($D26&amp;" - Off peak",Input_Usage[Ref],0),MATCH($D$7,Inputs!$C$147:$BA$147,0))),0)),"-")</f>
        <v>1905</v>
      </c>
      <c r="F26" s="82">
        <f>IFERROR(
IF($D$7="VDO 2021 - Final",
ROUNDUP(
(INDEX(OP_TotalRates_RES_2[[Ausnet]:[United Energy]],MATCH("Anytime - supply",OP_TotalRates_RES_2[[Rate name]:[Rate name]],0),MATCH(F$24,OP_TotalRates_RES_2[[#Headers],[Ausnet]:[United Energy]],0))*DiPY)+
(IFERROR((INDEX(OP_TotalRates_RES_2[[Ausnet]:[United Energy]],MATCH("Block 1",OP_TotalRates_RES_2[[Rate name]:[Rate name]],0),MATCH(F$24,OP_TotalRates_RES_2[[#Headers],[Ausnet]:[United Energy]],0))*
INDEX(Input_Usage[],MATCH($D26&amp;" - Block 1",Input_Usage[[Ref]:[Ref]],0),MATCH($D$7,Inputs!$C$147:$BA$147,0))),0)+
IFERROR((INDEX(OP_TotalRates_RES_2[[Ausnet]:[United Energy]],MATCH("Balance",OP_TotalRates_RES_2[[Rate name]:[Rate name]],0),MATCH(F$24,OP_TotalRates_RES_2[[#Headers],[Ausnet]:[United Energy]],0))*
INDEX(Input_Usage[],MATCH($D26&amp;" - Balance",Input_Usage[[Ref]:[Ref]],0),MATCH($D$7,Inputs!$C$147:$BA$147,0))),0)+
IFERROR((INDEX(OP_TotalRates_RES_2[[Ausnet]:[United Energy]],MATCH("Single rate",OP_TotalRates_RES_2[[Rate name]:[Rate name]],0),MATCH(F$24,OP_TotalRates_RES_2[[#Headers],[Ausnet]:[United Energy]],0))*
INDEX(Input_Usage[],MATCH($D26&amp;" - Annual",Input_Usage[[Ref]:[Ref]],0),MATCH($D$7,Inputs!$C$147:$BA$147,0))),0)),0),
ROUNDUP(
(INDEX(OP_TotalRates_RES_2[[Ausnet]:[United Energy]],MATCH("TOU - supply",OP_TotalRates_RES_2[[Rate name]:[Rate name]],0),MATCH(F$24,OP_TotalRates_RES_2[[#Headers],[Ausnet]:[United Energy]],0))*DiPY)+
(INDEX(OP_TotalRates_RES_2[[Ausnet]:[United Energy]],MATCH("Peak",OP_TotalRates_RES_2[[Rate name]:[Rate name]],0),MATCH(F$24,OP_TotalRates_RES_2[[#Headers],[Ausnet]:[United Energy]],0))*
INDEX(Input_Usage[],MATCH($D26&amp;" - Peak",Input_Usage[[Ref]:[Ref]],0),MATCH($D$7,Inputs!$C$147:$BA$147,0)))+
IFERROR((INDEX(OP_TotalRates_RES_2[[Ausnet]:[United Energy]],MATCH("TOU - Shoulder",OP_TotalRates_RES_2[[Rate name]:[Rate name]],0),MATCH(F$24,OP_TotalRates_RES_2[[#Headers],[Ausnet]:[United Energy]],0))*
INDEX(Input_Usage[],MATCH($D26&amp;" - Shoulder",Input_Usage[[Ref]:[Ref]],0),MATCH($D$7,Inputs!$C$147:$BA$147,0))),0)+
(INDEX(OP_TotalRates_RES_2[[Ausnet]:[United Energy]],MATCH("Off peak",OP_TotalRates_RES_2[[Rate name]:[Rate name]],0),MATCH(F$24,OP_TotalRates_RES_2[[#Headers],[Ausnet]:[United Energy]],0))*
INDEX(Input_Usage[],MATCH($D26&amp;" - Off peak",Input_Usage[[Ref]:[Ref]],0),MATCH($D$7,Inputs!$C$147:$BA$147,0))),0)),"-")</f>
        <v>1567</v>
      </c>
      <c r="G26" s="82">
        <f>IFERROR(
IF($D$7="VDO 2021 - Final",
ROUNDUP(
(INDEX(OP_TotalRates_RES_2[[Ausnet]:[United Energy]],MATCH("Anytime - supply",OP_TotalRates_RES_2[[Rate name]:[Rate name]],0),MATCH(G$24,OP_TotalRates_RES_2[[#Headers],[Ausnet]:[United Energy]],0))*DiPY)+
(IFERROR((INDEX(OP_TotalRates_RES_2[[Ausnet]:[United Energy]],MATCH("Block 1",OP_TotalRates_RES_2[[Rate name]:[Rate name]],0),MATCH(G$24,OP_TotalRates_RES_2[[#Headers],[Ausnet]:[United Energy]],0))*
INDEX(Input_Usage[],MATCH($D26&amp;" - Block 1",Input_Usage[[Ref]:[Ref]],0),MATCH($D$7,Inputs!$C$147:$BA$147,0))),0)+
IFERROR((INDEX(OP_TotalRates_RES_2[[Ausnet]:[United Energy]],MATCH("Balance",OP_TotalRates_RES_2[[Rate name]:[Rate name]],0),MATCH(G$24,OP_TotalRates_RES_2[[#Headers],[Ausnet]:[United Energy]],0))*
INDEX(Input_Usage[],MATCH($D26&amp;" - Balance",Input_Usage[[Ref]:[Ref]],0),MATCH($D$7,Inputs!$C$147:$BA$147,0))),0)+
IFERROR((INDEX(OP_TotalRates_RES_2[[Ausnet]:[United Energy]],MATCH("Single rate",OP_TotalRates_RES_2[[Rate name]:[Rate name]],0),MATCH(G$24,OP_TotalRates_RES_2[[#Headers],[Ausnet]:[United Energy]],0))*
INDEX(Input_Usage[],MATCH($D26&amp;" - Annual",Input_Usage[[Ref]:[Ref]],0),MATCH($D$7,Inputs!$C$147:$BA$147,0))),0)),0),
ROUNDUP(
(INDEX(OP_TotalRates_RES_2[[Ausnet]:[United Energy]],MATCH("TOU - supply",OP_TotalRates_RES_2[[Rate name]:[Rate name]],0),MATCH(G$24,OP_TotalRates_RES_2[[#Headers],[Ausnet]:[United Energy]],0))*DiPY)+
(INDEX(OP_TotalRates_RES_2[[Ausnet]:[United Energy]],MATCH("Peak",OP_TotalRates_RES_2[[Rate name]:[Rate name]],0),MATCH(G$24,OP_TotalRates_RES_2[[#Headers],[Ausnet]:[United Energy]],0))*
INDEX(Input_Usage[],MATCH($D26&amp;" - Peak",Input_Usage[[Ref]:[Ref]],0),MATCH($D$7,Inputs!$C$147:$BA$147,0)))+
IFERROR((INDEX(OP_TotalRates_RES_2[[Ausnet]:[United Energy]],MATCH("TOU - Shoulder",OP_TotalRates_RES_2[[Rate name]:[Rate name]],0),MATCH(G$24,OP_TotalRates_RES_2[[#Headers],[Ausnet]:[United Energy]],0))*
INDEX(Input_Usage[],MATCH($D26&amp;" - Shoulder",Input_Usage[[Ref]:[Ref]],0),MATCH($D$7,Inputs!$C$147:$BA$147,0))),0)+
(INDEX(OP_TotalRates_RES_2[[Ausnet]:[United Energy]],MATCH("Off peak",OP_TotalRates_RES_2[[Rate name]:[Rate name]],0),MATCH(G$24,OP_TotalRates_RES_2[[#Headers],[Ausnet]:[United Energy]],0))*
INDEX(Input_Usage[],MATCH($D26&amp;" - Off peak",Input_Usage[[Ref]:[Ref]],0),MATCH($D$7,Inputs!$C$147:$BA$147,0))),0)),"-")</f>
        <v>1664</v>
      </c>
      <c r="H26" s="82">
        <f>IFERROR(
IF($D$7="VDO 2021 - Final",
ROUNDUP(
(INDEX(OP_TotalRates_RES_2[[Ausnet]:[United Energy]],MATCH("Anytime - supply",OP_TotalRates_RES_2[[Rate name]:[Rate name]],0),MATCH(H$24,OP_TotalRates_RES_2[[#Headers],[Ausnet]:[United Energy]],0))*DiPY)+
(IFERROR((INDEX(OP_TotalRates_RES_2[[Ausnet]:[United Energy]],MATCH("Block 1",OP_TotalRates_RES_2[[Rate name]:[Rate name]],0),MATCH(H$24,OP_TotalRates_RES_2[[#Headers],[Ausnet]:[United Energy]],0))*
INDEX(Input_Usage[],MATCH($D26&amp;" - Block 1",Input_Usage[[Ref]:[Ref]],0),MATCH($D$7,Inputs!$C$147:$BA$147,0))),0)+
IFERROR((INDEX(OP_TotalRates_RES_2[[Ausnet]:[United Energy]],MATCH("Balance",OP_TotalRates_RES_2[[Rate name]:[Rate name]],0),MATCH(H$24,OP_TotalRates_RES_2[[#Headers],[Ausnet]:[United Energy]],0))*
INDEX(Input_Usage[],MATCH($D26&amp;" - Balance",Input_Usage[[Ref]:[Ref]],0),MATCH($D$7,Inputs!$C$147:$BA$147,0))),0)+
IFERROR((INDEX(OP_TotalRates_RES_2[[Ausnet]:[United Energy]],MATCH("Single rate",OP_TotalRates_RES_2[[Rate name]:[Rate name]],0),MATCH(H$24,OP_TotalRates_RES_2[[#Headers],[Ausnet]:[United Energy]],0))*
INDEX(Input_Usage[],MATCH($D26&amp;" - Annual",Input_Usage[[Ref]:[Ref]],0),MATCH($D$7,Inputs!$C$147:$BA$147,0))),0)),0),
ROUNDUP(
(INDEX(OP_TotalRates_RES_2[[Ausnet]:[United Energy]],MATCH("TOU - supply",OP_TotalRates_RES_2[[Rate name]:[Rate name]],0),MATCH(H$24,OP_TotalRates_RES_2[[#Headers],[Ausnet]:[United Energy]],0))*DiPY)+
(INDEX(OP_TotalRates_RES_2[[Ausnet]:[United Energy]],MATCH("Peak",OP_TotalRates_RES_2[[Rate name]:[Rate name]],0),MATCH(H$24,OP_TotalRates_RES_2[[#Headers],[Ausnet]:[United Energy]],0))*
INDEX(Input_Usage[],MATCH($D26&amp;" - Peak",Input_Usage[[Ref]:[Ref]],0),MATCH($D$7,Inputs!$C$147:$BA$147,0)))+
IFERROR((INDEX(OP_TotalRates_RES_2[[Ausnet]:[United Energy]],MATCH("TOU - Shoulder",OP_TotalRates_RES_2[[Rate name]:[Rate name]],0),MATCH(H$24,OP_TotalRates_RES_2[[#Headers],[Ausnet]:[United Energy]],0))*
INDEX(Input_Usage[],MATCH($D26&amp;" - Shoulder",Input_Usage[[Ref]:[Ref]],0),MATCH($D$7,Inputs!$C$147:$BA$147,0))),0)+
(INDEX(OP_TotalRates_RES_2[[Ausnet]:[United Energy]],MATCH("Off peak",OP_TotalRates_RES_2[[Rate name]:[Rate name]],0),MATCH(H$24,OP_TotalRates_RES_2[[#Headers],[Ausnet]:[United Energy]],0))*
INDEX(Input_Usage[],MATCH($D26&amp;" - Off peak",Input_Usage[[Ref]:[Ref]],0),MATCH($D$7,Inputs!$C$147:$BA$147,0))),0)),"-")</f>
        <v>1782</v>
      </c>
      <c r="I26" s="82">
        <f>IFERROR(
IF($D$7="VDO 2021 - Final",
ROUNDUP(
(INDEX(OP_TotalRates_RES_2[[Ausnet]:[United Energy]],MATCH("Anytime - supply",OP_TotalRates_RES_2[[Rate name]:[Rate name]],0),MATCH(I$24,OP_TotalRates_RES_2[[#Headers],[Ausnet]:[United Energy]],0))*DiPY)+
(IFERROR((INDEX(OP_TotalRates_RES_2[[Ausnet]:[United Energy]],MATCH("Block 1",OP_TotalRates_RES_2[[Rate name]:[Rate name]],0),MATCH(I$24,OP_TotalRates_RES_2[[#Headers],[Ausnet]:[United Energy]],0))*
INDEX(Input_Usage[],MATCH($D26&amp;" - Block 1",Input_Usage[[Ref]:[Ref]],0),MATCH($D$7,Inputs!$C$147:$BA$147,0))),0)+
IFERROR((INDEX(OP_TotalRates_RES_2[[Ausnet]:[United Energy]],MATCH("Balance",OP_TotalRates_RES_2[[Rate name]:[Rate name]],0),MATCH(I$24,OP_TotalRates_RES_2[[#Headers],[Ausnet]:[United Energy]],0))*
INDEX(Input_Usage[],MATCH($D26&amp;" - Balance",Input_Usage[[Ref]:[Ref]],0),MATCH($D$7,Inputs!$C$147:$BA$147,0))),0)+
IFERROR((INDEX(OP_TotalRates_RES_2[[Ausnet]:[United Energy]],MATCH("Single rate",OP_TotalRates_RES_2[[Rate name]:[Rate name]],0),MATCH(I$24,OP_TotalRates_RES_2[[#Headers],[Ausnet]:[United Energy]],0))*
INDEX(Input_Usage[],MATCH($D26&amp;" - Annual",Input_Usage[[Ref]:[Ref]],0),MATCH($D$7,Inputs!$C$147:$BA$147,0))),0)),0),
ROUNDUP(
(INDEX(OP_TotalRates_RES_2[[Ausnet]:[United Energy]],MATCH("TOU - supply",OP_TotalRates_RES_2[[Rate name]:[Rate name]],0),MATCH(I$24,OP_TotalRates_RES_2[[#Headers],[Ausnet]:[United Energy]],0))*DiPY)+
(INDEX(OP_TotalRates_RES_2[[Ausnet]:[United Energy]],MATCH("Peak",OP_TotalRates_RES_2[[Rate name]:[Rate name]],0),MATCH(I$24,OP_TotalRates_RES_2[[#Headers],[Ausnet]:[United Energy]],0))*
INDEX(Input_Usage[],MATCH($D26&amp;" - Peak",Input_Usage[[Ref]:[Ref]],0),MATCH($D$7,Inputs!$C$147:$BA$147,0)))+
IFERROR((INDEX(OP_TotalRates_RES_2[[Ausnet]:[United Energy]],MATCH("TOU - Shoulder",OP_TotalRates_RES_2[[Rate name]:[Rate name]],0),MATCH(I$24,OP_TotalRates_RES_2[[#Headers],[Ausnet]:[United Energy]],0))*
INDEX(Input_Usage[],MATCH($D26&amp;" - Shoulder",Input_Usage[[Ref]:[Ref]],0),MATCH($D$7,Inputs!$C$147:$BA$147,0))),0)+
(INDEX(OP_TotalRates_RES_2[[Ausnet]:[United Energy]],MATCH("Off peak",OP_TotalRates_RES_2[[Rate name]:[Rate name]],0),MATCH(I$24,OP_TotalRates_RES_2[[#Headers],[Ausnet]:[United Energy]],0))*
INDEX(Input_Usage[],MATCH($D26&amp;" - Off peak",Input_Usage[[Ref]:[Ref]],0),MATCH($D$7,Inputs!$C$147:$BA$147,0))),0)),"-")</f>
        <v>1654</v>
      </c>
      <c r="K26" s="14" t="s">
        <v>73</v>
      </c>
      <c r="L26" s="14" t="s">
        <v>95</v>
      </c>
      <c r="M26" s="82">
        <f>IFERROR(
IF($D$7="VDO 2021 - Final",
ROUNDUP(
(INDEX(OP_TotalRates_SME_2[[Ausnet]:[United Energy]],MATCH("Anytime - supply",OP_TotalRates_SME_2[[Rate name]:[Rate name]],0),MATCH(M$24,OP_TotalRates_SME_2[[#Headers],[Ausnet]:[United Energy]],0))*DiPY)+
(IFERROR((INDEX(OP_TotalRates_SME_2[[Ausnet]:[United Energy]],MATCH("Block 1",OP_TotalRates_SME_2[[Rate name]:[Rate name]],0),MATCH(M$24,OP_TotalRates_SME_2[[#Headers],[Ausnet]:[United Energy]],0))*
INDEX(Input_Usage[],MATCH($L26&amp;" - Block 1",Input_Usage[[Ref]:[Ref]],0),MATCH($D$7,Inputs!$C$147:$BA$147,0))),0)+
IFERROR((INDEX(OP_TotalRates_SME_2[[Ausnet]:[United Energy]],MATCH("Balance",OP_TotalRates_SME_2[[Rate name]:[Rate name]],0),MATCH(M$24,OP_TotalRates_SME_2[[#Headers],[Ausnet]:[United Energy]],0))*
INDEX(Input_Usage[],MATCH($L26&amp;" - Balance",Input_Usage[[Ref]:[Ref]],0),MATCH($D$7,Inputs!$C$147:$BA$147,0))),0)+
IFERROR((INDEX(OP_TotalRates_SME_2[[Ausnet]:[United Energy]],MATCH("Single rate",OP_TotalRates_SME_2[[Rate name]:[Rate name]],0),MATCH(M$24,OP_TotalRates_SME_2[[#Headers],[Ausnet]:[United Energy]],0))*
INDEX(Input_Usage[],MATCH($L26&amp;" - Annual",Input_Usage[[Ref]:[Ref]],0),MATCH($D$7,Inputs!$C$147:$BA$147,0))),0)),0),
ROUNDUP(
(INDEX(OP_TotalRates_SME_2[[Ausnet]:[United Energy]],MATCH("TOU - supply",OP_TotalRates_SME_2[[Rate name]:[Rate name]],0),MATCH(M$24,OP_TotalRates_SME_2[[#Headers],[Ausnet]:[United Energy]],0))*DiPY)+
(INDEX(OP_TotalRates_SME_2[[Ausnet]:[United Energy]],MATCH("Peak",OP_TotalRates_SME_2[[Rate name]:[Rate name]],0),MATCH(M$24,OP_TotalRates_SME_2[[#Headers],[Ausnet]:[United Energy]],0))*
INDEX(Input_Usage[],MATCH($L26&amp;" - Peak",Input_Usage[[Ref]:[Ref]],0),MATCH($D$7,Inputs!$C$147:$BA$147,0)))+
IFERROR((INDEX(OP_TotalRates_SME_2[[Ausnet]:[United Energy]],MATCH("TOU - Shoulder",OP_TotalRates_SME_2[[Rate name]:[Rate name]],0),MATCH(M$24,OP_TotalRates_SME_2[[#Headers],[Ausnet]:[United Energy]],0))*
INDEX(Input_Usage[],MATCH($L26&amp;" - Shoulder",Input_Usage[[Ref]:[Ref]],0),MATCH($D$7,Inputs!$C$147:$BA$147,0))),0)+
(INDEX(OP_TotalRates_SME_2[[Ausnet]:[United Energy]],MATCH("Off peak",OP_TotalRates_SME_2[[Rate name]:[Rate name]],0),MATCH(M$24,OP_TotalRates_SME_2[[#Headers],[Ausnet]:[United Energy]],0))*
INDEX(Input_Usage[],MATCH($L26&amp;" - Off peak",Input_Usage[[Ref]:[Ref]],0),MATCH($D$7,Inputs!$C$147:$BA$147,0))),0)),"-")</f>
        <v>7256</v>
      </c>
      <c r="N26" s="82">
        <f>IFERROR(
IF($D$7="VDO 2021 - Final",
ROUNDUP(
(INDEX(OP_TotalRates_SME_2[[Ausnet]:[United Energy]],MATCH("Anytime - supply",OP_TotalRates_SME_2[[Rate name]:[Rate name]],0),MATCH(N$24,OP_TotalRates_SME_2[[#Headers],[Ausnet]:[United Energy]],0))*DiPY)+
(IFERROR((INDEX(OP_TotalRates_SME_2[[Ausnet]:[United Energy]],MATCH("Block 1",OP_TotalRates_SME_2[[Rate name]:[Rate name]],0),MATCH(N$24,OP_TotalRates_SME_2[[#Headers],[Ausnet]:[United Energy]],0))*
INDEX(Input_Usage[],MATCH($L26&amp;" - Block 1",Input_Usage[[Ref]:[Ref]],0),MATCH($D$7,Inputs!$C$147:$BA$147,0))),0)+
IFERROR((INDEX(OP_TotalRates_SME_2[[Ausnet]:[United Energy]],MATCH("Balance",OP_TotalRates_SME_2[[Rate name]:[Rate name]],0),MATCH(N$24,OP_TotalRates_SME_2[[#Headers],[Ausnet]:[United Energy]],0))*
INDEX(Input_Usage[],MATCH($L26&amp;" - Balance",Input_Usage[[Ref]:[Ref]],0),MATCH($D$7,Inputs!$C$147:$BA$147,0))),0)+
IFERROR((INDEX(OP_TotalRates_SME_2[[Ausnet]:[United Energy]],MATCH("Single rate",OP_TotalRates_SME_2[[Rate name]:[Rate name]],0),MATCH(N$24,OP_TotalRates_SME_2[[#Headers],[Ausnet]:[United Energy]],0))*
INDEX(Input_Usage[],MATCH($L26&amp;" - Annual",Input_Usage[[Ref]:[Ref]],0),MATCH($D$7,Inputs!$C$147:$BA$147,0))),0)),0),
ROUNDUP(
(INDEX(OP_TotalRates_SME_2[[Ausnet]:[United Energy]],MATCH("TOU - supply",OP_TotalRates_SME_2[[Rate name]:[Rate name]],0),MATCH(N$24,OP_TotalRates_SME_2[[#Headers],[Ausnet]:[United Energy]],0))*DiPY)+
(INDEX(OP_TotalRates_SME_2[[Ausnet]:[United Energy]],MATCH("Peak",OP_TotalRates_SME_2[[Rate name]:[Rate name]],0),MATCH(N$24,OP_TotalRates_SME_2[[#Headers],[Ausnet]:[United Energy]],0))*
INDEX(Input_Usage[],MATCH($L26&amp;" - Peak",Input_Usage[[Ref]:[Ref]],0),MATCH($D$7,Inputs!$C$147:$BA$147,0)))+
IFERROR((INDEX(OP_TotalRates_SME_2[[Ausnet]:[United Energy]],MATCH("TOU - Shoulder",OP_TotalRates_SME_2[[Rate name]:[Rate name]],0),MATCH(N$24,OP_TotalRates_SME_2[[#Headers],[Ausnet]:[United Energy]],0))*
INDEX(Input_Usage[],MATCH($L26&amp;" - Shoulder",Input_Usage[[Ref]:[Ref]],0),MATCH($D$7,Inputs!$C$147:$BA$147,0))),0)+
(INDEX(OP_TotalRates_SME_2[[Ausnet]:[United Energy]],MATCH("Off peak",OP_TotalRates_SME_2[[Rate name]:[Rate name]],0),MATCH(N$24,OP_TotalRates_SME_2[[#Headers],[Ausnet]:[United Energy]],0))*
INDEX(Input_Usage[],MATCH($L26&amp;" - Off peak",Input_Usage[[Ref]:[Ref]],0),MATCH($D$7,Inputs!$C$147:$BA$147,0))),0)),"-")</f>
        <v>6126</v>
      </c>
      <c r="O26" s="82">
        <f>IFERROR(
IF($D$7="VDO 2021 - Final",
ROUNDUP(
(INDEX(OP_TotalRates_SME_2[[Ausnet]:[United Energy]],MATCH("Anytime - supply",OP_TotalRates_SME_2[[Rate name]:[Rate name]],0),MATCH(O$24,OP_TotalRates_SME_2[[#Headers],[Ausnet]:[United Energy]],0))*DiPY)+
(IFERROR((INDEX(OP_TotalRates_SME_2[[Ausnet]:[United Energy]],MATCH("Block 1",OP_TotalRates_SME_2[[Rate name]:[Rate name]],0),MATCH(O$24,OP_TotalRates_SME_2[[#Headers],[Ausnet]:[United Energy]],0))*
INDEX(Input_Usage[],MATCH($L26&amp;" - Block 1",Input_Usage[[Ref]:[Ref]],0),MATCH($D$7,Inputs!$C$147:$BA$147,0))),0)+
IFERROR((INDEX(OP_TotalRates_SME_2[[Ausnet]:[United Energy]],MATCH("Balance",OP_TotalRates_SME_2[[Rate name]:[Rate name]],0),MATCH(O$24,OP_TotalRates_SME_2[[#Headers],[Ausnet]:[United Energy]],0))*
INDEX(Input_Usage[],MATCH($L26&amp;" - Balance",Input_Usage[[Ref]:[Ref]],0),MATCH($D$7,Inputs!$C$147:$BA$147,0))),0)+
IFERROR((INDEX(OP_TotalRates_SME_2[[Ausnet]:[United Energy]],MATCH("Single rate",OP_TotalRates_SME_2[[Rate name]:[Rate name]],0),MATCH(O$24,OP_TotalRates_SME_2[[#Headers],[Ausnet]:[United Energy]],0))*
INDEX(Input_Usage[],MATCH($L26&amp;" - Annual",Input_Usage[[Ref]:[Ref]],0),MATCH($D$7,Inputs!$C$147:$BA$147,0))),0)),0),
ROUNDUP(
(INDEX(OP_TotalRates_SME_2[[Ausnet]:[United Energy]],MATCH("TOU - supply",OP_TotalRates_SME_2[[Rate name]:[Rate name]],0),MATCH(O$24,OP_TotalRates_SME_2[[#Headers],[Ausnet]:[United Energy]],0))*DiPY)+
(INDEX(OP_TotalRates_SME_2[[Ausnet]:[United Energy]],MATCH("Peak",OP_TotalRates_SME_2[[Rate name]:[Rate name]],0),MATCH(O$24,OP_TotalRates_SME_2[[#Headers],[Ausnet]:[United Energy]],0))*
INDEX(Input_Usage[],MATCH($L26&amp;" - Peak",Input_Usage[[Ref]:[Ref]],0),MATCH($D$7,Inputs!$C$147:$BA$147,0)))+
IFERROR((INDEX(OP_TotalRates_SME_2[[Ausnet]:[United Energy]],MATCH("TOU - Shoulder",OP_TotalRates_SME_2[[Rate name]:[Rate name]],0),MATCH(O$24,OP_TotalRates_SME_2[[#Headers],[Ausnet]:[United Energy]],0))*
INDEX(Input_Usage[],MATCH($L26&amp;" - Shoulder",Input_Usage[[Ref]:[Ref]],0),MATCH($D$7,Inputs!$C$147:$BA$147,0))),0)+
(INDEX(OP_TotalRates_SME_2[[Ausnet]:[United Energy]],MATCH("Off peak",OP_TotalRates_SME_2[[Rate name]:[Rate name]],0),MATCH(O$24,OP_TotalRates_SME_2[[#Headers],[Ausnet]:[United Energy]],0))*
INDEX(Input_Usage[],MATCH($L26&amp;" - Off peak",Input_Usage[[Ref]:[Ref]],0),MATCH($D$7,Inputs!$C$147:$BA$147,0))),0)),"-")</f>
        <v>6583</v>
      </c>
      <c r="P26" s="82">
        <f>IFERROR(
IF($D$7="VDO 2021 - Final",
ROUNDUP(
(INDEX(OP_TotalRates_SME_2[[Ausnet]:[United Energy]],MATCH("Anytime - supply",OP_TotalRates_SME_2[[Rate name]:[Rate name]],0),MATCH(P$24,OP_TotalRates_SME_2[[#Headers],[Ausnet]:[United Energy]],0))*DiPY)+
(IFERROR((INDEX(OP_TotalRates_SME_2[[Ausnet]:[United Energy]],MATCH("Block 1",OP_TotalRates_SME_2[[Rate name]:[Rate name]],0),MATCH(P$24,OP_TotalRates_SME_2[[#Headers],[Ausnet]:[United Energy]],0))*
INDEX(Input_Usage[],MATCH($L26&amp;" - Block 1",Input_Usage[[Ref]:[Ref]],0),MATCH($D$7,Inputs!$C$147:$BA$147,0))),0)+
IFERROR((INDEX(OP_TotalRates_SME_2[[Ausnet]:[United Energy]],MATCH("Balance",OP_TotalRates_SME_2[[Rate name]:[Rate name]],0),MATCH(P$24,OP_TotalRates_SME_2[[#Headers],[Ausnet]:[United Energy]],0))*
INDEX(Input_Usage[],MATCH($L26&amp;" - Balance",Input_Usage[[Ref]:[Ref]],0),MATCH($D$7,Inputs!$C$147:$BA$147,0))),0)+
IFERROR((INDEX(OP_TotalRates_SME_2[[Ausnet]:[United Energy]],MATCH("Single rate",OP_TotalRates_SME_2[[Rate name]:[Rate name]],0),MATCH(P$24,OP_TotalRates_SME_2[[#Headers],[Ausnet]:[United Energy]],0))*
INDEX(Input_Usage[],MATCH($L26&amp;" - Annual",Input_Usage[[Ref]:[Ref]],0),MATCH($D$7,Inputs!$C$147:$BA$147,0))),0)),0),
ROUNDUP(
(INDEX(OP_TotalRates_SME_2[[Ausnet]:[United Energy]],MATCH("TOU - supply",OP_TotalRates_SME_2[[Rate name]:[Rate name]],0),MATCH(P$24,OP_TotalRates_SME_2[[#Headers],[Ausnet]:[United Energy]],0))*DiPY)+
(INDEX(OP_TotalRates_SME_2[[Ausnet]:[United Energy]],MATCH("Peak",OP_TotalRates_SME_2[[Rate name]:[Rate name]],0),MATCH(P$24,OP_TotalRates_SME_2[[#Headers],[Ausnet]:[United Energy]],0))*
INDEX(Input_Usage[],MATCH($L26&amp;" - Peak",Input_Usage[[Ref]:[Ref]],0),MATCH($D$7,Inputs!$C$147:$BA$147,0)))+
IFERROR((INDEX(OP_TotalRates_SME_2[[Ausnet]:[United Energy]],MATCH("TOU - Shoulder",OP_TotalRates_SME_2[[Rate name]:[Rate name]],0),MATCH(P$24,OP_TotalRates_SME_2[[#Headers],[Ausnet]:[United Energy]],0))*
INDEX(Input_Usage[],MATCH($L26&amp;" - Shoulder",Input_Usage[[Ref]:[Ref]],0),MATCH($D$7,Inputs!$C$147:$BA$147,0))),0)+
(INDEX(OP_TotalRates_SME_2[[Ausnet]:[United Energy]],MATCH("Off peak",OP_TotalRates_SME_2[[Rate name]:[Rate name]],0),MATCH(P$24,OP_TotalRates_SME_2[[#Headers],[Ausnet]:[United Energy]],0))*
INDEX(Input_Usage[],MATCH($L26&amp;" - Off peak",Input_Usage[[Ref]:[Ref]],0),MATCH($D$7,Inputs!$C$147:$BA$147,0))),0)),"-")</f>
        <v>6814</v>
      </c>
      <c r="Q26" s="82">
        <f>IFERROR(
IF($D$7="VDO 2021 - Final",
ROUNDUP(
(INDEX(OP_TotalRates_SME_2[[Ausnet]:[United Energy]],MATCH("Anytime - supply",OP_TotalRates_SME_2[[Rate name]:[Rate name]],0),MATCH(Q$24,OP_TotalRates_SME_2[[#Headers],[Ausnet]:[United Energy]],0))*DiPY)+
(IFERROR((INDEX(OP_TotalRates_SME_2[[Ausnet]:[United Energy]],MATCH("Block 1",OP_TotalRates_SME_2[[Rate name]:[Rate name]],0),MATCH(Q$24,OP_TotalRates_SME_2[[#Headers],[Ausnet]:[United Energy]],0))*
INDEX(Input_Usage[],MATCH($L26&amp;" - Block 1",Input_Usage[[Ref]:[Ref]],0),MATCH($D$7,Inputs!$C$147:$BA$147,0))),0)+
IFERROR((INDEX(OP_TotalRates_SME_2[[Ausnet]:[United Energy]],MATCH("Balance",OP_TotalRates_SME_2[[Rate name]:[Rate name]],0),MATCH(Q$24,OP_TotalRates_SME_2[[#Headers],[Ausnet]:[United Energy]],0))*
INDEX(Input_Usage[],MATCH($L26&amp;" - Balance",Input_Usage[[Ref]:[Ref]],0),MATCH($D$7,Inputs!$C$147:$BA$147,0))),0)+
IFERROR((INDEX(OP_TotalRates_SME_2[[Ausnet]:[United Energy]],MATCH("Single rate",OP_TotalRates_SME_2[[Rate name]:[Rate name]],0),MATCH(Q$24,OP_TotalRates_SME_2[[#Headers],[Ausnet]:[United Energy]],0))*
INDEX(Input_Usage[],MATCH($L26&amp;" - Annual",Input_Usage[[Ref]:[Ref]],0),MATCH($D$7,Inputs!$C$147:$BA$147,0))),0)),0),
ROUNDUP(
(INDEX(OP_TotalRates_SME_2[[Ausnet]:[United Energy]],MATCH("TOU - supply",OP_TotalRates_SME_2[[Rate name]:[Rate name]],0),MATCH(Q$24,OP_TotalRates_SME_2[[#Headers],[Ausnet]:[United Energy]],0))*DiPY)+
(INDEX(OP_TotalRates_SME_2[[Ausnet]:[United Energy]],MATCH("Peak",OP_TotalRates_SME_2[[Rate name]:[Rate name]],0),MATCH(Q$24,OP_TotalRates_SME_2[[#Headers],[Ausnet]:[United Energy]],0))*
INDEX(Input_Usage[],MATCH($L26&amp;" - Peak",Input_Usage[[Ref]:[Ref]],0),MATCH($D$7,Inputs!$C$147:$BA$147,0)))+
IFERROR((INDEX(OP_TotalRates_SME_2[[Ausnet]:[United Energy]],MATCH("TOU - Shoulder",OP_TotalRates_SME_2[[Rate name]:[Rate name]],0),MATCH(Q$24,OP_TotalRates_SME_2[[#Headers],[Ausnet]:[United Energy]],0))*
INDEX(Input_Usage[],MATCH($L26&amp;" - Shoulder",Input_Usage[[Ref]:[Ref]],0),MATCH($D$7,Inputs!$C$147:$BA$147,0))),0)+
(INDEX(OP_TotalRates_SME_2[[Ausnet]:[United Energy]],MATCH("Off peak",OP_TotalRates_SME_2[[Rate name]:[Rate name]],0),MATCH(Q$24,OP_TotalRates_SME_2[[#Headers],[Ausnet]:[United Energy]],0))*
INDEX(Input_Usage[],MATCH($L26&amp;" - Off peak",Input_Usage[[Ref]:[Ref]],0),MATCH($D$7,Inputs!$C$147:$BA$147,0))),0)),"-")</f>
        <v>6491</v>
      </c>
    </row>
    <row r="27" spans="1:18" hidden="1" x14ac:dyDescent="0.25">
      <c r="C27" s="31" t="s">
        <v>72</v>
      </c>
      <c r="D27" s="31" t="s">
        <v>96</v>
      </c>
      <c r="E27" s="82">
        <f>IFERROR(
IF($D$7="VDO 2021 - Final",
ROUNDUP(
(INDEX(OP_TotalRates_RES_2[[Ausnet]:[United Energy]],MATCH("Anytime - supply",OP_TotalRates_RES_2[[Rate name]:[Rate name]],0),MATCH(E$24,OP_TotalRates_RES_2[[#Headers],[Ausnet]:[United Energy]],0))*DiPY)+
(IFERROR((INDEX(OP_TotalRates_RES_2[[Ausnet]:[United Energy]],MATCH("Block 1",OP_TotalRates_RES_2[[Rate name]:[Rate name]],0),MATCH(E$24,OP_TotalRates_RES_2[[#Headers],[Ausnet]:[United Energy]],0))*
INDEX(Input_Usage[],MATCH($D27&amp;" - Block 1",Input_Usage[[Ref]:[Ref]],0),MATCH($D$7,Inputs!$C$147:$BA$147,0))),0)+
IFERROR((INDEX(OP_TotalRates_RES_2[[Ausnet]:[United Energy]],MATCH("Balance",OP_TotalRates_RES_2[[Rate name]:[Rate name]],0),MATCH(E$24,OP_TotalRates_RES_2[[#Headers],[Ausnet]:[United Energy]],0))*
INDEX(Input_Usage[],MATCH($D27&amp;" - Balance",Input_Usage[[Ref]:[Ref]],0),MATCH($D$7,Inputs!$C$147:$BA$147,0))),0)+
IFERROR((INDEX(OP_TotalRates_RES_2[[Ausnet]:[United Energy]],MATCH("Single rate",OP_TotalRates_RES_2[[Rate name]:[Rate name]],0),MATCH(E$24,OP_TotalRates_RES_2[[#Headers],[Ausnet]:[United Energy]],0))*
INDEX(Input_Usage[],MATCH($D27&amp;" - Annual",Input_Usage[[Ref]:[Ref]],0),MATCH($D$7,Inputs!$C$147:$BA$147,0))),0)),0),
ROUNDUP(
(INDEX(OP_TotalRates_RES_2[[Ausnet]:[United Energy]],MATCH("TOU - supply",OP_TotalRates_RES_2[[Rate name]:[Rate name]],0),MATCH(E$24,OP_TotalRates_RES_2[[#Headers],[Ausnet]:[United Energy]],0))*DiPY)+
(INDEX(OP_TotalRates_RES_2[[Ausnet]:[United Energy]],MATCH("Peak",OP_TotalRates_RES_2[[Rate name]:[Rate name]],0),MATCH(E$24,OP_TotalRates_RES_2[[#Headers],[Ausnet]:[United Energy]],0))*
INDEX(Input_Usage[],MATCH($D27&amp;" - Peak",Input_Usage[[Ref]:[Ref]],0),MATCH($D$7,Inputs!$C$147:$BA$147,0)))+
IFERROR((INDEX(OP_TotalRates_RES_2[[Ausnet]:[United Energy]],MATCH("TOU - Shoulder",OP_TotalRates_RES_2[[Rate name]:[Rate name]],0),MATCH(E$24,OP_TotalRates_RES_2[[#Headers],[Ausnet]:[United Energy]],0))*
INDEX(Input_Usage[],MATCH($D27&amp;" - Shoulder",Input_Usage[[Ref]:[Ref]],0),MATCH($D$7,Inputs!$C$147:$BA$147,0))),0)+
(INDEX(OP_TotalRates_RES_2[[Ausnet]:[United Energy]],MATCH("Off peak",OP_TotalRates_RES_2[[Rate name]:[Rate name]],0),MATCH(E$24,OP_TotalRates_RES_2[[#Headers],[Ausnet]:[United Energy]],0))*
INDEX(Input_Usage[],MATCH($D27&amp;" - Off peak",Input_Usage[[Ref]:[Ref]],0),MATCH($D$7,Inputs!$C$147:$BA$147,0))),0)),"-")</f>
        <v>3325</v>
      </c>
      <c r="F27" s="82">
        <f>IFERROR(
IF($D$7="VDO 2021 - Final",
ROUNDUP(
(INDEX(OP_TotalRates_RES_2[[Ausnet]:[United Energy]],MATCH("Anytime - supply",OP_TotalRates_RES_2[[Rate name]:[Rate name]],0),MATCH(F$24,OP_TotalRates_RES_2[[#Headers],[Ausnet]:[United Energy]],0))*DiPY)+
(IFERROR((INDEX(OP_TotalRates_RES_2[[Ausnet]:[United Energy]],MATCH("Block 1",OP_TotalRates_RES_2[[Rate name]:[Rate name]],0),MATCH(F$24,OP_TotalRates_RES_2[[#Headers],[Ausnet]:[United Energy]],0))*
INDEX(Input_Usage[],MATCH($D27&amp;" - Block 1",Input_Usage[[Ref]:[Ref]],0),MATCH($D$7,Inputs!$C$147:$BA$147,0))),0)+
IFERROR((INDEX(OP_TotalRates_RES_2[[Ausnet]:[United Energy]],MATCH("Balance",OP_TotalRates_RES_2[[Rate name]:[Rate name]],0),MATCH(F$24,OP_TotalRates_RES_2[[#Headers],[Ausnet]:[United Energy]],0))*
INDEX(Input_Usage[],MATCH($D27&amp;" - Balance",Input_Usage[[Ref]:[Ref]],0),MATCH($D$7,Inputs!$C$147:$BA$147,0))),0)+
IFERROR((INDEX(OP_TotalRates_RES_2[[Ausnet]:[United Energy]],MATCH("Single rate",OP_TotalRates_RES_2[[Rate name]:[Rate name]],0),MATCH(F$24,OP_TotalRates_RES_2[[#Headers],[Ausnet]:[United Energy]],0))*
INDEX(Input_Usage[],MATCH($D27&amp;" - Annual",Input_Usage[[Ref]:[Ref]],0),MATCH($D$7,Inputs!$C$147:$BA$147,0))),0)),0),
ROUNDUP(
(INDEX(OP_TotalRates_RES_2[[Ausnet]:[United Energy]],MATCH("TOU - supply",OP_TotalRates_RES_2[[Rate name]:[Rate name]],0),MATCH(F$24,OP_TotalRates_RES_2[[#Headers],[Ausnet]:[United Energy]],0))*DiPY)+
(INDEX(OP_TotalRates_RES_2[[Ausnet]:[United Energy]],MATCH("Peak",OP_TotalRates_RES_2[[Rate name]:[Rate name]],0),MATCH(F$24,OP_TotalRates_RES_2[[#Headers],[Ausnet]:[United Energy]],0))*
INDEX(Input_Usage[],MATCH($D27&amp;" - Peak",Input_Usage[[Ref]:[Ref]],0),MATCH($D$7,Inputs!$C$147:$BA$147,0)))+
IFERROR((INDEX(OP_TotalRates_RES_2[[Ausnet]:[United Energy]],MATCH("TOU - Shoulder",OP_TotalRates_RES_2[[Rate name]:[Rate name]],0),MATCH(F$24,OP_TotalRates_RES_2[[#Headers],[Ausnet]:[United Energy]],0))*
INDEX(Input_Usage[],MATCH($D27&amp;" - Shoulder",Input_Usage[[Ref]:[Ref]],0),MATCH($D$7,Inputs!$C$147:$BA$147,0))),0)+
(INDEX(OP_TotalRates_RES_2[[Ausnet]:[United Energy]],MATCH("Off peak",OP_TotalRates_RES_2[[Rate name]:[Rate name]],0),MATCH(F$24,OP_TotalRates_RES_2[[#Headers],[Ausnet]:[United Energy]],0))*
INDEX(Input_Usage[],MATCH($D27&amp;" - Off peak",Input_Usage[[Ref]:[Ref]],0),MATCH($D$7,Inputs!$C$147:$BA$147,0))),0)),"-")</f>
        <v>2713</v>
      </c>
      <c r="G27" s="82">
        <f>IFERROR(
IF($D$7="VDO 2021 - Final",
ROUNDUP(
(INDEX(OP_TotalRates_RES_2[[Ausnet]:[United Energy]],MATCH("Anytime - supply",OP_TotalRates_RES_2[[Rate name]:[Rate name]],0),MATCH(G$24,OP_TotalRates_RES_2[[#Headers],[Ausnet]:[United Energy]],0))*DiPY)+
(IFERROR((INDEX(OP_TotalRates_RES_2[[Ausnet]:[United Energy]],MATCH("Block 1",OP_TotalRates_RES_2[[Rate name]:[Rate name]],0),MATCH(G$24,OP_TotalRates_RES_2[[#Headers],[Ausnet]:[United Energy]],0))*
INDEX(Input_Usage[],MATCH($D27&amp;" - Block 1",Input_Usage[[Ref]:[Ref]],0),MATCH($D$7,Inputs!$C$147:$BA$147,0))),0)+
IFERROR((INDEX(OP_TotalRates_RES_2[[Ausnet]:[United Energy]],MATCH("Balance",OP_TotalRates_RES_2[[Rate name]:[Rate name]],0),MATCH(G$24,OP_TotalRates_RES_2[[#Headers],[Ausnet]:[United Energy]],0))*
INDEX(Input_Usage[],MATCH($D27&amp;" - Balance",Input_Usage[[Ref]:[Ref]],0),MATCH($D$7,Inputs!$C$147:$BA$147,0))),0)+
IFERROR((INDEX(OP_TotalRates_RES_2[[Ausnet]:[United Energy]],MATCH("Single rate",OP_TotalRates_RES_2[[Rate name]:[Rate name]],0),MATCH(G$24,OP_TotalRates_RES_2[[#Headers],[Ausnet]:[United Energy]],0))*
INDEX(Input_Usage[],MATCH($D27&amp;" - Annual",Input_Usage[[Ref]:[Ref]],0),MATCH($D$7,Inputs!$C$147:$BA$147,0))),0)),0),
ROUNDUP(
(INDEX(OP_TotalRates_RES_2[[Ausnet]:[United Energy]],MATCH("TOU - supply",OP_TotalRates_RES_2[[Rate name]:[Rate name]],0),MATCH(G$24,OP_TotalRates_RES_2[[#Headers],[Ausnet]:[United Energy]],0))*DiPY)+
(INDEX(OP_TotalRates_RES_2[[Ausnet]:[United Energy]],MATCH("Peak",OP_TotalRates_RES_2[[Rate name]:[Rate name]],0),MATCH(G$24,OP_TotalRates_RES_2[[#Headers],[Ausnet]:[United Energy]],0))*
INDEX(Input_Usage[],MATCH($D27&amp;" - Peak",Input_Usage[[Ref]:[Ref]],0),MATCH($D$7,Inputs!$C$147:$BA$147,0)))+
IFERROR((INDEX(OP_TotalRates_RES_2[[Ausnet]:[United Energy]],MATCH("TOU - Shoulder",OP_TotalRates_RES_2[[Rate name]:[Rate name]],0),MATCH(G$24,OP_TotalRates_RES_2[[#Headers],[Ausnet]:[United Energy]],0))*
INDEX(Input_Usage[],MATCH($D27&amp;" - Shoulder",Input_Usage[[Ref]:[Ref]],0),MATCH($D$7,Inputs!$C$147:$BA$147,0))),0)+
(INDEX(OP_TotalRates_RES_2[[Ausnet]:[United Energy]],MATCH("Off peak",OP_TotalRates_RES_2[[Rate name]:[Rate name]],0),MATCH(G$24,OP_TotalRates_RES_2[[#Headers],[Ausnet]:[United Energy]],0))*
INDEX(Input_Usage[],MATCH($D27&amp;" - Off peak",Input_Usage[[Ref]:[Ref]],0),MATCH($D$7,Inputs!$C$147:$BA$147,0))),0)),"-")</f>
        <v>2908</v>
      </c>
      <c r="H27" s="82">
        <f>IFERROR(
IF($D$7="VDO 2021 - Final",
ROUNDUP(
(INDEX(OP_TotalRates_RES_2[[Ausnet]:[United Energy]],MATCH("Anytime - supply",OP_TotalRates_RES_2[[Rate name]:[Rate name]],0),MATCH(H$24,OP_TotalRates_RES_2[[#Headers],[Ausnet]:[United Energy]],0))*DiPY)+
(IFERROR((INDEX(OP_TotalRates_RES_2[[Ausnet]:[United Energy]],MATCH("Block 1",OP_TotalRates_RES_2[[Rate name]:[Rate name]],0),MATCH(H$24,OP_TotalRates_RES_2[[#Headers],[Ausnet]:[United Energy]],0))*
INDEX(Input_Usage[],MATCH($D27&amp;" - Block 1",Input_Usage[[Ref]:[Ref]],0),MATCH($D$7,Inputs!$C$147:$BA$147,0))),0)+
IFERROR((INDEX(OP_TotalRates_RES_2[[Ausnet]:[United Energy]],MATCH("Balance",OP_TotalRates_RES_2[[Rate name]:[Rate name]],0),MATCH(H$24,OP_TotalRates_RES_2[[#Headers],[Ausnet]:[United Energy]],0))*
INDEX(Input_Usage[],MATCH($D27&amp;" - Balance",Input_Usage[[Ref]:[Ref]],0),MATCH($D$7,Inputs!$C$147:$BA$147,0))),0)+
IFERROR((INDEX(OP_TotalRates_RES_2[[Ausnet]:[United Energy]],MATCH("Single rate",OP_TotalRates_RES_2[[Rate name]:[Rate name]],0),MATCH(H$24,OP_TotalRates_RES_2[[#Headers],[Ausnet]:[United Energy]],0))*
INDEX(Input_Usage[],MATCH($D27&amp;" - Annual",Input_Usage[[Ref]:[Ref]],0),MATCH($D$7,Inputs!$C$147:$BA$147,0))),0)),0),
ROUNDUP(
(INDEX(OP_TotalRates_RES_2[[Ausnet]:[United Energy]],MATCH("TOU - supply",OP_TotalRates_RES_2[[Rate name]:[Rate name]],0),MATCH(H$24,OP_TotalRates_RES_2[[#Headers],[Ausnet]:[United Energy]],0))*DiPY)+
(INDEX(OP_TotalRates_RES_2[[Ausnet]:[United Energy]],MATCH("Peak",OP_TotalRates_RES_2[[Rate name]:[Rate name]],0),MATCH(H$24,OP_TotalRates_RES_2[[#Headers],[Ausnet]:[United Energy]],0))*
INDEX(Input_Usage[],MATCH($D27&amp;" - Peak",Input_Usage[[Ref]:[Ref]],0),MATCH($D$7,Inputs!$C$147:$BA$147,0)))+
IFERROR((INDEX(OP_TotalRates_RES_2[[Ausnet]:[United Energy]],MATCH("TOU - Shoulder",OP_TotalRates_RES_2[[Rate name]:[Rate name]],0),MATCH(H$24,OP_TotalRates_RES_2[[#Headers],[Ausnet]:[United Energy]],0))*
INDEX(Input_Usage[],MATCH($D27&amp;" - Shoulder",Input_Usage[[Ref]:[Ref]],0),MATCH($D$7,Inputs!$C$147:$BA$147,0))),0)+
(INDEX(OP_TotalRates_RES_2[[Ausnet]:[United Energy]],MATCH("Off peak",OP_TotalRates_RES_2[[Rate name]:[Rate name]],0),MATCH(H$24,OP_TotalRates_RES_2[[#Headers],[Ausnet]:[United Energy]],0))*
INDEX(Input_Usage[],MATCH($D27&amp;" - Off peak",Input_Usage[[Ref]:[Ref]],0),MATCH($D$7,Inputs!$C$147:$BA$147,0))),0)),"-")</f>
        <v>3088</v>
      </c>
      <c r="I27" s="82">
        <f>IFERROR(
IF($D$7="VDO 2021 - Final",
ROUNDUP(
(INDEX(OP_TotalRates_RES_2[[Ausnet]:[United Energy]],MATCH("Anytime - supply",OP_TotalRates_RES_2[[Rate name]:[Rate name]],0),MATCH(I$24,OP_TotalRates_RES_2[[#Headers],[Ausnet]:[United Energy]],0))*DiPY)+
(IFERROR((INDEX(OP_TotalRates_RES_2[[Ausnet]:[United Energy]],MATCH("Block 1",OP_TotalRates_RES_2[[Rate name]:[Rate name]],0),MATCH(I$24,OP_TotalRates_RES_2[[#Headers],[Ausnet]:[United Energy]],0))*
INDEX(Input_Usage[],MATCH($D27&amp;" - Block 1",Input_Usage[[Ref]:[Ref]],0),MATCH($D$7,Inputs!$C$147:$BA$147,0))),0)+
IFERROR((INDEX(OP_TotalRates_RES_2[[Ausnet]:[United Energy]],MATCH("Balance",OP_TotalRates_RES_2[[Rate name]:[Rate name]],0),MATCH(I$24,OP_TotalRates_RES_2[[#Headers],[Ausnet]:[United Energy]],0))*
INDEX(Input_Usage[],MATCH($D27&amp;" - Balance",Input_Usage[[Ref]:[Ref]],0),MATCH($D$7,Inputs!$C$147:$BA$147,0))),0)+
IFERROR((INDEX(OP_TotalRates_RES_2[[Ausnet]:[United Energy]],MATCH("Single rate",OP_TotalRates_RES_2[[Rate name]:[Rate name]],0),MATCH(I$24,OP_TotalRates_RES_2[[#Headers],[Ausnet]:[United Energy]],0))*
INDEX(Input_Usage[],MATCH($D27&amp;" - Annual",Input_Usage[[Ref]:[Ref]],0),MATCH($D$7,Inputs!$C$147:$BA$147,0))),0)),0),
ROUNDUP(
(INDEX(OP_TotalRates_RES_2[[Ausnet]:[United Energy]],MATCH("TOU - supply",OP_TotalRates_RES_2[[Rate name]:[Rate name]],0),MATCH(I$24,OP_TotalRates_RES_2[[#Headers],[Ausnet]:[United Energy]],0))*DiPY)+
(INDEX(OP_TotalRates_RES_2[[Ausnet]:[United Energy]],MATCH("Peak",OP_TotalRates_RES_2[[Rate name]:[Rate name]],0),MATCH(I$24,OP_TotalRates_RES_2[[#Headers],[Ausnet]:[United Energy]],0))*
INDEX(Input_Usage[],MATCH($D27&amp;" - Peak",Input_Usage[[Ref]:[Ref]],0),MATCH($D$7,Inputs!$C$147:$BA$147,0)))+
IFERROR((INDEX(OP_TotalRates_RES_2[[Ausnet]:[United Energy]],MATCH("TOU - Shoulder",OP_TotalRates_RES_2[[Rate name]:[Rate name]],0),MATCH(I$24,OP_TotalRates_RES_2[[#Headers],[Ausnet]:[United Energy]],0))*
INDEX(Input_Usage[],MATCH($D27&amp;" - Shoulder",Input_Usage[[Ref]:[Ref]],0),MATCH($D$7,Inputs!$C$147:$BA$147,0))),0)+
(INDEX(OP_TotalRates_RES_2[[Ausnet]:[United Energy]],MATCH("Off peak",OP_TotalRates_RES_2[[Rate name]:[Rate name]],0),MATCH(I$24,OP_TotalRates_RES_2[[#Headers],[Ausnet]:[United Energy]],0))*
INDEX(Input_Usage[],MATCH($D27&amp;" - Off peak",Input_Usage[[Ref]:[Ref]],0),MATCH($D$7,Inputs!$C$147:$BA$147,0))),0)),"-")</f>
        <v>2912</v>
      </c>
      <c r="K27" s="31" t="s">
        <v>73</v>
      </c>
      <c r="L27" s="31" t="s">
        <v>97</v>
      </c>
      <c r="M27" s="82">
        <f>IFERROR(
IF($D$7="VDO 2021 - Final",
ROUNDUP(
(INDEX(OP_TotalRates_SME_2[[Ausnet]:[United Energy]],MATCH("Anytime - supply",OP_TotalRates_SME_2[[Rate name]:[Rate name]],0),MATCH(M$24,OP_TotalRates_SME_2[[#Headers],[Ausnet]:[United Energy]],0))*DiPY)+
(IFERROR((INDEX(OP_TotalRates_SME_2[[Ausnet]:[United Energy]],MATCH("Block 1",OP_TotalRates_SME_2[[Rate name]:[Rate name]],0),MATCH(M$24,OP_TotalRates_SME_2[[#Headers],[Ausnet]:[United Energy]],0))*
INDEX(Input_Usage[],MATCH($L27&amp;" - Block 1",Input_Usage[[Ref]:[Ref]],0),MATCH($D$7,Inputs!$C$147:$BA$147,0))),0)+
IFERROR((INDEX(OP_TotalRates_SME_2[[Ausnet]:[United Energy]],MATCH("Balance",OP_TotalRates_SME_2[[Rate name]:[Rate name]],0),MATCH(M$24,OP_TotalRates_SME_2[[#Headers],[Ausnet]:[United Energy]],0))*
INDEX(Input_Usage[],MATCH($L27&amp;" - Balance",Input_Usage[[Ref]:[Ref]],0),MATCH($D$7,Inputs!$C$147:$BA$147,0))),0)+
IFERROR((INDEX(OP_TotalRates_SME_2[[Ausnet]:[United Energy]],MATCH("Single rate",OP_TotalRates_SME_2[[Rate name]:[Rate name]],0),MATCH(M$24,OP_TotalRates_SME_2[[#Headers],[Ausnet]:[United Energy]],0))*
INDEX(Input_Usage[],MATCH($L27&amp;" - Annual",Input_Usage[[Ref]:[Ref]],0),MATCH($D$7,Inputs!$C$147:$BA$147,0))),0)),0),
ROUNDUP(
(INDEX(OP_TotalRates_SME_2[[Ausnet]:[United Energy]],MATCH("TOU - supply",OP_TotalRates_SME_2[[Rate name]:[Rate name]],0),MATCH(M$24,OP_TotalRates_SME_2[[#Headers],[Ausnet]:[United Energy]],0))*DiPY)+
(INDEX(OP_TotalRates_SME_2[[Ausnet]:[United Energy]],MATCH("Peak",OP_TotalRates_SME_2[[Rate name]:[Rate name]],0),MATCH(M$24,OP_TotalRates_SME_2[[#Headers],[Ausnet]:[United Energy]],0))*
INDEX(Input_Usage[],MATCH($L27&amp;" - Peak",Input_Usage[[Ref]:[Ref]],0),MATCH($D$7,Inputs!$C$147:$BA$147,0)))+
IFERROR((INDEX(OP_TotalRates_SME_2[[Ausnet]:[United Energy]],MATCH("TOU - Shoulder",OP_TotalRates_SME_2[[Rate name]:[Rate name]],0),MATCH(M$24,OP_TotalRates_SME_2[[#Headers],[Ausnet]:[United Energy]],0))*
INDEX(Input_Usage[],MATCH($L27&amp;" - Shoulder",Input_Usage[[Ref]:[Ref]],0),MATCH($D$7,Inputs!$C$147:$BA$147,0))),0)+
(INDEX(OP_TotalRates_SME_2[[Ausnet]:[United Energy]],MATCH("Off peak",OP_TotalRates_SME_2[[Rate name]:[Rate name]],0),MATCH(M$24,OP_TotalRates_SME_2[[#Headers],[Ausnet]:[United Energy]],0))*
INDEX(Input_Usage[],MATCH($L27&amp;" - Off peak",Input_Usage[[Ref]:[Ref]],0),MATCH($D$7,Inputs!$C$147:$BA$147,0))),0)),"-")</f>
        <v>14026</v>
      </c>
      <c r="N27" s="82">
        <f>IFERROR(
IF($D$7="VDO 2021 - Final",
ROUNDUP(
(INDEX(OP_TotalRates_SME_2[[Ausnet]:[United Energy]],MATCH("Anytime - supply",OP_TotalRates_SME_2[[Rate name]:[Rate name]],0),MATCH(N$24,OP_TotalRates_SME_2[[#Headers],[Ausnet]:[United Energy]],0))*DiPY)+
(IFERROR((INDEX(OP_TotalRates_SME_2[[Ausnet]:[United Energy]],MATCH("Block 1",OP_TotalRates_SME_2[[Rate name]:[Rate name]],0),MATCH(N$24,OP_TotalRates_SME_2[[#Headers],[Ausnet]:[United Energy]],0))*
INDEX(Input_Usage[],MATCH($L27&amp;" - Block 1",Input_Usage[[Ref]:[Ref]],0),MATCH($D$7,Inputs!$C$147:$BA$147,0))),0)+
IFERROR((INDEX(OP_TotalRates_SME_2[[Ausnet]:[United Energy]],MATCH("Balance",OP_TotalRates_SME_2[[Rate name]:[Rate name]],0),MATCH(N$24,OP_TotalRates_SME_2[[#Headers],[Ausnet]:[United Energy]],0))*
INDEX(Input_Usage[],MATCH($L27&amp;" - Balance",Input_Usage[[Ref]:[Ref]],0),MATCH($D$7,Inputs!$C$147:$BA$147,0))),0)+
IFERROR((INDEX(OP_TotalRates_SME_2[[Ausnet]:[United Energy]],MATCH("Single rate",OP_TotalRates_SME_2[[Rate name]:[Rate name]],0),MATCH(N$24,OP_TotalRates_SME_2[[#Headers],[Ausnet]:[United Energy]],0))*
INDEX(Input_Usage[],MATCH($L27&amp;" - Annual",Input_Usage[[Ref]:[Ref]],0),MATCH($D$7,Inputs!$C$147:$BA$147,0))),0)),0),
ROUNDUP(
(INDEX(OP_TotalRates_SME_2[[Ausnet]:[United Energy]],MATCH("TOU - supply",OP_TotalRates_SME_2[[Rate name]:[Rate name]],0),MATCH(N$24,OP_TotalRates_SME_2[[#Headers],[Ausnet]:[United Energy]],0))*DiPY)+
(INDEX(OP_TotalRates_SME_2[[Ausnet]:[United Energy]],MATCH("Peak",OP_TotalRates_SME_2[[Rate name]:[Rate name]],0),MATCH(N$24,OP_TotalRates_SME_2[[#Headers],[Ausnet]:[United Energy]],0))*
INDEX(Input_Usage[],MATCH($L27&amp;" - Peak",Input_Usage[[Ref]:[Ref]],0),MATCH($D$7,Inputs!$C$147:$BA$147,0)))+
IFERROR((INDEX(OP_TotalRates_SME_2[[Ausnet]:[United Energy]],MATCH("TOU - Shoulder",OP_TotalRates_SME_2[[Rate name]:[Rate name]],0),MATCH(N$24,OP_TotalRates_SME_2[[#Headers],[Ausnet]:[United Energy]],0))*
INDEX(Input_Usage[],MATCH($L27&amp;" - Shoulder",Input_Usage[[Ref]:[Ref]],0),MATCH($D$7,Inputs!$C$147:$BA$147,0))),0)+
(INDEX(OP_TotalRates_SME_2[[Ausnet]:[United Energy]],MATCH("Off peak",OP_TotalRates_SME_2[[Rate name]:[Rate name]],0),MATCH(N$24,OP_TotalRates_SME_2[[#Headers],[Ausnet]:[United Energy]],0))*
INDEX(Input_Usage[],MATCH($L27&amp;" - Off peak",Input_Usage[[Ref]:[Ref]],0),MATCH($D$7,Inputs!$C$147:$BA$147,0))),0)),"-")</f>
        <v>11760</v>
      </c>
      <c r="O27" s="82">
        <f>IFERROR(
IF($D$7="VDO 2021 - Final",
ROUNDUP(
(INDEX(OP_TotalRates_SME_2[[Ausnet]:[United Energy]],MATCH("Anytime - supply",OP_TotalRates_SME_2[[Rate name]:[Rate name]],0),MATCH(O$24,OP_TotalRates_SME_2[[#Headers],[Ausnet]:[United Energy]],0))*DiPY)+
(IFERROR((INDEX(OP_TotalRates_SME_2[[Ausnet]:[United Energy]],MATCH("Block 1",OP_TotalRates_SME_2[[Rate name]:[Rate name]],0),MATCH(O$24,OP_TotalRates_SME_2[[#Headers],[Ausnet]:[United Energy]],0))*
INDEX(Input_Usage[],MATCH($L27&amp;" - Block 1",Input_Usage[[Ref]:[Ref]],0),MATCH($D$7,Inputs!$C$147:$BA$147,0))),0)+
IFERROR((INDEX(OP_TotalRates_SME_2[[Ausnet]:[United Energy]],MATCH("Balance",OP_TotalRates_SME_2[[Rate name]:[Rate name]],0),MATCH(O$24,OP_TotalRates_SME_2[[#Headers],[Ausnet]:[United Energy]],0))*
INDEX(Input_Usage[],MATCH($L27&amp;" - Balance",Input_Usage[[Ref]:[Ref]],0),MATCH($D$7,Inputs!$C$147:$BA$147,0))),0)+
IFERROR((INDEX(OP_TotalRates_SME_2[[Ausnet]:[United Energy]],MATCH("Single rate",OP_TotalRates_SME_2[[Rate name]:[Rate name]],0),MATCH(O$24,OP_TotalRates_SME_2[[#Headers],[Ausnet]:[United Energy]],0))*
INDEX(Input_Usage[],MATCH($L27&amp;" - Annual",Input_Usage[[Ref]:[Ref]],0),MATCH($D$7,Inputs!$C$147:$BA$147,0))),0)),0),
ROUNDUP(
(INDEX(OP_TotalRates_SME_2[[Ausnet]:[United Energy]],MATCH("TOU - supply",OP_TotalRates_SME_2[[Rate name]:[Rate name]],0),MATCH(O$24,OP_TotalRates_SME_2[[#Headers],[Ausnet]:[United Energy]],0))*DiPY)+
(INDEX(OP_TotalRates_SME_2[[Ausnet]:[United Energy]],MATCH("Peak",OP_TotalRates_SME_2[[Rate name]:[Rate name]],0),MATCH(O$24,OP_TotalRates_SME_2[[#Headers],[Ausnet]:[United Energy]],0))*
INDEX(Input_Usage[],MATCH($L27&amp;" - Peak",Input_Usage[[Ref]:[Ref]],0),MATCH($D$7,Inputs!$C$147:$BA$147,0)))+
IFERROR((INDEX(OP_TotalRates_SME_2[[Ausnet]:[United Energy]],MATCH("TOU - Shoulder",OP_TotalRates_SME_2[[Rate name]:[Rate name]],0),MATCH(O$24,OP_TotalRates_SME_2[[#Headers],[Ausnet]:[United Energy]],0))*
INDEX(Input_Usage[],MATCH($L27&amp;" - Shoulder",Input_Usage[[Ref]:[Ref]],0),MATCH($D$7,Inputs!$C$147:$BA$147,0))),0)+
(INDEX(OP_TotalRates_SME_2[[Ausnet]:[United Energy]],MATCH("Off peak",OP_TotalRates_SME_2[[Rate name]:[Rate name]],0),MATCH(O$24,OP_TotalRates_SME_2[[#Headers],[Ausnet]:[United Energy]],0))*
INDEX(Input_Usage[],MATCH($L27&amp;" - Off peak",Input_Usage[[Ref]:[Ref]],0),MATCH($D$7,Inputs!$C$147:$BA$147,0))),0)),"-")</f>
        <v>12550</v>
      </c>
      <c r="P27" s="82">
        <f>IFERROR(
IF($D$7="VDO 2021 - Final",
ROUNDUP(
(INDEX(OP_TotalRates_SME_2[[Ausnet]:[United Energy]],MATCH("Anytime - supply",OP_TotalRates_SME_2[[Rate name]:[Rate name]],0),MATCH(P$24,OP_TotalRates_SME_2[[#Headers],[Ausnet]:[United Energy]],0))*DiPY)+
(IFERROR((INDEX(OP_TotalRates_SME_2[[Ausnet]:[United Energy]],MATCH("Block 1",OP_TotalRates_SME_2[[Rate name]:[Rate name]],0),MATCH(P$24,OP_TotalRates_SME_2[[#Headers],[Ausnet]:[United Energy]],0))*
INDEX(Input_Usage[],MATCH($L27&amp;" - Block 1",Input_Usage[[Ref]:[Ref]],0),MATCH($D$7,Inputs!$C$147:$BA$147,0))),0)+
IFERROR((INDEX(OP_TotalRates_SME_2[[Ausnet]:[United Energy]],MATCH("Balance",OP_TotalRates_SME_2[[Rate name]:[Rate name]],0),MATCH(P$24,OP_TotalRates_SME_2[[#Headers],[Ausnet]:[United Energy]],0))*
INDEX(Input_Usage[],MATCH($L27&amp;" - Balance",Input_Usage[[Ref]:[Ref]],0),MATCH($D$7,Inputs!$C$147:$BA$147,0))),0)+
IFERROR((INDEX(OP_TotalRates_SME_2[[Ausnet]:[United Energy]],MATCH("Single rate",OP_TotalRates_SME_2[[Rate name]:[Rate name]],0),MATCH(P$24,OP_TotalRates_SME_2[[#Headers],[Ausnet]:[United Energy]],0))*
INDEX(Input_Usage[],MATCH($L27&amp;" - Annual",Input_Usage[[Ref]:[Ref]],0),MATCH($D$7,Inputs!$C$147:$BA$147,0))),0)),0),
ROUNDUP(
(INDEX(OP_TotalRates_SME_2[[Ausnet]:[United Energy]],MATCH("TOU - supply",OP_TotalRates_SME_2[[Rate name]:[Rate name]],0),MATCH(P$24,OP_TotalRates_SME_2[[#Headers],[Ausnet]:[United Energy]],0))*DiPY)+
(INDEX(OP_TotalRates_SME_2[[Ausnet]:[United Energy]],MATCH("Peak",OP_TotalRates_SME_2[[Rate name]:[Rate name]],0),MATCH(P$24,OP_TotalRates_SME_2[[#Headers],[Ausnet]:[United Energy]],0))*
INDEX(Input_Usage[],MATCH($L27&amp;" - Peak",Input_Usage[[Ref]:[Ref]],0),MATCH($D$7,Inputs!$C$147:$BA$147,0)))+
IFERROR((INDEX(OP_TotalRates_SME_2[[Ausnet]:[United Energy]],MATCH("TOU - Shoulder",OP_TotalRates_SME_2[[Rate name]:[Rate name]],0),MATCH(P$24,OP_TotalRates_SME_2[[#Headers],[Ausnet]:[United Energy]],0))*
INDEX(Input_Usage[],MATCH($L27&amp;" - Shoulder",Input_Usage[[Ref]:[Ref]],0),MATCH($D$7,Inputs!$C$147:$BA$147,0))),0)+
(INDEX(OP_TotalRates_SME_2[[Ausnet]:[United Energy]],MATCH("Off peak",OP_TotalRates_SME_2[[Rate name]:[Rate name]],0),MATCH(P$24,OP_TotalRates_SME_2[[#Headers],[Ausnet]:[United Energy]],0))*
INDEX(Input_Usage[],MATCH($L27&amp;" - Off peak",Input_Usage[[Ref]:[Ref]],0),MATCH($D$7,Inputs!$C$147:$BA$147,0))),0)),"-")</f>
        <v>13106</v>
      </c>
      <c r="Q27" s="82">
        <f>IFERROR(
IF($D$7="VDO 2021 - Final",
ROUNDUP(
(INDEX(OP_TotalRates_SME_2[[Ausnet]:[United Energy]],MATCH("Anytime - supply",OP_TotalRates_SME_2[[Rate name]:[Rate name]],0),MATCH(Q$24,OP_TotalRates_SME_2[[#Headers],[Ausnet]:[United Energy]],0))*DiPY)+
(IFERROR((INDEX(OP_TotalRates_SME_2[[Ausnet]:[United Energy]],MATCH("Block 1",OP_TotalRates_SME_2[[Rate name]:[Rate name]],0),MATCH(Q$24,OP_TotalRates_SME_2[[#Headers],[Ausnet]:[United Energy]],0))*
INDEX(Input_Usage[],MATCH($L27&amp;" - Block 1",Input_Usage[[Ref]:[Ref]],0),MATCH($D$7,Inputs!$C$147:$BA$147,0))),0)+
IFERROR((INDEX(OP_TotalRates_SME_2[[Ausnet]:[United Energy]],MATCH("Balance",OP_TotalRates_SME_2[[Rate name]:[Rate name]],0),MATCH(Q$24,OP_TotalRates_SME_2[[#Headers],[Ausnet]:[United Energy]],0))*
INDEX(Input_Usage[],MATCH($L27&amp;" - Balance",Input_Usage[[Ref]:[Ref]],0),MATCH($D$7,Inputs!$C$147:$BA$147,0))),0)+
IFERROR((INDEX(OP_TotalRates_SME_2[[Ausnet]:[United Energy]],MATCH("Single rate",OP_TotalRates_SME_2[[Rate name]:[Rate name]],0),MATCH(Q$24,OP_TotalRates_SME_2[[#Headers],[Ausnet]:[United Energy]],0))*
INDEX(Input_Usage[],MATCH($L27&amp;" - Annual",Input_Usage[[Ref]:[Ref]],0),MATCH($D$7,Inputs!$C$147:$BA$147,0))),0)),0),
ROUNDUP(
(INDEX(OP_TotalRates_SME_2[[Ausnet]:[United Energy]],MATCH("TOU - supply",OP_TotalRates_SME_2[[Rate name]:[Rate name]],0),MATCH(Q$24,OP_TotalRates_SME_2[[#Headers],[Ausnet]:[United Energy]],0))*DiPY)+
(INDEX(OP_TotalRates_SME_2[[Ausnet]:[United Energy]],MATCH("Peak",OP_TotalRates_SME_2[[Rate name]:[Rate name]],0),MATCH(Q$24,OP_TotalRates_SME_2[[#Headers],[Ausnet]:[United Energy]],0))*
INDEX(Input_Usage[],MATCH($L27&amp;" - Peak",Input_Usage[[Ref]:[Ref]],0),MATCH($D$7,Inputs!$C$147:$BA$147,0)))+
IFERROR((INDEX(OP_TotalRates_SME_2[[Ausnet]:[United Energy]],MATCH("TOU - Shoulder",OP_TotalRates_SME_2[[Rate name]:[Rate name]],0),MATCH(Q$24,OP_TotalRates_SME_2[[#Headers],[Ausnet]:[United Energy]],0))*
INDEX(Input_Usage[],MATCH($L27&amp;" - Shoulder",Input_Usage[[Ref]:[Ref]],0),MATCH($D$7,Inputs!$C$147:$BA$147,0))),0)+
(INDEX(OP_TotalRates_SME_2[[Ausnet]:[United Energy]],MATCH("Off peak",OP_TotalRates_SME_2[[Rate name]:[Rate name]],0),MATCH(Q$24,OP_TotalRates_SME_2[[#Headers],[Ausnet]:[United Energy]],0))*
INDEX(Input_Usage[],MATCH($L27&amp;" - Off peak",Input_Usage[[Ref]:[Ref]],0),MATCH($D$7,Inputs!$C$147:$BA$147,0))),0)),"-")</f>
        <v>12527</v>
      </c>
    </row>
    <row r="29" spans="1:18" ht="15.75" hidden="1" x14ac:dyDescent="0.25">
      <c r="E29" s="67" cm="1">
        <f t="array" ref="E29">IF($D$21="VDO 2021 - Final",
IF(E25=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INDEX(Input_Usage[],MATCH($D25&amp;" - Block 1",Input_Usage[Ref],0),MATCH($D$21,Inputs!$C$147:$BA$147,0))),0)+
IFERROR((INDEX(OP_TotalRates_RES_2[[Ausnet]:[United Energy]],MATCH("Balance",OP_TotalRates_RES_2[Rate name],0),MATCH(E$24,OP_TotalRates_RES_2[[#Headers],[Ausnet]:[United Energy]],0))*
INDEX(Input_Usage[],MATCH($D25&amp;" - Balance",Input_Usage[Ref],0),MATCH($D$21,Inputs!$C$147:$BA$147,0))),0)+
IFERROR((INDEX(OP_TotalRates_RES_2[[Ausnet]:[United Energy]],MATCH("Single rate",OP_TotalRates_RES_2[Rate name],0),MATCH(E$24,OP_TotalRates_RES_2[[#Headers],[Ausnet]:[United Energy]],0))*
INDEX(Input_Usage[],MATCH($D25&amp;" - Annual",Input_Usage[Ref],0),MATCH($D$21,Inputs!$C$147:$BA$147,0))),0)),0),0,1),
IF(E25=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INDEX(Input_Usage[],MATCH($D25&amp;" - Peak",Input_Usage[Profile name]&amp;" - "&amp;Input_Usage[Usage type],0),MATCH($D$21,Inputs!$C$147:$BA$147,0)))+
IFERROR((INDEX(OP_TotalRates_RES_2[[Ausnet]:[United Energy]],MATCH("TOU - Shoulder",OP_TotalRates_RES_2[Rate name],0),MATCH(E$24,OP_TotalRates_RES_2[[#Headers],[Ausnet]:[United Energy]],0))*
INDEX(Input_Usage[],MATCH($D25&amp;" - Shoulder",Input_Usage[Profile name]&amp;" - "&amp;Input_Usage[Usage type],0),MATCH($D$21,Inputs!$C$147:$BA$147,0))),0)+
(INDEX(OP_TotalRates_RES_2[[Ausnet]:[United Energy]],MATCH("Off peak",OP_TotalRates_RES_2[Rate name],0),MATCH(E$24,OP_TotalRates_RES_2[[#Headers],[Ausnet]:[United Energy]],0))*
INDEX(Input_Usage[],MATCH($D25&amp;" - Off peak",Input_Usage[Profile name]&amp;" - "&amp;Input_Usage[Usage type],0),MATCH($D$21,Inputs!$C$147:$BA$147,0))),0),0,1))</f>
        <v>0</v>
      </c>
      <c r="F29" s="67" cm="1">
        <f t="array" ref="F29">IF($D$21="VDO 2021 - Final",
IF(F25=
ROUNDUP(
(INDEX(OP_TotalRates_RES_2[[Ausnet]:[United Energy]],MATCH("Anytime - supply",OP_TotalRates_RES_2[Rate name],0),MATCH(F$24,OP_TotalRates_RES_2[[#Headers],[Ausnet]:[United Energy]],0))*DiPY)+
(IFERROR((INDEX(OP_TotalRates_RES_2[[Ausnet]:[United Energy]],MATCH("Block 1",OP_TotalRates_RES_2[Rate name],0),MATCH(F$24,OP_TotalRates_RES_2[[#Headers],[Ausnet]:[United Energy]],0))*
INDEX(Input_Usage[],MATCH($D25&amp;" - Block 1",Input_Usage[Ref],0),MATCH($D$21,Inputs!$C$147:$BA$147,0))),0)+
IFERROR((INDEX(OP_TotalRates_RES_2[[Ausnet]:[United Energy]],MATCH("Balance",OP_TotalRates_RES_2[Rate name],0),MATCH(F$24,OP_TotalRates_RES_2[[#Headers],[Ausnet]:[United Energy]],0))*
INDEX(Input_Usage[],MATCH($D25&amp;" - Balance",Input_Usage[Ref],0),MATCH($D$21,Inputs!$C$147:$BA$147,0))),0)+
IFERROR((INDEX(OP_TotalRates_RES_2[[Ausnet]:[United Energy]],MATCH("Single rate",OP_TotalRates_RES_2[Rate name],0),MATCH(F$24,OP_TotalRates_RES_2[[#Headers],[Ausnet]:[United Energy]],0))*
INDEX(Input_Usage[],MATCH($D25&amp;" - Annual",Input_Usage[Ref],0),MATCH($D$21,Inputs!$C$147:$BA$147,0))),0)),0),0,1),
IF(F25=
ROUNDUP(
(INDEX(OP_TotalRates_RES_2[[Ausnet]:[United Energy]],MATCH("TOU - supply",OP_TotalRates_RES_2[Rate name],0),MATCH(F$24,OP_TotalRates_RES_2[[#Headers],[Ausnet]:[United Energy]],0))*DiPY)+
(INDEX(OP_TotalRates_RES_2[[Ausnet]:[United Energy]],MATCH("Peak",OP_TotalRates_RES_2[Rate name],0),MATCH(F$24,OP_TotalRates_RES_2[[#Headers],[Ausnet]:[United Energy]],0))*
INDEX(Input_Usage[],MATCH($D25&amp;" - Peak",Input_Usage[Profile name]&amp;" - "&amp;Input_Usage[Usage type],0),MATCH($D$21,Inputs!$C$147:$BA$147,0)))+
IFERROR((INDEX(OP_TotalRates_RES_2[[Ausnet]:[United Energy]],MATCH("TOU - Shoulder",OP_TotalRates_RES_2[Rate name],0),MATCH(F$24,OP_TotalRates_RES_2[[#Headers],[Ausnet]:[United Energy]],0))*
INDEX(Input_Usage[],MATCH($D25&amp;" - Shoulder",Input_Usage[Profile name]&amp;" - "&amp;Input_Usage[Usage type],0),MATCH($D$21,Inputs!$C$147:$BA$147,0))),0)+
(INDEX(OP_TotalRates_RES_2[[Ausnet]:[United Energy]],MATCH("Off peak",OP_TotalRates_RES_2[Rate name],0),MATCH(F$24,OP_TotalRates_RES_2[[#Headers],[Ausnet]:[United Energy]],0))*
INDEX(Input_Usage[],MATCH($D25&amp;" - Off peak",Input_Usage[Profile name]&amp;" - "&amp;Input_Usage[Usage type],0),MATCH($D$21,Inputs!$C$147:$BA$147,0))),0),0,1))</f>
        <v>0</v>
      </c>
      <c r="G29" s="67" cm="1">
        <f t="array" ref="G29">IF($D$21="VDO 2021 - Final",
IF(G25=
ROUNDUP(
(INDEX(OP_TotalRates_RES_2[[Ausnet]:[United Energy]],MATCH("Anytime - supply",OP_TotalRates_RES_2[Rate name],0),MATCH(G$24,OP_TotalRates_RES_2[[#Headers],[Ausnet]:[United Energy]],0))*DiPY)+
(IFERROR((INDEX(OP_TotalRates_RES_2[[Ausnet]:[United Energy]],MATCH("Block 1",OP_TotalRates_RES_2[Rate name],0),MATCH(G$24,OP_TotalRates_RES_2[[#Headers],[Ausnet]:[United Energy]],0))*
INDEX(Input_Usage[],MATCH($D25&amp;" - Block 1",Input_Usage[Ref],0),MATCH($D$21,Inputs!$C$147:$BA$147,0))),0)+
IFERROR((INDEX(OP_TotalRates_RES_2[[Ausnet]:[United Energy]],MATCH("Balance",OP_TotalRates_RES_2[Rate name],0),MATCH(G$24,OP_TotalRates_RES_2[[#Headers],[Ausnet]:[United Energy]],0))*
INDEX(Input_Usage[],MATCH($D25&amp;" - Balance",Input_Usage[Ref],0),MATCH($D$21,Inputs!$C$147:$BA$147,0))),0)+
IFERROR((INDEX(OP_TotalRates_RES_2[[Ausnet]:[United Energy]],MATCH("Single rate",OP_TotalRates_RES_2[Rate name],0),MATCH(G$24,OP_TotalRates_RES_2[[#Headers],[Ausnet]:[United Energy]],0))*
INDEX(Input_Usage[],MATCH($D25&amp;" - Annual",Input_Usage[Ref],0),MATCH($D$21,Inputs!$C$147:$BA$147,0))),0)),0),0,1),
IF(G25=
ROUNDUP(
(INDEX(OP_TotalRates_RES_2[[Ausnet]:[United Energy]],MATCH("TOU - supply",OP_TotalRates_RES_2[Rate name],0),MATCH(G$24,OP_TotalRates_RES_2[[#Headers],[Ausnet]:[United Energy]],0))*DiPY)+
(INDEX(OP_TotalRates_RES_2[[Ausnet]:[United Energy]],MATCH("Peak",OP_TotalRates_RES_2[Rate name],0),MATCH(G$24,OP_TotalRates_RES_2[[#Headers],[Ausnet]:[United Energy]],0))*
INDEX(Input_Usage[],MATCH($D25&amp;" - Peak",Input_Usage[Profile name]&amp;" - "&amp;Input_Usage[Usage type],0),MATCH($D$21,Inputs!$C$147:$BA$147,0)))+
IFERROR((INDEX(OP_TotalRates_RES_2[[Ausnet]:[United Energy]],MATCH("TOU - Shoulder",OP_TotalRates_RES_2[Rate name],0),MATCH(G$24,OP_TotalRates_RES_2[[#Headers],[Ausnet]:[United Energy]],0))*
INDEX(Input_Usage[],MATCH($D25&amp;" - Shoulder",Input_Usage[Profile name]&amp;" - "&amp;Input_Usage[Usage type],0),MATCH($D$21,Inputs!$C$147:$BA$147,0))),0)+
(INDEX(OP_TotalRates_RES_2[[Ausnet]:[United Energy]],MATCH("Off peak",OP_TotalRates_RES_2[Rate name],0),MATCH(G$24,OP_TotalRates_RES_2[[#Headers],[Ausnet]:[United Energy]],0))*
INDEX(Input_Usage[],MATCH($D25&amp;" - Off peak",Input_Usage[Profile name]&amp;" - "&amp;Input_Usage[Usage type],0),MATCH($D$21,Inputs!$C$147:$BA$147,0))),0),0,1))</f>
        <v>0</v>
      </c>
      <c r="H29" s="67" cm="1">
        <f t="array" ref="H29">IF($D$21="VDO 2021 - Final",
IF(H25=
ROUNDUP(
(INDEX(OP_TotalRates_RES_2[[Ausnet]:[United Energy]],MATCH("Anytime - supply",OP_TotalRates_RES_2[Rate name],0),MATCH(H$24,OP_TotalRates_RES_2[[#Headers],[Ausnet]:[United Energy]],0))*DiPY)+
(IFERROR((INDEX(OP_TotalRates_RES_2[[Ausnet]:[United Energy]],MATCH("Block 1",OP_TotalRates_RES_2[Rate name],0),MATCH(H$24,OP_TotalRates_RES_2[[#Headers],[Ausnet]:[United Energy]],0))*
INDEX(Input_Usage[],MATCH($D25&amp;" - Block 1",Input_Usage[Ref],0),MATCH($D$21,Inputs!$C$147:$BA$147,0))),0)+
IFERROR((INDEX(OP_TotalRates_RES_2[[Ausnet]:[United Energy]],MATCH("Balance",OP_TotalRates_RES_2[Rate name],0),MATCH(H$24,OP_TotalRates_RES_2[[#Headers],[Ausnet]:[United Energy]],0))*
INDEX(Input_Usage[],MATCH($D25&amp;" - Balance",Input_Usage[Ref],0),MATCH($D$21,Inputs!$C$147:$BA$147,0))),0)+
IFERROR((INDEX(OP_TotalRates_RES_2[[Ausnet]:[United Energy]],MATCH("Single rate",OP_TotalRates_RES_2[Rate name],0),MATCH(H$24,OP_TotalRates_RES_2[[#Headers],[Ausnet]:[United Energy]],0))*
INDEX(Input_Usage[],MATCH($D25&amp;" - Annual",Input_Usage[Ref],0),MATCH($D$21,Inputs!$C$147:$BA$147,0))),0)),0),0,1),
IF(H25=
ROUNDUP(
(INDEX(OP_TotalRates_RES_2[[Ausnet]:[United Energy]],MATCH("TOU - supply",OP_TotalRates_RES_2[Rate name],0),MATCH(H$24,OP_TotalRates_RES_2[[#Headers],[Ausnet]:[United Energy]],0))*DiPY)+
(INDEX(OP_TotalRates_RES_2[[Ausnet]:[United Energy]],MATCH("Peak",OP_TotalRates_RES_2[Rate name],0),MATCH(H$24,OP_TotalRates_RES_2[[#Headers],[Ausnet]:[United Energy]],0))*
INDEX(Input_Usage[],MATCH($D25&amp;" - Peak",Input_Usage[Profile name]&amp;" - "&amp;Input_Usage[Usage type],0),MATCH($D$21,Inputs!$C$147:$BA$147,0)))+
IFERROR((INDEX(OP_TotalRates_RES_2[[Ausnet]:[United Energy]],MATCH("TOU - Shoulder",OP_TotalRates_RES_2[Rate name],0),MATCH(H$24,OP_TotalRates_RES_2[[#Headers],[Ausnet]:[United Energy]],0))*
INDEX(Input_Usage[],MATCH($D25&amp;" - Shoulder",Input_Usage[Profile name]&amp;" - "&amp;Input_Usage[Usage type],0),MATCH($D$21,Inputs!$C$147:$BA$147,0))),0)+
(INDEX(OP_TotalRates_RES_2[[Ausnet]:[United Energy]],MATCH("Off peak",OP_TotalRates_RES_2[Rate name],0),MATCH(H$24,OP_TotalRates_RES_2[[#Headers],[Ausnet]:[United Energy]],0))*
INDEX(Input_Usage[],MATCH($D25&amp;" - Off peak",Input_Usage[Profile name]&amp;" - "&amp;Input_Usage[Usage type],0),MATCH($D$21,Inputs!$C$147:$BA$147,0))),0),0,1))</f>
        <v>0</v>
      </c>
      <c r="I29" s="67" cm="1">
        <f t="array" ref="I29">IF($D$21="VDO 2021 - Final",
IF(I25=
ROUNDUP(
(INDEX(OP_TotalRates_RES_2[[Ausnet]:[United Energy]],MATCH("Anytime - supply",OP_TotalRates_RES_2[Rate name],0),MATCH(I$24,OP_TotalRates_RES_2[[#Headers],[Ausnet]:[United Energy]],0))*DiPY)+
(IFERROR((INDEX(OP_TotalRates_RES_2[[Ausnet]:[United Energy]],MATCH("Block 1",OP_TotalRates_RES_2[Rate name],0),MATCH(I$24,OP_TotalRates_RES_2[[#Headers],[Ausnet]:[United Energy]],0))*
INDEX(Input_Usage[],MATCH($D25&amp;" - Block 1",Input_Usage[Ref],0),MATCH($D$21,Inputs!$C$147:$BA$147,0))),0)+
IFERROR((INDEX(OP_TotalRates_RES_2[[Ausnet]:[United Energy]],MATCH("Balance",OP_TotalRates_RES_2[Rate name],0),MATCH(I$24,OP_TotalRates_RES_2[[#Headers],[Ausnet]:[United Energy]],0))*
INDEX(Input_Usage[],MATCH($D25&amp;" - Balance",Input_Usage[Ref],0),MATCH($D$21,Inputs!$C$147:$BA$147,0))),0)+
IFERROR((INDEX(OP_TotalRates_RES_2[[Ausnet]:[United Energy]],MATCH("Single rate",OP_TotalRates_RES_2[Rate name],0),MATCH(I$24,OP_TotalRates_RES_2[[#Headers],[Ausnet]:[United Energy]],0))*
INDEX(Input_Usage[],MATCH($D25&amp;" - Annual",Input_Usage[Ref],0),MATCH($D$21,Inputs!$C$147:$BA$147,0))),0)),0),0,1),
IF(I25=
ROUNDUP(
(INDEX(OP_TotalRates_RES_2[[Ausnet]:[United Energy]],MATCH("TOU - supply",OP_TotalRates_RES_2[Rate name],0),MATCH(I$24,OP_TotalRates_RES_2[[#Headers],[Ausnet]:[United Energy]],0))*DiPY)+
(INDEX(OP_TotalRates_RES_2[[Ausnet]:[United Energy]],MATCH("Peak",OP_TotalRates_RES_2[Rate name],0),MATCH(I$24,OP_TotalRates_RES_2[[#Headers],[Ausnet]:[United Energy]],0))*
INDEX(Input_Usage[],MATCH($D25&amp;" - Peak",Input_Usage[Profile name]&amp;" - "&amp;Input_Usage[Usage type],0),MATCH($D$21,Inputs!$C$147:$BA$147,0)))+
IFERROR((INDEX(OP_TotalRates_RES_2[[Ausnet]:[United Energy]],MATCH("TOU - Shoulder",OP_TotalRates_RES_2[Rate name],0),MATCH(I$24,OP_TotalRates_RES_2[[#Headers],[Ausnet]:[United Energy]],0))*
INDEX(Input_Usage[],MATCH($D25&amp;" - Shoulder",Input_Usage[Profile name]&amp;" - "&amp;Input_Usage[Usage type],0),MATCH($D$21,Inputs!$C$147:$BA$147,0))),0)+
(INDEX(OP_TotalRates_RES_2[[Ausnet]:[United Energy]],MATCH("Off peak",OP_TotalRates_RES_2[Rate name],0),MATCH(I$24,OP_TotalRates_RES_2[[#Headers],[Ausnet]:[United Energy]],0))*
INDEX(Input_Usage[],MATCH($D25&amp;" - Off peak",Input_Usage[Profile name]&amp;" - "&amp;Input_Usage[Usage type],0),MATCH($D$21,Inputs!$C$147:$BA$147,0))),0),0,1))</f>
        <v>0</v>
      </c>
      <c r="M29" s="67" cm="1">
        <f t="array" ref="M29">IF($D$21="VDO 2021 - Final",
IF(M25=
ROUNDUP(
(INDEX(OP_TotalRates_SME_2[[Ausnet]:[United Energy]],MATCH("Anytime - supply",OP_TotalRates_SME_2[Rate name],0),MATCH(M$24,OP_TotalRates_SME_2[[#Headers],[Ausnet]:[United Energy]],0))*DiPY)+
(IFERROR((INDEX(OP_TotalRates_SME_2[[Ausnet]:[United Energy]],MATCH("Block 1",OP_TotalRates_SME_2[Rate name],0),MATCH(M$24,OP_TotalRates_SME_2[[#Headers],[Ausnet]:[United Energy]],0))*
INDEX(Input_Usage[],MATCH($L25&amp;" - Block 1",Input_Usage[Profile name]&amp;" - "&amp;Input_Usage[Usage type],0),MATCH($D$21,Inputs!$C$147:$BA$147,0))),0)+
IFERROR((INDEX(OP_TotalRates_SME_2[[Ausnet]:[United Energy]],MATCH("Balance",OP_TotalRates_SME_2[Rate name],0),MATCH(M$24,OP_TotalRates_SME_2[[#Headers],[Ausnet]:[United Energy]],0))*
INDEX(Input_Usage[],MATCH($L25&amp;" - Balance",Input_Usage[Profile name]&amp;" - "&amp;Input_Usage[Usage type],0),MATCH($D$21,Inputs!$C$147:$BA$147,0))),0)+
IFERROR((INDEX(OP_TotalRates_SME_2[[Ausnet]:[United Energy]],MATCH("Single rate",OP_TotalRates_SME_2[Rate name],0),MATCH(M$24,OP_TotalRates_SME_2[[#Headers],[Ausnet]:[United Energy]],0))*
INDEX(Input_Usage[],MATCH($L25&amp;" - Annual",Input_Usage[Profile name]&amp;" - "&amp;Input_Usage[Usage type],0),MATCH($D$21,Inputs!$C$147:$BA$147,0))),0)),0),0,1),
IF(M25=
ROUNDUP(
(INDEX(OP_TotalRates_SME_2[[Ausnet]:[United Energy]],MATCH("TOU - supply",OP_TotalRates_SME_2[Rate name],0),MATCH(M$24,OP_TotalRates_SME_2[[#Headers],[Ausnet]:[United Energy]],0))*DiPY)+
(INDEX(OP_TotalRates_SME_2[[Ausnet]:[United Energy]],MATCH("Peak",OP_TotalRates_SME_2[Rate name],0),MATCH(M$24,OP_TotalRates_SME_2[[#Headers],[Ausnet]:[United Energy]],0))*
INDEX(Input_Usage[],MATCH($L25&amp;" - Peak",Input_Usage[Profile name]&amp;" - "&amp;Input_Usage[Usage type],0),MATCH($D$21,Inputs!$C$147:$BA$147,0)))+
IFERROR((INDEX(OP_TotalRates_SME_2[[Ausnet]:[United Energy]],MATCH("TOU - Shoulder",OP_TotalRates_SME_2[Rate name],0),MATCH(M$24,OP_TotalRates_SME_2[[#Headers],[Ausnet]:[United Energy]],0))*
INDEX(Input_Usage[],MATCH($L25&amp;" - Shoulder",Input_Usage[Profile name]&amp;" - "&amp;Input_Usage[Usage type],0),MATCH($D$21,Inputs!$C$147:$BA$147,0))),0)+
(INDEX(OP_TotalRates_SME_2[[Ausnet]:[United Energy]],MATCH("Off peak",OP_TotalRates_SME_2[Rate name],0),MATCH(M$24,OP_TotalRates_SME_2[[#Headers],[Ausnet]:[United Energy]],0))*
INDEX(Input_Usage[],MATCH($L25&amp;" - Off peak",Input_Usage[Profile name]&amp;" - "&amp;Input_Usage[Usage type],0),MATCH($D$21,Inputs!$C$147:$BA$147,0))),0),0,1))</f>
        <v>0</v>
      </c>
      <c r="N29" s="67" cm="1">
        <f t="array" ref="N29">IF($D$21="VDO 2021 - Final",
IF(N25=
ROUNDUP(
(INDEX(OP_TotalRates_SME_2[[Ausnet]:[United Energy]],MATCH("Anytime - supply",OP_TotalRates_SME_2[Rate name],0),MATCH(N$24,OP_TotalRates_SME_2[[#Headers],[Ausnet]:[United Energy]],0))*DiPY)+
(IFERROR((INDEX(OP_TotalRates_SME_2[[Ausnet]:[United Energy]],MATCH("Block 1",OP_TotalRates_SME_2[Rate name],0),MATCH(N$24,OP_TotalRates_SME_2[[#Headers],[Ausnet]:[United Energy]],0))*
INDEX(Input_Usage[],MATCH($L25&amp;" - Block 1",Input_Usage[Profile name]&amp;" - "&amp;Input_Usage[Usage type],0),MATCH($D$21,Inputs!$C$147:$BA$147,0))),0)+
IFERROR((INDEX(OP_TotalRates_SME_2[[Ausnet]:[United Energy]],MATCH("Balance",OP_TotalRates_SME_2[Rate name],0),MATCH(N$24,OP_TotalRates_SME_2[[#Headers],[Ausnet]:[United Energy]],0))*
INDEX(Input_Usage[],MATCH($L25&amp;" - Balance",Input_Usage[Profile name]&amp;" - "&amp;Input_Usage[Usage type],0),MATCH($D$21,Inputs!$C$147:$BA$147,0))),0)+
IFERROR((INDEX(OP_TotalRates_SME_2[[Ausnet]:[United Energy]],MATCH("Single rate",OP_TotalRates_SME_2[Rate name],0),MATCH(N$24,OP_TotalRates_SME_2[[#Headers],[Ausnet]:[United Energy]],0))*
INDEX(Input_Usage[],MATCH($L25&amp;" - Annual",Input_Usage[Profile name]&amp;" - "&amp;Input_Usage[Usage type],0),MATCH($D$21,Inputs!$C$147:$BA$147,0))),0)),0),0,1),
IF(N25=
ROUNDUP(
(INDEX(OP_TotalRates_SME_2[[Ausnet]:[United Energy]],MATCH("TOU - supply",OP_TotalRates_SME_2[Rate name],0),MATCH(N$24,OP_TotalRates_SME_2[[#Headers],[Ausnet]:[United Energy]],0))*DiPY)+
(INDEX(OP_TotalRates_SME_2[[Ausnet]:[United Energy]],MATCH("Peak",OP_TotalRates_SME_2[Rate name],0),MATCH(N$24,OP_TotalRates_SME_2[[#Headers],[Ausnet]:[United Energy]],0))*
INDEX(Input_Usage[],MATCH($L25&amp;" - Peak",Input_Usage[Profile name]&amp;" - "&amp;Input_Usage[Usage type],0),MATCH($D$21,Inputs!$C$147:$BA$147,0)))+
IFERROR((INDEX(OP_TotalRates_SME_2[[Ausnet]:[United Energy]],MATCH("TOU - Shoulder",OP_TotalRates_SME_2[Rate name],0),MATCH(N$24,OP_TotalRates_SME_2[[#Headers],[Ausnet]:[United Energy]],0))*
INDEX(Input_Usage[],MATCH($L25&amp;" - Shoulder",Input_Usage[Profile name]&amp;" - "&amp;Input_Usage[Usage type],0),MATCH($D$21,Inputs!$C$147:$BA$147,0))),0)+
(INDEX(OP_TotalRates_SME_2[[Ausnet]:[United Energy]],MATCH("Off peak",OP_TotalRates_SME_2[Rate name],0),MATCH(N$24,OP_TotalRates_SME_2[[#Headers],[Ausnet]:[United Energy]],0))*
INDEX(Input_Usage[],MATCH($L25&amp;" - Off peak",Input_Usage[Profile name]&amp;" - "&amp;Input_Usage[Usage type],0),MATCH($D$21,Inputs!$C$147:$BA$147,0))),0),0,1))</f>
        <v>0</v>
      </c>
      <c r="O29" s="67" cm="1">
        <f t="array" ref="O29">IF($D$21="VDO 2021 - Final",
IF(O25=
ROUNDUP(
(INDEX(OP_TotalRates_SME_2[[Ausnet]:[United Energy]],MATCH("Anytime - supply",OP_TotalRates_SME_2[Rate name],0),MATCH(O$24,OP_TotalRates_SME_2[[#Headers],[Ausnet]:[United Energy]],0))*DiPY)+
(IFERROR((INDEX(OP_TotalRates_SME_2[[Ausnet]:[United Energy]],MATCH("Block 1",OP_TotalRates_SME_2[Rate name],0),MATCH(O$24,OP_TotalRates_SME_2[[#Headers],[Ausnet]:[United Energy]],0))*
INDEX(Input_Usage[],MATCH($L25&amp;" - Block 1",Input_Usage[Profile name]&amp;" - "&amp;Input_Usage[Usage type],0),MATCH($D$21,Inputs!$C$147:$BA$147,0))),0)+
IFERROR((INDEX(OP_TotalRates_SME_2[[Ausnet]:[United Energy]],MATCH("Balance",OP_TotalRates_SME_2[Rate name],0),MATCH(O$24,OP_TotalRates_SME_2[[#Headers],[Ausnet]:[United Energy]],0))*
INDEX(Input_Usage[],MATCH($L25&amp;" - Balance",Input_Usage[Profile name]&amp;" - "&amp;Input_Usage[Usage type],0),MATCH($D$21,Inputs!$C$147:$BA$147,0))),0)+
IFERROR((INDEX(OP_TotalRates_SME_2[[Ausnet]:[United Energy]],MATCH("Single rate",OP_TotalRates_SME_2[Rate name],0),MATCH(O$24,OP_TotalRates_SME_2[[#Headers],[Ausnet]:[United Energy]],0))*
INDEX(Input_Usage[],MATCH($L25&amp;" - Annual",Input_Usage[Profile name]&amp;" - "&amp;Input_Usage[Usage type],0),MATCH($D$21,Inputs!$C$147:$BA$147,0))),0)),0),0,1),
IF(O25=
ROUNDUP(
(INDEX(OP_TotalRates_SME_2[[Ausnet]:[United Energy]],MATCH("TOU - supply",OP_TotalRates_SME_2[Rate name],0),MATCH(O$24,OP_TotalRates_SME_2[[#Headers],[Ausnet]:[United Energy]],0))*DiPY)+
(INDEX(OP_TotalRates_SME_2[[Ausnet]:[United Energy]],MATCH("Peak",OP_TotalRates_SME_2[Rate name],0),MATCH(O$24,OP_TotalRates_SME_2[[#Headers],[Ausnet]:[United Energy]],0))*
INDEX(Input_Usage[],MATCH($L25&amp;" - Peak",Input_Usage[Profile name]&amp;" - "&amp;Input_Usage[Usage type],0),MATCH($D$21,Inputs!$C$147:$BA$147,0)))+
IFERROR((INDEX(OP_TotalRates_SME_2[[Ausnet]:[United Energy]],MATCH("TOU - Shoulder",OP_TotalRates_SME_2[Rate name],0),MATCH(O$24,OP_TotalRates_SME_2[[#Headers],[Ausnet]:[United Energy]],0))*
INDEX(Input_Usage[],MATCH($L25&amp;" - Shoulder",Input_Usage[Profile name]&amp;" - "&amp;Input_Usage[Usage type],0),MATCH($D$21,Inputs!$C$147:$BA$147,0))),0)+
(INDEX(OP_TotalRates_SME_2[[Ausnet]:[United Energy]],MATCH("Off peak",OP_TotalRates_SME_2[Rate name],0),MATCH(O$24,OP_TotalRates_SME_2[[#Headers],[Ausnet]:[United Energy]],0))*
INDEX(Input_Usage[],MATCH($L25&amp;" - Off peak",Input_Usage[Profile name]&amp;" - "&amp;Input_Usage[Usage type],0),MATCH($D$21,Inputs!$C$147:$BA$147,0))),0),0,1))</f>
        <v>0</v>
      </c>
      <c r="P29" s="67" cm="1">
        <f t="array" ref="P29">IF($D$21="VDO 2021 - Final",
IF(P25=
ROUNDUP(
(INDEX(OP_TotalRates_SME_2[[Ausnet]:[United Energy]],MATCH("Anytime - supply",OP_TotalRates_SME_2[Rate name],0),MATCH(P$24,OP_TotalRates_SME_2[[#Headers],[Ausnet]:[United Energy]],0))*DiPY)+
(IFERROR((INDEX(OP_TotalRates_SME_2[[Ausnet]:[United Energy]],MATCH("Block 1",OP_TotalRates_SME_2[Rate name],0),MATCH(P$24,OP_TotalRates_SME_2[[#Headers],[Ausnet]:[United Energy]],0))*
INDEX(Input_Usage[],MATCH($L25&amp;" - Block 1",Input_Usage[Profile name]&amp;" - "&amp;Input_Usage[Usage type],0),MATCH($D$21,Inputs!$C$147:$BA$147,0))),0)+
IFERROR((INDEX(OP_TotalRates_SME_2[[Ausnet]:[United Energy]],MATCH("Balance",OP_TotalRates_SME_2[Rate name],0),MATCH(P$24,OP_TotalRates_SME_2[[#Headers],[Ausnet]:[United Energy]],0))*
INDEX(Input_Usage[],MATCH($L25&amp;" - Balance",Input_Usage[Profile name]&amp;" - "&amp;Input_Usage[Usage type],0),MATCH($D$21,Inputs!$C$147:$BA$147,0))),0)+
IFERROR((INDEX(OP_TotalRates_SME_2[[Ausnet]:[United Energy]],MATCH("Single rate",OP_TotalRates_SME_2[Rate name],0),MATCH(P$24,OP_TotalRates_SME_2[[#Headers],[Ausnet]:[United Energy]],0))*
INDEX(Input_Usage[],MATCH($L25&amp;" - Annual",Input_Usage[Profile name]&amp;" - "&amp;Input_Usage[Usage type],0),MATCH($D$21,Inputs!$C$147:$BA$147,0))),0)),0),0,1),
IF(P25=
ROUNDUP(
(INDEX(OP_TotalRates_SME_2[[Ausnet]:[United Energy]],MATCH("TOU - supply",OP_TotalRates_SME_2[Rate name],0),MATCH(P$24,OP_TotalRates_SME_2[[#Headers],[Ausnet]:[United Energy]],0))*DiPY)+
(INDEX(OP_TotalRates_SME_2[[Ausnet]:[United Energy]],MATCH("Peak",OP_TotalRates_SME_2[Rate name],0),MATCH(P$24,OP_TotalRates_SME_2[[#Headers],[Ausnet]:[United Energy]],0))*
INDEX(Input_Usage[],MATCH($L25&amp;" - Peak",Input_Usage[Profile name]&amp;" - "&amp;Input_Usage[Usage type],0),MATCH($D$21,Inputs!$C$147:$BA$147,0)))+
IFERROR((INDEX(OP_TotalRates_SME_2[[Ausnet]:[United Energy]],MATCH("TOU - Shoulder",OP_TotalRates_SME_2[Rate name],0),MATCH(P$24,OP_TotalRates_SME_2[[#Headers],[Ausnet]:[United Energy]],0))*
INDEX(Input_Usage[],MATCH($L25&amp;" - Shoulder",Input_Usage[Profile name]&amp;" - "&amp;Input_Usage[Usage type],0),MATCH($D$21,Inputs!$C$147:$BA$147,0))),0)+
(INDEX(OP_TotalRates_SME_2[[Ausnet]:[United Energy]],MATCH("Off peak",OP_TotalRates_SME_2[Rate name],0),MATCH(P$24,OP_TotalRates_SME_2[[#Headers],[Ausnet]:[United Energy]],0))*
INDEX(Input_Usage[],MATCH($L25&amp;" - Off peak",Input_Usage[Profile name]&amp;" - "&amp;Input_Usage[Usage type],0),MATCH($D$21,Inputs!$C$147:$BA$147,0))),0),0,1))</f>
        <v>0</v>
      </c>
      <c r="Q29" s="67" cm="1">
        <f t="array" ref="Q29">IF($D$21="VDO 2021 - Final",
IF(Q25=
ROUNDUP(
(INDEX(OP_TotalRates_SME_2[[Ausnet]:[United Energy]],MATCH("Anytime - supply",OP_TotalRates_SME_2[Rate name],0),MATCH(Q$24,OP_TotalRates_SME_2[[#Headers],[Ausnet]:[United Energy]],0))*DiPY)+
(IFERROR((INDEX(OP_TotalRates_SME_2[[Ausnet]:[United Energy]],MATCH("Block 1",OP_TotalRates_SME_2[Rate name],0),MATCH(Q$24,OP_TotalRates_SME_2[[#Headers],[Ausnet]:[United Energy]],0))*
INDEX(Input_Usage[],MATCH($L25&amp;" - Block 1",Input_Usage[Profile name]&amp;" - "&amp;Input_Usage[Usage type],0),MATCH($D$21,Inputs!$C$147:$BA$147,0))),0)+
IFERROR((INDEX(OP_TotalRates_SME_2[[Ausnet]:[United Energy]],MATCH("Balance",OP_TotalRates_SME_2[Rate name],0),MATCH(Q$24,OP_TotalRates_SME_2[[#Headers],[Ausnet]:[United Energy]],0))*
INDEX(Input_Usage[],MATCH($L25&amp;" - Balance",Input_Usage[Profile name]&amp;" - "&amp;Input_Usage[Usage type],0),MATCH($D$21,Inputs!$C$147:$BA$147,0))),0)+
IFERROR((INDEX(OP_TotalRates_SME_2[[Ausnet]:[United Energy]],MATCH("Single rate",OP_TotalRates_SME_2[Rate name],0),MATCH(Q$24,OP_TotalRates_SME_2[[#Headers],[Ausnet]:[United Energy]],0))*
INDEX(Input_Usage[],MATCH($L25&amp;" - Annual",Input_Usage[Profile name]&amp;" - "&amp;Input_Usage[Usage type],0),MATCH($D$21,Inputs!$C$147:$BA$147,0))),0)),0),0,1),
IF(Q25=
ROUNDUP(
(INDEX(OP_TotalRates_SME_2[[Ausnet]:[United Energy]],MATCH("TOU - supply",OP_TotalRates_SME_2[Rate name],0),MATCH(Q$24,OP_TotalRates_SME_2[[#Headers],[Ausnet]:[United Energy]],0))*DiPY)+
(INDEX(OP_TotalRates_SME_2[[Ausnet]:[United Energy]],MATCH("Peak",OP_TotalRates_SME_2[Rate name],0),MATCH(Q$24,OP_TotalRates_SME_2[[#Headers],[Ausnet]:[United Energy]],0))*
INDEX(Input_Usage[],MATCH($L25&amp;" - Peak",Input_Usage[Profile name]&amp;" - "&amp;Input_Usage[Usage type],0),MATCH($D$21,Inputs!$C$147:$BA$147,0)))+
IFERROR((INDEX(OP_TotalRates_SME_2[[Ausnet]:[United Energy]],MATCH("TOU - Shoulder",OP_TotalRates_SME_2[Rate name],0),MATCH(Q$24,OP_TotalRates_SME_2[[#Headers],[Ausnet]:[United Energy]],0))*
INDEX(Input_Usage[],MATCH($L25&amp;" - Shoulder",Input_Usage[Profile name]&amp;" - "&amp;Input_Usage[Usage type],0),MATCH($D$21,Inputs!$C$147:$BA$147,0))),0)+
(INDEX(OP_TotalRates_SME_2[[Ausnet]:[United Energy]],MATCH("Off peak",OP_TotalRates_SME_2[Rate name],0),MATCH(Q$24,OP_TotalRates_SME_2[[#Headers],[Ausnet]:[United Energy]],0))*
INDEX(Input_Usage[],MATCH($L25&amp;" - Off peak",Input_Usage[Profile name]&amp;" - "&amp;Input_Usage[Usage type],0),MATCH($D$21,Inputs!$C$147:$BA$147,0))),0),0,1))</f>
        <v>0</v>
      </c>
    </row>
    <row r="30" spans="1:18" ht="15.75" hidden="1" x14ac:dyDescent="0.25">
      <c r="E30" s="67" cm="1">
        <f t="array" ref="E30">IF($D$21="VDO 2021 - Final",
IF(E26=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INDEX(Input_Usage[],MATCH($D26&amp;" - Block 1",Input_Usage[Ref],0),MATCH($D$21,Inputs!$C$147:$BA$147,0))),0)+
IFERROR((INDEX(OP_TotalRates_RES_2[[Ausnet]:[United Energy]],MATCH("Balance",OP_TotalRates_RES_2[Rate name],0),MATCH(E$24,OP_TotalRates_RES_2[[#Headers],[Ausnet]:[United Energy]],0))*
INDEX(Input_Usage[],MATCH($D26&amp;" - Balance",Input_Usage[Ref],0),MATCH($D$21,Inputs!$C$147:$BA$147,0))),0)+
IFERROR((INDEX(OP_TotalRates_RES_2[[Ausnet]:[United Energy]],MATCH("Single rate",OP_TotalRates_RES_2[Rate name],0),MATCH(E$24,OP_TotalRates_RES_2[[#Headers],[Ausnet]:[United Energy]],0))*
INDEX(Input_Usage[],MATCH($D26&amp;" - Annual",Input_Usage[Ref],0),MATCH($D$21,Inputs!$C$147:$BA$147,0))),0)),0),0,1),
IF(E26=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INDEX(Input_Usage[],MATCH($D26&amp;" - Peak",Input_Usage[Profile name]&amp;" - "&amp;Input_Usage[Usage type],0),MATCH($D$21,Inputs!$C$147:$BA$147,0)))+
IFERROR((INDEX(OP_TotalRates_RES_2[[Ausnet]:[United Energy]],MATCH("TOU - Shoulder",OP_TotalRates_RES_2[Rate name],0),MATCH(E$24,OP_TotalRates_RES_2[[#Headers],[Ausnet]:[United Energy]],0))*
INDEX(Input_Usage[],MATCH($D26&amp;" - Shoulder",Input_Usage[Profile name]&amp;" - "&amp;Input_Usage[Usage type],0),MATCH($D$21,Inputs!$C$147:$BA$147,0))),0)+
(INDEX(OP_TotalRates_RES_2[[Ausnet]:[United Energy]],MATCH("Off peak",OP_TotalRates_RES_2[Rate name],0),MATCH(E$24,OP_TotalRates_RES_2[[#Headers],[Ausnet]:[United Energy]],0))*
INDEX(Input_Usage[],MATCH($D26&amp;" - Off peak",Input_Usage[Profile name]&amp;" - "&amp;Input_Usage[Usage type],0),MATCH($D$21,Inputs!$C$147:$BA$147,0))),0),0,1))</f>
        <v>0</v>
      </c>
      <c r="F30" s="67" cm="1">
        <f t="array" ref="F30">IF($D$21="VDO 2021 - Final",
IF(F26=
ROUNDUP(
(INDEX(OP_TotalRates_RES_2[[Ausnet]:[United Energy]],MATCH("Anytime - supply",OP_TotalRates_RES_2[Rate name],0),MATCH(F$24,OP_TotalRates_RES_2[[#Headers],[Ausnet]:[United Energy]],0))*DiPY)+
(IFERROR((INDEX(OP_TotalRates_RES_2[[Ausnet]:[United Energy]],MATCH("Block 1",OP_TotalRates_RES_2[Rate name],0),MATCH(F$24,OP_TotalRates_RES_2[[#Headers],[Ausnet]:[United Energy]],0))*
INDEX(Input_Usage[],MATCH($D26&amp;" - Block 1",Input_Usage[Ref],0),MATCH($D$21,Inputs!$C$147:$BA$147,0))),0)+
IFERROR((INDEX(OP_TotalRates_RES_2[[Ausnet]:[United Energy]],MATCH("Balance",OP_TotalRates_RES_2[Rate name],0),MATCH(F$24,OP_TotalRates_RES_2[[#Headers],[Ausnet]:[United Energy]],0))*
INDEX(Input_Usage[],MATCH($D26&amp;" - Balance",Input_Usage[Ref],0),MATCH($D$21,Inputs!$C$147:$BA$147,0))),0)+
IFERROR((INDEX(OP_TotalRates_RES_2[[Ausnet]:[United Energy]],MATCH("Single rate",OP_TotalRates_RES_2[Rate name],0),MATCH(F$24,OP_TotalRates_RES_2[[#Headers],[Ausnet]:[United Energy]],0))*
INDEX(Input_Usage[],MATCH($D26&amp;" - Annual",Input_Usage[Ref],0),MATCH($D$21,Inputs!$C$147:$BA$147,0))),0)),0),0,1),
IF(F26=
ROUNDUP(
(INDEX(OP_TotalRates_RES_2[[Ausnet]:[United Energy]],MATCH("TOU - supply",OP_TotalRates_RES_2[Rate name],0),MATCH(F$24,OP_TotalRates_RES_2[[#Headers],[Ausnet]:[United Energy]],0))*DiPY)+
(INDEX(OP_TotalRates_RES_2[[Ausnet]:[United Energy]],MATCH("Peak",OP_TotalRates_RES_2[Rate name],0),MATCH(F$24,OP_TotalRates_RES_2[[#Headers],[Ausnet]:[United Energy]],0))*
INDEX(Input_Usage[],MATCH($D26&amp;" - Peak",Input_Usage[Profile name]&amp;" - "&amp;Input_Usage[Usage type],0),MATCH($D$21,Inputs!$C$147:$BA$147,0)))+
IFERROR((INDEX(OP_TotalRates_RES_2[[Ausnet]:[United Energy]],MATCH("TOU - Shoulder",OP_TotalRates_RES_2[Rate name],0),MATCH(F$24,OP_TotalRates_RES_2[[#Headers],[Ausnet]:[United Energy]],0))*
INDEX(Input_Usage[],MATCH($D26&amp;" - Shoulder",Input_Usage[Profile name]&amp;" - "&amp;Input_Usage[Usage type],0),MATCH($D$21,Inputs!$C$147:$BA$147,0))),0)+
(INDEX(OP_TotalRates_RES_2[[Ausnet]:[United Energy]],MATCH("Off peak",OP_TotalRates_RES_2[Rate name],0),MATCH(F$24,OP_TotalRates_RES_2[[#Headers],[Ausnet]:[United Energy]],0))*
INDEX(Input_Usage[],MATCH($D26&amp;" - Off peak",Input_Usage[Profile name]&amp;" - "&amp;Input_Usage[Usage type],0),MATCH($D$21,Inputs!$C$147:$BA$147,0))),0),0,1))</f>
        <v>0</v>
      </c>
      <c r="G30" s="67" cm="1">
        <f t="array" ref="G30">IF($D$21="VDO 2021 - Final",
IF(G26=
ROUNDUP(
(INDEX(OP_TotalRates_RES_2[[Ausnet]:[United Energy]],MATCH("Anytime - supply",OP_TotalRates_RES_2[Rate name],0),MATCH(G$24,OP_TotalRates_RES_2[[#Headers],[Ausnet]:[United Energy]],0))*DiPY)+
(IFERROR((INDEX(OP_TotalRates_RES_2[[Ausnet]:[United Energy]],MATCH("Block 1",OP_TotalRates_RES_2[Rate name],0),MATCH(G$24,OP_TotalRates_RES_2[[#Headers],[Ausnet]:[United Energy]],0))*
INDEX(Input_Usage[],MATCH($D26&amp;" - Block 1",Input_Usage[Ref],0),MATCH($D$21,Inputs!$C$147:$BA$147,0))),0)+
IFERROR((INDEX(OP_TotalRates_RES_2[[Ausnet]:[United Energy]],MATCH("Balance",OP_TotalRates_RES_2[Rate name],0),MATCH(G$24,OP_TotalRates_RES_2[[#Headers],[Ausnet]:[United Energy]],0))*
INDEX(Input_Usage[],MATCH($D26&amp;" - Balance",Input_Usage[Ref],0),MATCH($D$21,Inputs!$C$147:$BA$147,0))),0)+
IFERROR((INDEX(OP_TotalRates_RES_2[[Ausnet]:[United Energy]],MATCH("Single rate",OP_TotalRates_RES_2[Rate name],0),MATCH(G$24,OP_TotalRates_RES_2[[#Headers],[Ausnet]:[United Energy]],0))*
INDEX(Input_Usage[],MATCH($D26&amp;" - Annual",Input_Usage[Ref],0),MATCH($D$21,Inputs!$C$147:$BA$147,0))),0)),0),0,1),
IF(G26=
ROUNDUP(
(INDEX(OP_TotalRates_RES_2[[Ausnet]:[United Energy]],MATCH("TOU - supply",OP_TotalRates_RES_2[Rate name],0),MATCH(G$24,OP_TotalRates_RES_2[[#Headers],[Ausnet]:[United Energy]],0))*DiPY)+
(INDEX(OP_TotalRates_RES_2[[Ausnet]:[United Energy]],MATCH("Peak",OP_TotalRates_RES_2[Rate name],0),MATCH(G$24,OP_TotalRates_RES_2[[#Headers],[Ausnet]:[United Energy]],0))*
INDEX(Input_Usage[],MATCH($D26&amp;" - Peak",Input_Usage[Profile name]&amp;" - "&amp;Input_Usage[Usage type],0),MATCH($D$21,Inputs!$C$147:$BA$147,0)))+
IFERROR((INDEX(OP_TotalRates_RES_2[[Ausnet]:[United Energy]],MATCH("TOU - Shoulder",OP_TotalRates_RES_2[Rate name],0),MATCH(G$24,OP_TotalRates_RES_2[[#Headers],[Ausnet]:[United Energy]],0))*
INDEX(Input_Usage[],MATCH($D26&amp;" - Shoulder",Input_Usage[Profile name]&amp;" - "&amp;Input_Usage[Usage type],0),MATCH($D$21,Inputs!$C$147:$BA$147,0))),0)+
(INDEX(OP_TotalRates_RES_2[[Ausnet]:[United Energy]],MATCH("Off peak",OP_TotalRates_RES_2[Rate name],0),MATCH(G$24,OP_TotalRates_RES_2[[#Headers],[Ausnet]:[United Energy]],0))*
INDEX(Input_Usage[],MATCH($D26&amp;" - Off peak",Input_Usage[Profile name]&amp;" - "&amp;Input_Usage[Usage type],0),MATCH($D$21,Inputs!$C$147:$BA$147,0))),0),0,1))</f>
        <v>0</v>
      </c>
      <c r="H30" s="67" cm="1">
        <f t="array" ref="H30">IF($D$21="VDO 2021 - Final",
IF(H26=
ROUNDUP(
(INDEX(OP_TotalRates_RES_2[[Ausnet]:[United Energy]],MATCH("Anytime - supply",OP_TotalRates_RES_2[Rate name],0),MATCH(H$24,OP_TotalRates_RES_2[[#Headers],[Ausnet]:[United Energy]],0))*DiPY)+
(IFERROR((INDEX(OP_TotalRates_RES_2[[Ausnet]:[United Energy]],MATCH("Block 1",OP_TotalRates_RES_2[Rate name],0),MATCH(H$24,OP_TotalRates_RES_2[[#Headers],[Ausnet]:[United Energy]],0))*
INDEX(Input_Usage[],MATCH($D26&amp;" - Block 1",Input_Usage[Ref],0),MATCH($D$21,Inputs!$C$147:$BA$147,0))),0)+
IFERROR((INDEX(OP_TotalRates_RES_2[[Ausnet]:[United Energy]],MATCH("Balance",OP_TotalRates_RES_2[Rate name],0),MATCH(H$24,OP_TotalRates_RES_2[[#Headers],[Ausnet]:[United Energy]],0))*
INDEX(Input_Usage[],MATCH($D26&amp;" - Balance",Input_Usage[Ref],0),MATCH($D$21,Inputs!$C$147:$BA$147,0))),0)+
IFERROR((INDEX(OP_TotalRates_RES_2[[Ausnet]:[United Energy]],MATCH("Single rate",OP_TotalRates_RES_2[Rate name],0),MATCH(H$24,OP_TotalRates_RES_2[[#Headers],[Ausnet]:[United Energy]],0))*
INDEX(Input_Usage[],MATCH($D26&amp;" - Annual",Input_Usage[Ref],0),MATCH($D$21,Inputs!$C$147:$BA$147,0))),0)),0),0,1),
IF(H26=
ROUNDUP(
(INDEX(OP_TotalRates_RES_2[[Ausnet]:[United Energy]],MATCH("TOU - supply",OP_TotalRates_RES_2[Rate name],0),MATCH(H$24,OP_TotalRates_RES_2[[#Headers],[Ausnet]:[United Energy]],0))*DiPY)+
(INDEX(OP_TotalRates_RES_2[[Ausnet]:[United Energy]],MATCH("Peak",OP_TotalRates_RES_2[Rate name],0),MATCH(H$24,OP_TotalRates_RES_2[[#Headers],[Ausnet]:[United Energy]],0))*
INDEX(Input_Usage[],MATCH($D26&amp;" - Peak",Input_Usage[Profile name]&amp;" - "&amp;Input_Usage[Usage type],0),MATCH($D$21,Inputs!$C$147:$BA$147,0)))+
IFERROR((INDEX(OP_TotalRates_RES_2[[Ausnet]:[United Energy]],MATCH("TOU - Shoulder",OP_TotalRates_RES_2[Rate name],0),MATCH(H$24,OP_TotalRates_RES_2[[#Headers],[Ausnet]:[United Energy]],0))*
INDEX(Input_Usage[],MATCH($D26&amp;" - Shoulder",Input_Usage[Profile name]&amp;" - "&amp;Input_Usage[Usage type],0),MATCH($D$21,Inputs!$C$147:$BA$147,0))),0)+
(INDEX(OP_TotalRates_RES_2[[Ausnet]:[United Energy]],MATCH("Off peak",OP_TotalRates_RES_2[Rate name],0),MATCH(H$24,OP_TotalRates_RES_2[[#Headers],[Ausnet]:[United Energy]],0))*
INDEX(Input_Usage[],MATCH($D26&amp;" - Off peak",Input_Usage[Profile name]&amp;" - "&amp;Input_Usage[Usage type],0),MATCH($D$21,Inputs!$C$147:$BA$147,0))),0),0,1))</f>
        <v>0</v>
      </c>
      <c r="I30" s="67" cm="1">
        <f t="array" ref="I30">IF($D$21="VDO 2021 - Final",
IF(I26=
ROUNDUP(
(INDEX(OP_TotalRates_RES_2[[Ausnet]:[United Energy]],MATCH("Anytime - supply",OP_TotalRates_RES_2[Rate name],0),MATCH(I$24,OP_TotalRates_RES_2[[#Headers],[Ausnet]:[United Energy]],0))*DiPY)+
(IFERROR((INDEX(OP_TotalRates_RES_2[[Ausnet]:[United Energy]],MATCH("Block 1",OP_TotalRates_RES_2[Rate name],0),MATCH(I$24,OP_TotalRates_RES_2[[#Headers],[Ausnet]:[United Energy]],0))*
INDEX(Input_Usage[],MATCH($D26&amp;" - Block 1",Input_Usage[Ref],0),MATCH($D$21,Inputs!$C$147:$BA$147,0))),0)+
IFERROR((INDEX(OP_TotalRates_RES_2[[Ausnet]:[United Energy]],MATCH("Balance",OP_TotalRates_RES_2[Rate name],0),MATCH(I$24,OP_TotalRates_RES_2[[#Headers],[Ausnet]:[United Energy]],0))*
INDEX(Input_Usage[],MATCH($D26&amp;" - Balance",Input_Usage[Ref],0),MATCH($D$21,Inputs!$C$147:$BA$147,0))),0)+
IFERROR((INDEX(OP_TotalRates_RES_2[[Ausnet]:[United Energy]],MATCH("Single rate",OP_TotalRates_RES_2[Rate name],0),MATCH(I$24,OP_TotalRates_RES_2[[#Headers],[Ausnet]:[United Energy]],0))*
INDEX(Input_Usage[],MATCH($D26&amp;" - Annual",Input_Usage[Ref],0),MATCH($D$21,Inputs!$C$147:$BA$147,0))),0)),0),0,1),
IF(I26=
ROUNDUP(
(INDEX(OP_TotalRates_RES_2[[Ausnet]:[United Energy]],MATCH("TOU - supply",OP_TotalRates_RES_2[Rate name],0),MATCH(I$24,OP_TotalRates_RES_2[[#Headers],[Ausnet]:[United Energy]],0))*DiPY)+
(INDEX(OP_TotalRates_RES_2[[Ausnet]:[United Energy]],MATCH("Peak",OP_TotalRates_RES_2[Rate name],0),MATCH(I$24,OP_TotalRates_RES_2[[#Headers],[Ausnet]:[United Energy]],0))*
INDEX(Input_Usage[],MATCH($D26&amp;" - Peak",Input_Usage[Profile name]&amp;" - "&amp;Input_Usage[Usage type],0),MATCH($D$21,Inputs!$C$147:$BA$147,0)))+
IFERROR((INDEX(OP_TotalRates_RES_2[[Ausnet]:[United Energy]],MATCH("TOU - Shoulder",OP_TotalRates_RES_2[Rate name],0),MATCH(I$24,OP_TotalRates_RES_2[[#Headers],[Ausnet]:[United Energy]],0))*
INDEX(Input_Usage[],MATCH($D26&amp;" - Shoulder",Input_Usage[Profile name]&amp;" - "&amp;Input_Usage[Usage type],0),MATCH($D$21,Inputs!$C$147:$BA$147,0))),0)+
(INDEX(OP_TotalRates_RES_2[[Ausnet]:[United Energy]],MATCH("Off peak",OP_TotalRates_RES_2[Rate name],0),MATCH(I$24,OP_TotalRates_RES_2[[#Headers],[Ausnet]:[United Energy]],0))*
INDEX(Input_Usage[],MATCH($D26&amp;" - Off peak",Input_Usage[Profile name]&amp;" - "&amp;Input_Usage[Usage type],0),MATCH($D$21,Inputs!$C$147:$BA$147,0))),0),0,1))</f>
        <v>0</v>
      </c>
      <c r="M30" s="67" cm="1">
        <f t="array" ref="M30">IF($D$21="VDO 2021 - Final",
IF(M26=
ROUNDUP(
(INDEX(OP_TotalRates_SME_2[[Ausnet]:[United Energy]],MATCH("Anytime - supply",OP_TotalRates_SME_2[Rate name],0),MATCH(M$24,OP_TotalRates_SME_2[[#Headers],[Ausnet]:[United Energy]],0))*DiPY)+
(IFERROR((INDEX(OP_TotalRates_SME_2[[Ausnet]:[United Energy]],MATCH("Block 1",OP_TotalRates_SME_2[Rate name],0),MATCH(M$24,OP_TotalRates_SME_2[[#Headers],[Ausnet]:[United Energy]],0))*
INDEX(Input_Usage[],MATCH($L26&amp;" - Block 1",Input_Usage[Profile name]&amp;" - "&amp;Input_Usage[Usage type],0),MATCH($D$21,Inputs!$C$147:$BA$147,0))),0)+
IFERROR((INDEX(OP_TotalRates_SME_2[[Ausnet]:[United Energy]],MATCH("Balance",OP_TotalRates_SME_2[Rate name],0),MATCH(M$24,OP_TotalRates_SME_2[[#Headers],[Ausnet]:[United Energy]],0))*
INDEX(Input_Usage[],MATCH($L26&amp;" - Balance",Input_Usage[Profile name]&amp;" - "&amp;Input_Usage[Usage type],0),MATCH($D$21,Inputs!$C$147:$BA$147,0))),0)+
IFERROR((INDEX(OP_TotalRates_SME_2[[Ausnet]:[United Energy]],MATCH("Single rate",OP_TotalRates_SME_2[Rate name],0),MATCH(M$24,OP_TotalRates_SME_2[[#Headers],[Ausnet]:[United Energy]],0))*
INDEX(Input_Usage[],MATCH($L26&amp;" - Annual",Input_Usage[Profile name]&amp;" - "&amp;Input_Usage[Usage type],0),MATCH($D$21,Inputs!$C$147:$BA$147,0))),0)),0),0,1),
IF(M26=
ROUNDUP(
(INDEX(OP_TotalRates_SME_2[[Ausnet]:[United Energy]],MATCH("TOU - supply",OP_TotalRates_SME_2[Rate name],0),MATCH(M$24,OP_TotalRates_SME_2[[#Headers],[Ausnet]:[United Energy]],0))*DiPY)+
(INDEX(OP_TotalRates_SME_2[[Ausnet]:[United Energy]],MATCH("Peak",OP_TotalRates_SME_2[Rate name],0),MATCH(M$24,OP_TotalRates_SME_2[[#Headers],[Ausnet]:[United Energy]],0))*
INDEX(Input_Usage[],MATCH($L26&amp;" - Peak",Input_Usage[Profile name]&amp;" - "&amp;Input_Usage[Usage type],0),MATCH($D$21,Inputs!$C$147:$BA$147,0)))+
IFERROR((INDEX(OP_TotalRates_SME_2[[Ausnet]:[United Energy]],MATCH("TOU - Shoulder",OP_TotalRates_SME_2[Rate name],0),MATCH(M$24,OP_TotalRates_SME_2[[#Headers],[Ausnet]:[United Energy]],0))*
INDEX(Input_Usage[],MATCH($L26&amp;" - Shoulder",Input_Usage[Profile name]&amp;" - "&amp;Input_Usage[Usage type],0),MATCH($D$21,Inputs!$C$147:$BA$147,0))),0)+
(INDEX(OP_TotalRates_SME_2[[Ausnet]:[United Energy]],MATCH("Off peak",OP_TotalRates_SME_2[Rate name],0),MATCH(M$24,OP_TotalRates_SME_2[[#Headers],[Ausnet]:[United Energy]],0))*
INDEX(Input_Usage[],MATCH($L26&amp;" - Off peak",Input_Usage[Profile name]&amp;" - "&amp;Input_Usage[Usage type],0),MATCH($D$21,Inputs!$C$147:$BA$147,0))),0),0,1))</f>
        <v>0</v>
      </c>
      <c r="N30" s="67" cm="1">
        <f t="array" ref="N30">IF($D$21="VDO 2021 - Final",
IF(N26=
ROUNDUP(
(INDEX(OP_TotalRates_SME_2[[Ausnet]:[United Energy]],MATCH("Anytime - supply",OP_TotalRates_SME_2[Rate name],0),MATCH(N$24,OP_TotalRates_SME_2[[#Headers],[Ausnet]:[United Energy]],0))*DiPY)+
(IFERROR((INDEX(OP_TotalRates_SME_2[[Ausnet]:[United Energy]],MATCH("Block 1",OP_TotalRates_SME_2[Rate name],0),MATCH(N$24,OP_TotalRates_SME_2[[#Headers],[Ausnet]:[United Energy]],0))*
INDEX(Input_Usage[],MATCH($L26&amp;" - Block 1",Input_Usage[Profile name]&amp;" - "&amp;Input_Usage[Usage type],0),MATCH($D$21,Inputs!$C$147:$BA$147,0))),0)+
IFERROR((INDEX(OP_TotalRates_SME_2[[Ausnet]:[United Energy]],MATCH("Balance",OP_TotalRates_SME_2[Rate name],0),MATCH(N$24,OP_TotalRates_SME_2[[#Headers],[Ausnet]:[United Energy]],0))*
INDEX(Input_Usage[],MATCH($L26&amp;" - Balance",Input_Usage[Profile name]&amp;" - "&amp;Input_Usage[Usage type],0),MATCH($D$21,Inputs!$C$147:$BA$147,0))),0)+
IFERROR((INDEX(OP_TotalRates_SME_2[[Ausnet]:[United Energy]],MATCH("Single rate",OP_TotalRates_SME_2[Rate name],0),MATCH(N$24,OP_TotalRates_SME_2[[#Headers],[Ausnet]:[United Energy]],0))*
INDEX(Input_Usage[],MATCH($L26&amp;" - Annual",Input_Usage[Profile name]&amp;" - "&amp;Input_Usage[Usage type],0),MATCH($D$21,Inputs!$C$147:$BA$147,0))),0)),0),0,1),
IF(N26=
ROUNDUP(
(INDEX(OP_TotalRates_SME_2[[Ausnet]:[United Energy]],MATCH("TOU - supply",OP_TotalRates_SME_2[Rate name],0),MATCH(N$24,OP_TotalRates_SME_2[[#Headers],[Ausnet]:[United Energy]],0))*DiPY)+
(INDEX(OP_TotalRates_SME_2[[Ausnet]:[United Energy]],MATCH("Peak",OP_TotalRates_SME_2[Rate name],0),MATCH(N$24,OP_TotalRates_SME_2[[#Headers],[Ausnet]:[United Energy]],0))*
INDEX(Input_Usage[],MATCH($L26&amp;" - Peak",Input_Usage[Profile name]&amp;" - "&amp;Input_Usage[Usage type],0),MATCH($D$21,Inputs!$C$147:$BA$147,0)))+
IFERROR((INDEX(OP_TotalRates_SME_2[[Ausnet]:[United Energy]],MATCH("TOU - Shoulder",OP_TotalRates_SME_2[Rate name],0),MATCH(N$24,OP_TotalRates_SME_2[[#Headers],[Ausnet]:[United Energy]],0))*
INDEX(Input_Usage[],MATCH($L26&amp;" - Shoulder",Input_Usage[Profile name]&amp;" - "&amp;Input_Usage[Usage type],0),MATCH($D$21,Inputs!$C$147:$BA$147,0))),0)+
(INDEX(OP_TotalRates_SME_2[[Ausnet]:[United Energy]],MATCH("Off peak",OP_TotalRates_SME_2[Rate name],0),MATCH(N$24,OP_TotalRates_SME_2[[#Headers],[Ausnet]:[United Energy]],0))*
INDEX(Input_Usage[],MATCH($L26&amp;" - Off peak",Input_Usage[Profile name]&amp;" - "&amp;Input_Usage[Usage type],0),MATCH($D$21,Inputs!$C$147:$BA$147,0))),0),0,1))</f>
        <v>0</v>
      </c>
      <c r="O30" s="67" cm="1">
        <f t="array" ref="O30">IF($D$21="VDO 2021 - Final",
IF(O26=
ROUNDUP(
(INDEX(OP_TotalRates_SME_2[[Ausnet]:[United Energy]],MATCH("Anytime - supply",OP_TotalRates_SME_2[Rate name],0),MATCH(O$24,OP_TotalRates_SME_2[[#Headers],[Ausnet]:[United Energy]],0))*DiPY)+
(IFERROR((INDEX(OP_TotalRates_SME_2[[Ausnet]:[United Energy]],MATCH("Block 1",OP_TotalRates_SME_2[Rate name],0),MATCH(O$24,OP_TotalRates_SME_2[[#Headers],[Ausnet]:[United Energy]],0))*
INDEX(Input_Usage[],MATCH($L26&amp;" - Block 1",Input_Usage[Profile name]&amp;" - "&amp;Input_Usage[Usage type],0),MATCH($D$21,Inputs!$C$147:$BA$147,0))),0)+
IFERROR((INDEX(OP_TotalRates_SME_2[[Ausnet]:[United Energy]],MATCH("Balance",OP_TotalRates_SME_2[Rate name],0),MATCH(O$24,OP_TotalRates_SME_2[[#Headers],[Ausnet]:[United Energy]],0))*
INDEX(Input_Usage[],MATCH($L26&amp;" - Balance",Input_Usage[Profile name]&amp;" - "&amp;Input_Usage[Usage type],0),MATCH($D$21,Inputs!$C$147:$BA$147,0))),0)+
IFERROR((INDEX(OP_TotalRates_SME_2[[Ausnet]:[United Energy]],MATCH("Single rate",OP_TotalRates_SME_2[Rate name],0),MATCH(O$24,OP_TotalRates_SME_2[[#Headers],[Ausnet]:[United Energy]],0))*
INDEX(Input_Usage[],MATCH($L26&amp;" - Annual",Input_Usage[Profile name]&amp;" - "&amp;Input_Usage[Usage type],0),MATCH($D$21,Inputs!$C$147:$BA$147,0))),0)),0),0,1),
IF(O26=
ROUNDUP(
(INDEX(OP_TotalRates_SME_2[[Ausnet]:[United Energy]],MATCH("TOU - supply",OP_TotalRates_SME_2[Rate name],0),MATCH(O$24,OP_TotalRates_SME_2[[#Headers],[Ausnet]:[United Energy]],0))*DiPY)+
(INDEX(OP_TotalRates_SME_2[[Ausnet]:[United Energy]],MATCH("Peak",OP_TotalRates_SME_2[Rate name],0),MATCH(O$24,OP_TotalRates_SME_2[[#Headers],[Ausnet]:[United Energy]],0))*
INDEX(Input_Usage[],MATCH($L26&amp;" - Peak",Input_Usage[Profile name]&amp;" - "&amp;Input_Usage[Usage type],0),MATCH($D$21,Inputs!$C$147:$BA$147,0)))+
IFERROR((INDEX(OP_TotalRates_SME_2[[Ausnet]:[United Energy]],MATCH("TOU - Shoulder",OP_TotalRates_SME_2[Rate name],0),MATCH(O$24,OP_TotalRates_SME_2[[#Headers],[Ausnet]:[United Energy]],0))*
INDEX(Input_Usage[],MATCH($L26&amp;" - Shoulder",Input_Usage[Profile name]&amp;" - "&amp;Input_Usage[Usage type],0),MATCH($D$21,Inputs!$C$147:$BA$147,0))),0)+
(INDEX(OP_TotalRates_SME_2[[Ausnet]:[United Energy]],MATCH("Off peak",OP_TotalRates_SME_2[Rate name],0),MATCH(O$24,OP_TotalRates_SME_2[[#Headers],[Ausnet]:[United Energy]],0))*
INDEX(Input_Usage[],MATCH($L26&amp;" - Off peak",Input_Usage[Profile name]&amp;" - "&amp;Input_Usage[Usage type],0),MATCH($D$21,Inputs!$C$147:$BA$147,0))),0),0,1))</f>
        <v>0</v>
      </c>
      <c r="P30" s="67" cm="1">
        <f t="array" ref="P30">IF($D$21="VDO 2021 - Final",
IF(P26=
ROUNDUP(
(INDEX(OP_TotalRates_SME_2[[Ausnet]:[United Energy]],MATCH("Anytime - supply",OP_TotalRates_SME_2[Rate name],0),MATCH(P$24,OP_TotalRates_SME_2[[#Headers],[Ausnet]:[United Energy]],0))*DiPY)+
(IFERROR((INDEX(OP_TotalRates_SME_2[[Ausnet]:[United Energy]],MATCH("Block 1",OP_TotalRates_SME_2[Rate name],0),MATCH(P$24,OP_TotalRates_SME_2[[#Headers],[Ausnet]:[United Energy]],0))*
INDEX(Input_Usage[],MATCH($L26&amp;" - Block 1",Input_Usage[Profile name]&amp;" - "&amp;Input_Usage[Usage type],0),MATCH($D$21,Inputs!$C$147:$BA$147,0))),0)+
IFERROR((INDEX(OP_TotalRates_SME_2[[Ausnet]:[United Energy]],MATCH("Balance",OP_TotalRates_SME_2[Rate name],0),MATCH(P$24,OP_TotalRates_SME_2[[#Headers],[Ausnet]:[United Energy]],0))*
INDEX(Input_Usage[],MATCH($L26&amp;" - Balance",Input_Usage[Profile name]&amp;" - "&amp;Input_Usage[Usage type],0),MATCH($D$21,Inputs!$C$147:$BA$147,0))),0)+
IFERROR((INDEX(OP_TotalRates_SME_2[[Ausnet]:[United Energy]],MATCH("Single rate",OP_TotalRates_SME_2[Rate name],0),MATCH(P$24,OP_TotalRates_SME_2[[#Headers],[Ausnet]:[United Energy]],0))*
INDEX(Input_Usage[],MATCH($L26&amp;" - Annual",Input_Usage[Profile name]&amp;" - "&amp;Input_Usage[Usage type],0),MATCH($D$21,Inputs!$C$147:$BA$147,0))),0)),0),0,1),
IF(P26=
ROUNDUP(
(INDEX(OP_TotalRates_SME_2[[Ausnet]:[United Energy]],MATCH("TOU - supply",OP_TotalRates_SME_2[Rate name],0),MATCH(P$24,OP_TotalRates_SME_2[[#Headers],[Ausnet]:[United Energy]],0))*DiPY)+
(INDEX(OP_TotalRates_SME_2[[Ausnet]:[United Energy]],MATCH("Peak",OP_TotalRates_SME_2[Rate name],0),MATCH(P$24,OP_TotalRates_SME_2[[#Headers],[Ausnet]:[United Energy]],0))*
INDEX(Input_Usage[],MATCH($L26&amp;" - Peak",Input_Usage[Profile name]&amp;" - "&amp;Input_Usage[Usage type],0),MATCH($D$21,Inputs!$C$147:$BA$147,0)))+
IFERROR((INDEX(OP_TotalRates_SME_2[[Ausnet]:[United Energy]],MATCH("TOU - Shoulder",OP_TotalRates_SME_2[Rate name],0),MATCH(P$24,OP_TotalRates_SME_2[[#Headers],[Ausnet]:[United Energy]],0))*
INDEX(Input_Usage[],MATCH($L26&amp;" - Shoulder",Input_Usage[Profile name]&amp;" - "&amp;Input_Usage[Usage type],0),MATCH($D$21,Inputs!$C$147:$BA$147,0))),0)+
(INDEX(OP_TotalRates_SME_2[[Ausnet]:[United Energy]],MATCH("Off peak",OP_TotalRates_SME_2[Rate name],0),MATCH(P$24,OP_TotalRates_SME_2[[#Headers],[Ausnet]:[United Energy]],0))*
INDEX(Input_Usage[],MATCH($L26&amp;" - Off peak",Input_Usage[Profile name]&amp;" - "&amp;Input_Usage[Usage type],0),MATCH($D$21,Inputs!$C$147:$BA$147,0))),0),0,1))</f>
        <v>0</v>
      </c>
      <c r="Q30" s="67" cm="1">
        <f t="array" ref="Q30">IF($D$21="VDO 2021 - Final",
IF(Q26=
ROUNDUP(
(INDEX(OP_TotalRates_SME_2[[Ausnet]:[United Energy]],MATCH("Anytime - supply",OP_TotalRates_SME_2[Rate name],0),MATCH(Q$24,OP_TotalRates_SME_2[[#Headers],[Ausnet]:[United Energy]],0))*DiPY)+
(IFERROR((INDEX(OP_TotalRates_SME_2[[Ausnet]:[United Energy]],MATCH("Block 1",OP_TotalRates_SME_2[Rate name],0),MATCH(Q$24,OP_TotalRates_SME_2[[#Headers],[Ausnet]:[United Energy]],0))*
INDEX(Input_Usage[],MATCH($L26&amp;" - Block 1",Input_Usage[Profile name]&amp;" - "&amp;Input_Usage[Usage type],0),MATCH($D$21,Inputs!$C$147:$BA$147,0))),0)+
IFERROR((INDEX(OP_TotalRates_SME_2[[Ausnet]:[United Energy]],MATCH("Balance",OP_TotalRates_SME_2[Rate name],0),MATCH(Q$24,OP_TotalRates_SME_2[[#Headers],[Ausnet]:[United Energy]],0))*
INDEX(Input_Usage[],MATCH($L26&amp;" - Balance",Input_Usage[Profile name]&amp;" - "&amp;Input_Usage[Usage type],0),MATCH($D$21,Inputs!$C$147:$BA$147,0))),0)+
IFERROR((INDEX(OP_TotalRates_SME_2[[Ausnet]:[United Energy]],MATCH("Single rate",OP_TotalRates_SME_2[Rate name],0),MATCH(Q$24,OP_TotalRates_SME_2[[#Headers],[Ausnet]:[United Energy]],0))*
INDEX(Input_Usage[],MATCH($L26&amp;" - Annual",Input_Usage[Profile name]&amp;" - "&amp;Input_Usage[Usage type],0),MATCH($D$21,Inputs!$C$147:$BA$147,0))),0)),0),0,1),
IF(Q26=
ROUNDUP(
(INDEX(OP_TotalRates_SME_2[[Ausnet]:[United Energy]],MATCH("TOU - supply",OP_TotalRates_SME_2[Rate name],0),MATCH(Q$24,OP_TotalRates_SME_2[[#Headers],[Ausnet]:[United Energy]],0))*DiPY)+
(INDEX(OP_TotalRates_SME_2[[Ausnet]:[United Energy]],MATCH("Peak",OP_TotalRates_SME_2[Rate name],0),MATCH(Q$24,OP_TotalRates_SME_2[[#Headers],[Ausnet]:[United Energy]],0))*
INDEX(Input_Usage[],MATCH($L26&amp;" - Peak",Input_Usage[Profile name]&amp;" - "&amp;Input_Usage[Usage type],0),MATCH($D$21,Inputs!$C$147:$BA$147,0)))+
IFERROR((INDEX(OP_TotalRates_SME_2[[Ausnet]:[United Energy]],MATCH("TOU - Shoulder",OP_TotalRates_SME_2[Rate name],0),MATCH(Q$24,OP_TotalRates_SME_2[[#Headers],[Ausnet]:[United Energy]],0))*
INDEX(Input_Usage[],MATCH($L26&amp;" - Shoulder",Input_Usage[Profile name]&amp;" - "&amp;Input_Usage[Usage type],0),MATCH($D$21,Inputs!$C$147:$BA$147,0))),0)+
(INDEX(OP_TotalRates_SME_2[[Ausnet]:[United Energy]],MATCH("Off peak",OP_TotalRates_SME_2[Rate name],0),MATCH(Q$24,OP_TotalRates_SME_2[[#Headers],[Ausnet]:[United Energy]],0))*
INDEX(Input_Usage[],MATCH($L26&amp;" - Off peak",Input_Usage[Profile name]&amp;" - "&amp;Input_Usage[Usage type],0),MATCH($D$21,Inputs!$C$147:$BA$147,0))),0),0,1))</f>
        <v>0</v>
      </c>
    </row>
    <row r="31" spans="1:18" ht="15.75" hidden="1" x14ac:dyDescent="0.25">
      <c r="E31" s="67" cm="1">
        <f t="array" ref="E31">IF($D$21="VDO 2021 - Final",
IF(E27=
ROUNDUP(
(INDEX(OP_TotalRates_RES_2[[Ausnet]:[United Energy]],MATCH("Anytime - supply",OP_TotalRates_RES_2[Rate name],0),MATCH(E$24,OP_TotalRates_RES_2[[#Headers],[Ausnet]:[United Energy]],0))*DiPY)+
(IFERROR((INDEX(OP_TotalRates_RES_2[[Ausnet]:[United Energy]],MATCH("Block 1",OP_TotalRates_RES_2[Rate name],0),MATCH(E$24,OP_TotalRates_RES_2[[#Headers],[Ausnet]:[United Energy]],0))*
INDEX(Input_Usage[],MATCH($D27&amp;" - Block 1",Input_Usage[Ref],0),MATCH($D$21,Inputs!$C$147:$BA$147,0))),0)+
IFERROR((INDEX(OP_TotalRates_RES_2[[Ausnet]:[United Energy]],MATCH("Balance",OP_TotalRates_RES_2[Rate name],0),MATCH(E$24,OP_TotalRates_RES_2[[#Headers],[Ausnet]:[United Energy]],0))*
INDEX(Input_Usage[],MATCH($D27&amp;" - Balance",Input_Usage[Ref],0),MATCH($D$21,Inputs!$C$147:$BA$147,0))),0)+
IFERROR((INDEX(OP_TotalRates_RES_2[[Ausnet]:[United Energy]],MATCH("Single rate",OP_TotalRates_RES_2[Rate name],0),MATCH(E$24,OP_TotalRates_RES_2[[#Headers],[Ausnet]:[United Energy]],0))*
INDEX(Input_Usage[],MATCH($D27&amp;" - Annual",Input_Usage[Ref],0),MATCH($D$21,Inputs!$C$147:$BA$147,0))),0)),0),0,1),
IF(E27=
ROUNDUP(
(INDEX(OP_TotalRates_RES_2[[Ausnet]:[United Energy]],MATCH("TOU - supply",OP_TotalRates_RES_2[Rate name],0),MATCH(E$24,OP_TotalRates_RES_2[[#Headers],[Ausnet]:[United Energy]],0))*DiPY)+
(INDEX(OP_TotalRates_RES_2[[Ausnet]:[United Energy]],MATCH("Peak",OP_TotalRates_RES_2[Rate name],0),MATCH(E$24,OP_TotalRates_RES_2[[#Headers],[Ausnet]:[United Energy]],0))*
INDEX(Input_Usage[],MATCH($D27&amp;" - Peak",Input_Usage[Profile name]&amp;" - "&amp;Input_Usage[Usage type],0),MATCH($D$21,Inputs!$C$147:$BA$147,0)))+
IFERROR((INDEX(OP_TotalRates_RES_2[[Ausnet]:[United Energy]],MATCH("TOU - Shoulder",OP_TotalRates_RES_2[Rate name],0),MATCH(E$24,OP_TotalRates_RES_2[[#Headers],[Ausnet]:[United Energy]],0))*
INDEX(Input_Usage[],MATCH($D27&amp;" - Shoulder",Input_Usage[Profile name]&amp;" - "&amp;Input_Usage[Usage type],0),MATCH($D$21,Inputs!$C$147:$BA$147,0))),0)+
(INDEX(OP_TotalRates_RES_2[[Ausnet]:[United Energy]],MATCH("Off peak",OP_TotalRates_RES_2[Rate name],0),MATCH(E$24,OP_TotalRates_RES_2[[#Headers],[Ausnet]:[United Energy]],0))*
INDEX(Input_Usage[],MATCH($D27&amp;" - Off peak",Input_Usage[Profile name]&amp;" - "&amp;Input_Usage[Usage type],0),MATCH($D$21,Inputs!$C$147:$BA$147,0))),0),0,1))</f>
        <v>0</v>
      </c>
      <c r="F31" s="67" cm="1">
        <f t="array" ref="F31">IF($D$21="VDO 2021 - Final",
IF(F27=
ROUNDUP(
(INDEX(OP_TotalRates_RES_2[[Ausnet]:[United Energy]],MATCH("Anytime - supply",OP_TotalRates_RES_2[Rate name],0),MATCH(F$24,OP_TotalRates_RES_2[[#Headers],[Ausnet]:[United Energy]],0))*DiPY)+
(IFERROR((INDEX(OP_TotalRates_RES_2[[Ausnet]:[United Energy]],MATCH("Block 1",OP_TotalRates_RES_2[Rate name],0),MATCH(F$24,OP_TotalRates_RES_2[[#Headers],[Ausnet]:[United Energy]],0))*
INDEX(Input_Usage[],MATCH($D27&amp;" - Block 1",Input_Usage[Ref],0),MATCH($D$21,Inputs!$C$147:$BA$147,0))),0)+
IFERROR((INDEX(OP_TotalRates_RES_2[[Ausnet]:[United Energy]],MATCH("Balance",OP_TotalRates_RES_2[Rate name],0),MATCH(F$24,OP_TotalRates_RES_2[[#Headers],[Ausnet]:[United Energy]],0))*
INDEX(Input_Usage[],MATCH($D27&amp;" - Balance",Input_Usage[Ref],0),MATCH($D$21,Inputs!$C$147:$BA$147,0))),0)+
IFERROR((INDEX(OP_TotalRates_RES_2[[Ausnet]:[United Energy]],MATCH("Single rate",OP_TotalRates_RES_2[Rate name],0),MATCH(F$24,OP_TotalRates_RES_2[[#Headers],[Ausnet]:[United Energy]],0))*
INDEX(Input_Usage[],MATCH($D27&amp;" - Annual",Input_Usage[Ref],0),MATCH($D$21,Inputs!$C$147:$BA$147,0))),0)),0),0,1),
IF(F27=
ROUNDUP(
(INDEX(OP_TotalRates_RES_2[[Ausnet]:[United Energy]],MATCH("TOU - supply",OP_TotalRates_RES_2[Rate name],0),MATCH(F$24,OP_TotalRates_RES_2[[#Headers],[Ausnet]:[United Energy]],0))*DiPY)+
(INDEX(OP_TotalRates_RES_2[[Ausnet]:[United Energy]],MATCH("Peak",OP_TotalRates_RES_2[Rate name],0),MATCH(F$24,OP_TotalRates_RES_2[[#Headers],[Ausnet]:[United Energy]],0))*
INDEX(Input_Usage[],MATCH($D27&amp;" - Peak",Input_Usage[Profile name]&amp;" - "&amp;Input_Usage[Usage type],0),MATCH($D$21,Inputs!$C$147:$BA$147,0)))+
IFERROR((INDEX(OP_TotalRates_RES_2[[Ausnet]:[United Energy]],MATCH("TOU - Shoulder",OP_TotalRates_RES_2[Rate name],0),MATCH(F$24,OP_TotalRates_RES_2[[#Headers],[Ausnet]:[United Energy]],0))*
INDEX(Input_Usage[],MATCH($D27&amp;" - Shoulder",Input_Usage[Profile name]&amp;" - "&amp;Input_Usage[Usage type],0),MATCH($D$21,Inputs!$C$147:$BA$147,0))),0)+
(INDEX(OP_TotalRates_RES_2[[Ausnet]:[United Energy]],MATCH("Off peak",OP_TotalRates_RES_2[Rate name],0),MATCH(F$24,OP_TotalRates_RES_2[[#Headers],[Ausnet]:[United Energy]],0))*
INDEX(Input_Usage[],MATCH($D27&amp;" - Off peak",Input_Usage[Profile name]&amp;" - "&amp;Input_Usage[Usage type],0),MATCH($D$21,Inputs!$C$147:$BA$147,0))),0),0,1))</f>
        <v>0</v>
      </c>
      <c r="G31" s="67" cm="1">
        <f t="array" ref="G31">IF($D$21="VDO 2021 - Final",
IF(G27=
ROUNDUP(
(INDEX(OP_TotalRates_RES_2[[Ausnet]:[United Energy]],MATCH("Anytime - supply",OP_TotalRates_RES_2[Rate name],0),MATCH(G$24,OP_TotalRates_RES_2[[#Headers],[Ausnet]:[United Energy]],0))*DiPY)+
(IFERROR((INDEX(OP_TotalRates_RES_2[[Ausnet]:[United Energy]],MATCH("Block 1",OP_TotalRates_RES_2[Rate name],0),MATCH(G$24,OP_TotalRates_RES_2[[#Headers],[Ausnet]:[United Energy]],0))*
INDEX(Input_Usage[],MATCH($D27&amp;" - Block 1",Input_Usage[Ref],0),MATCH($D$21,Inputs!$C$147:$BA$147,0))),0)+
IFERROR((INDEX(OP_TotalRates_RES_2[[Ausnet]:[United Energy]],MATCH("Balance",OP_TotalRates_RES_2[Rate name],0),MATCH(G$24,OP_TotalRates_RES_2[[#Headers],[Ausnet]:[United Energy]],0))*
INDEX(Input_Usage[],MATCH($D27&amp;" - Balance",Input_Usage[Ref],0),MATCH($D$21,Inputs!$C$147:$BA$147,0))),0)+
IFERROR((INDEX(OP_TotalRates_RES_2[[Ausnet]:[United Energy]],MATCH("Single rate",OP_TotalRates_RES_2[Rate name],0),MATCH(G$24,OP_TotalRates_RES_2[[#Headers],[Ausnet]:[United Energy]],0))*
INDEX(Input_Usage[],MATCH($D27&amp;" - Annual",Input_Usage[Ref],0),MATCH($D$21,Inputs!$C$147:$BA$147,0))),0)),0),0,1),
IF(G27=
ROUNDUP(
(INDEX(OP_TotalRates_RES_2[[Ausnet]:[United Energy]],MATCH("TOU - supply",OP_TotalRates_RES_2[Rate name],0),MATCH(G$24,OP_TotalRates_RES_2[[#Headers],[Ausnet]:[United Energy]],0))*DiPY)+
(INDEX(OP_TotalRates_RES_2[[Ausnet]:[United Energy]],MATCH("Peak",OP_TotalRates_RES_2[Rate name],0),MATCH(G$24,OP_TotalRates_RES_2[[#Headers],[Ausnet]:[United Energy]],0))*
INDEX(Input_Usage[],MATCH($D27&amp;" - Peak",Input_Usage[Profile name]&amp;" - "&amp;Input_Usage[Usage type],0),MATCH($D$21,Inputs!$C$147:$BA$147,0)))+
IFERROR((INDEX(OP_TotalRates_RES_2[[Ausnet]:[United Energy]],MATCH("TOU - Shoulder",OP_TotalRates_RES_2[Rate name],0),MATCH(G$24,OP_TotalRates_RES_2[[#Headers],[Ausnet]:[United Energy]],0))*
INDEX(Input_Usage[],MATCH($D27&amp;" - Shoulder",Input_Usage[Profile name]&amp;" - "&amp;Input_Usage[Usage type],0),MATCH($D$21,Inputs!$C$147:$BA$147,0))),0)+
(INDEX(OP_TotalRates_RES_2[[Ausnet]:[United Energy]],MATCH("Off peak",OP_TotalRates_RES_2[Rate name],0),MATCH(G$24,OP_TotalRates_RES_2[[#Headers],[Ausnet]:[United Energy]],0))*
INDEX(Input_Usage[],MATCH($D27&amp;" - Off peak",Input_Usage[Profile name]&amp;" - "&amp;Input_Usage[Usage type],0),MATCH($D$21,Inputs!$C$147:$BA$147,0))),0),0,1))</f>
        <v>0</v>
      </c>
      <c r="H31" s="67" cm="1">
        <f t="array" ref="H31">IF($D$21="VDO 2021 - Final",
IF(H27=
ROUNDUP(
(INDEX(OP_TotalRates_RES_2[[Ausnet]:[United Energy]],MATCH("Anytime - supply",OP_TotalRates_RES_2[Rate name],0),MATCH(H$24,OP_TotalRates_RES_2[[#Headers],[Ausnet]:[United Energy]],0))*DiPY)+
(IFERROR((INDEX(OP_TotalRates_RES_2[[Ausnet]:[United Energy]],MATCH("Block 1",OP_TotalRates_RES_2[Rate name],0),MATCH(H$24,OP_TotalRates_RES_2[[#Headers],[Ausnet]:[United Energy]],0))*
INDEX(Input_Usage[],MATCH($D27&amp;" - Block 1",Input_Usage[Ref],0),MATCH($D$21,Inputs!$C$147:$BA$147,0))),0)+
IFERROR((INDEX(OP_TotalRates_RES_2[[Ausnet]:[United Energy]],MATCH("Balance",OP_TotalRates_RES_2[Rate name],0),MATCH(H$24,OP_TotalRates_RES_2[[#Headers],[Ausnet]:[United Energy]],0))*
INDEX(Input_Usage[],MATCH($D27&amp;" - Balance",Input_Usage[Ref],0),MATCH($D$21,Inputs!$C$147:$BA$147,0))),0)+
IFERROR((INDEX(OP_TotalRates_RES_2[[Ausnet]:[United Energy]],MATCH("Single rate",OP_TotalRates_RES_2[Rate name],0),MATCH(H$24,OP_TotalRates_RES_2[[#Headers],[Ausnet]:[United Energy]],0))*
INDEX(Input_Usage[],MATCH($D27&amp;" - Annual",Input_Usage[Ref],0),MATCH($D$21,Inputs!$C$147:$BA$147,0))),0)),0),0,1),
IF(H27=
ROUNDUP(
(INDEX(OP_TotalRates_RES_2[[Ausnet]:[United Energy]],MATCH("TOU - supply",OP_TotalRates_RES_2[Rate name],0),MATCH(H$24,OP_TotalRates_RES_2[[#Headers],[Ausnet]:[United Energy]],0))*DiPY)+
(INDEX(OP_TotalRates_RES_2[[Ausnet]:[United Energy]],MATCH("Peak",OP_TotalRates_RES_2[Rate name],0),MATCH(H$24,OP_TotalRates_RES_2[[#Headers],[Ausnet]:[United Energy]],0))*
INDEX(Input_Usage[],MATCH($D27&amp;" - Peak",Input_Usage[Profile name]&amp;" - "&amp;Input_Usage[Usage type],0),MATCH($D$21,Inputs!$C$147:$BA$147,0)))+
IFERROR((INDEX(OP_TotalRates_RES_2[[Ausnet]:[United Energy]],MATCH("TOU - Shoulder",OP_TotalRates_RES_2[Rate name],0),MATCH(H$24,OP_TotalRates_RES_2[[#Headers],[Ausnet]:[United Energy]],0))*
INDEX(Input_Usage[],MATCH($D27&amp;" - Shoulder",Input_Usage[Profile name]&amp;" - "&amp;Input_Usage[Usage type],0),MATCH($D$21,Inputs!$C$147:$BA$147,0))),0)+
(INDEX(OP_TotalRates_RES_2[[Ausnet]:[United Energy]],MATCH("Off peak",OP_TotalRates_RES_2[Rate name],0),MATCH(H$24,OP_TotalRates_RES_2[[#Headers],[Ausnet]:[United Energy]],0))*
INDEX(Input_Usage[],MATCH($D27&amp;" - Off peak",Input_Usage[Profile name]&amp;" - "&amp;Input_Usage[Usage type],0),MATCH($D$21,Inputs!$C$147:$BA$147,0))),0),0,1))</f>
        <v>0</v>
      </c>
      <c r="I31" s="67" cm="1">
        <f t="array" ref="I31">IF($D$21="VDO 2021 - Final",
IF(I27=
ROUNDUP(
(INDEX(OP_TotalRates_RES_2[[Ausnet]:[United Energy]],MATCH("Anytime - supply",OP_TotalRates_RES_2[Rate name],0),MATCH(I$24,OP_TotalRates_RES_2[[#Headers],[Ausnet]:[United Energy]],0))*DiPY)+
(IFERROR((INDEX(OP_TotalRates_RES_2[[Ausnet]:[United Energy]],MATCH("Block 1",OP_TotalRates_RES_2[Rate name],0),MATCH(I$24,OP_TotalRates_RES_2[[#Headers],[Ausnet]:[United Energy]],0))*
INDEX(Input_Usage[],MATCH($D27&amp;" - Block 1",Input_Usage[Ref],0),MATCH($D$21,Inputs!$C$147:$BA$147,0))),0)+
IFERROR((INDEX(OP_TotalRates_RES_2[[Ausnet]:[United Energy]],MATCH("Balance",OP_TotalRates_RES_2[Rate name],0),MATCH(I$24,OP_TotalRates_RES_2[[#Headers],[Ausnet]:[United Energy]],0))*
INDEX(Input_Usage[],MATCH($D27&amp;" - Balance",Input_Usage[Ref],0),MATCH($D$21,Inputs!$C$147:$BA$147,0))),0)+
IFERROR((INDEX(OP_TotalRates_RES_2[[Ausnet]:[United Energy]],MATCH("Single rate",OP_TotalRates_RES_2[Rate name],0),MATCH(I$24,OP_TotalRates_RES_2[[#Headers],[Ausnet]:[United Energy]],0))*
INDEX(Input_Usage[],MATCH($D27&amp;" - Annual",Input_Usage[Ref],0),MATCH($D$21,Inputs!$C$147:$BA$147,0))),0)),0),0,1),
IF(I27=
ROUNDUP(
(INDEX(OP_TotalRates_RES_2[[Ausnet]:[United Energy]],MATCH("TOU - supply",OP_TotalRates_RES_2[Rate name],0),MATCH(I$24,OP_TotalRates_RES_2[[#Headers],[Ausnet]:[United Energy]],0))*DiPY)+
(INDEX(OP_TotalRates_RES_2[[Ausnet]:[United Energy]],MATCH("Peak",OP_TotalRates_RES_2[Rate name],0),MATCH(I$24,OP_TotalRates_RES_2[[#Headers],[Ausnet]:[United Energy]],0))*
INDEX(Input_Usage[],MATCH($D27&amp;" - Peak",Input_Usage[Profile name]&amp;" - "&amp;Input_Usage[Usage type],0),MATCH($D$21,Inputs!$C$147:$BA$147,0)))+
IFERROR((INDEX(OP_TotalRates_RES_2[[Ausnet]:[United Energy]],MATCH("TOU - Shoulder",OP_TotalRates_RES_2[Rate name],0),MATCH(I$24,OP_TotalRates_RES_2[[#Headers],[Ausnet]:[United Energy]],0))*
INDEX(Input_Usage[],MATCH($D27&amp;" - Shoulder",Input_Usage[Profile name]&amp;" - "&amp;Input_Usage[Usage type],0),MATCH($D$21,Inputs!$C$147:$BA$147,0))),0)+
(INDEX(OP_TotalRates_RES_2[[Ausnet]:[United Energy]],MATCH("Off peak",OP_TotalRates_RES_2[Rate name],0),MATCH(I$24,OP_TotalRates_RES_2[[#Headers],[Ausnet]:[United Energy]],0))*
INDEX(Input_Usage[],MATCH($D27&amp;" - Off peak",Input_Usage[Profile name]&amp;" - "&amp;Input_Usage[Usage type],0),MATCH($D$21,Inputs!$C$147:$BA$147,0))),0),0,1))</f>
        <v>0</v>
      </c>
      <c r="M31" s="67" cm="1">
        <f t="array" ref="M31">IF($D$21="VDO 2021 - Final",
IF(M27=
ROUNDUP(
(INDEX(OP_TotalRates_SME_2[[Ausnet]:[United Energy]],MATCH("Anytime - supply",OP_TotalRates_SME_2[Rate name],0),MATCH(M$24,OP_TotalRates_SME_2[[#Headers],[Ausnet]:[United Energy]],0))*DiPY)+
(IFERROR((INDEX(OP_TotalRates_SME_2[[Ausnet]:[United Energy]],MATCH("Block 1",OP_TotalRates_SME_2[Rate name],0),MATCH(M$24,OP_TotalRates_SME_2[[#Headers],[Ausnet]:[United Energy]],0))*
INDEX(Input_Usage[],MATCH($L27&amp;" - Block 1",Input_Usage[Profile name]&amp;" - "&amp;Input_Usage[Usage type],0),MATCH($D$21,Inputs!$C$147:$BA$147,0))),0)+
IFERROR((INDEX(OP_TotalRates_SME_2[[Ausnet]:[United Energy]],MATCH("Balance",OP_TotalRates_SME_2[Rate name],0),MATCH(M$24,OP_TotalRates_SME_2[[#Headers],[Ausnet]:[United Energy]],0))*
INDEX(Input_Usage[],MATCH($L27&amp;" - Balance",Input_Usage[Profile name]&amp;" - "&amp;Input_Usage[Usage type],0),MATCH($D$21,Inputs!$C$147:$BA$147,0))),0)+
IFERROR((INDEX(OP_TotalRates_SME_2[[Ausnet]:[United Energy]],MATCH("Single rate",OP_TotalRates_SME_2[Rate name],0),MATCH(M$24,OP_TotalRates_SME_2[[#Headers],[Ausnet]:[United Energy]],0))*
INDEX(Input_Usage[],MATCH($L27&amp;" - Annual",Input_Usage[Profile name]&amp;" - "&amp;Input_Usage[Usage type],0),MATCH($D$21,Inputs!$C$147:$BA$147,0))),0)),0),0,1),
IF(M27=
ROUNDUP(
(INDEX(OP_TotalRates_SME_2[[Ausnet]:[United Energy]],MATCH("TOU - supply",OP_TotalRates_SME_2[Rate name],0),MATCH(M$24,OP_TotalRates_SME_2[[#Headers],[Ausnet]:[United Energy]],0))*DiPY)+
(INDEX(OP_TotalRates_SME_2[[Ausnet]:[United Energy]],MATCH("Peak",OP_TotalRates_SME_2[Rate name],0),MATCH(M$24,OP_TotalRates_SME_2[[#Headers],[Ausnet]:[United Energy]],0))*
INDEX(Input_Usage[],MATCH($L27&amp;" - Peak",Input_Usage[Profile name]&amp;" - "&amp;Input_Usage[Usage type],0),MATCH($D$21,Inputs!$C$147:$BA$147,0)))+
IFERROR((INDEX(OP_TotalRates_SME_2[[Ausnet]:[United Energy]],MATCH("TOU - Shoulder",OP_TotalRates_SME_2[Rate name],0),MATCH(M$24,OP_TotalRates_SME_2[[#Headers],[Ausnet]:[United Energy]],0))*
INDEX(Input_Usage[],MATCH($L27&amp;" - Shoulder",Input_Usage[Profile name]&amp;" - "&amp;Input_Usage[Usage type],0),MATCH($D$21,Inputs!$C$147:$BA$147,0))),0)+
(INDEX(OP_TotalRates_SME_2[[Ausnet]:[United Energy]],MATCH("Off peak",OP_TotalRates_SME_2[Rate name],0),MATCH(M$24,OP_TotalRates_SME_2[[#Headers],[Ausnet]:[United Energy]],0))*
INDEX(Input_Usage[],MATCH($L27&amp;" - Off peak",Input_Usage[Profile name]&amp;" - "&amp;Input_Usage[Usage type],0),MATCH($D$21,Inputs!$C$147:$BA$147,0))),0),0,1))</f>
        <v>0</v>
      </c>
      <c r="N31" s="67" cm="1">
        <f t="array" ref="N31">IF($D$21="VDO 2021 - Final",
IF(N27=
ROUNDUP(
(INDEX(OP_TotalRates_SME_2[[Ausnet]:[United Energy]],MATCH("Anytime - supply",OP_TotalRates_SME_2[Rate name],0),MATCH(N$24,OP_TotalRates_SME_2[[#Headers],[Ausnet]:[United Energy]],0))*DiPY)+
(IFERROR((INDEX(OP_TotalRates_SME_2[[Ausnet]:[United Energy]],MATCH("Block 1",OP_TotalRates_SME_2[Rate name],0),MATCH(N$24,OP_TotalRates_SME_2[[#Headers],[Ausnet]:[United Energy]],0))*
INDEX(Input_Usage[],MATCH($L27&amp;" - Block 1",Input_Usage[Profile name]&amp;" - "&amp;Input_Usage[Usage type],0),MATCH($D$21,Inputs!$C$147:$BA$147,0))),0)+
IFERROR((INDEX(OP_TotalRates_SME_2[[Ausnet]:[United Energy]],MATCH("Balance",OP_TotalRates_SME_2[Rate name],0),MATCH(N$24,OP_TotalRates_SME_2[[#Headers],[Ausnet]:[United Energy]],0))*
INDEX(Input_Usage[],MATCH($L27&amp;" - Balance",Input_Usage[Profile name]&amp;" - "&amp;Input_Usage[Usage type],0),MATCH($D$21,Inputs!$C$147:$BA$147,0))),0)+
IFERROR((INDEX(OP_TotalRates_SME_2[[Ausnet]:[United Energy]],MATCH("Single rate",OP_TotalRates_SME_2[Rate name],0),MATCH(N$24,OP_TotalRates_SME_2[[#Headers],[Ausnet]:[United Energy]],0))*
INDEX(Input_Usage[],MATCH($L27&amp;" - Annual",Input_Usage[Profile name]&amp;" - "&amp;Input_Usage[Usage type],0),MATCH($D$21,Inputs!$C$147:$BA$147,0))),0)),0),0,1),
IF(N27=
ROUNDUP(
(INDEX(OP_TotalRates_SME_2[[Ausnet]:[United Energy]],MATCH("TOU - supply",OP_TotalRates_SME_2[Rate name],0),MATCH(N$24,OP_TotalRates_SME_2[[#Headers],[Ausnet]:[United Energy]],0))*DiPY)+
(INDEX(OP_TotalRates_SME_2[[Ausnet]:[United Energy]],MATCH("Peak",OP_TotalRates_SME_2[Rate name],0),MATCH(N$24,OP_TotalRates_SME_2[[#Headers],[Ausnet]:[United Energy]],0))*
INDEX(Input_Usage[],MATCH($L27&amp;" - Peak",Input_Usage[Profile name]&amp;" - "&amp;Input_Usage[Usage type],0),MATCH($D$21,Inputs!$C$147:$BA$147,0)))+
IFERROR((INDEX(OP_TotalRates_SME_2[[Ausnet]:[United Energy]],MATCH("TOU - Shoulder",OP_TotalRates_SME_2[Rate name],0),MATCH(N$24,OP_TotalRates_SME_2[[#Headers],[Ausnet]:[United Energy]],0))*
INDEX(Input_Usage[],MATCH($L27&amp;" - Shoulder",Input_Usage[Profile name]&amp;" - "&amp;Input_Usage[Usage type],0),MATCH($D$21,Inputs!$C$147:$BA$147,0))),0)+
(INDEX(OP_TotalRates_SME_2[[Ausnet]:[United Energy]],MATCH("Off peak",OP_TotalRates_SME_2[Rate name],0),MATCH(N$24,OP_TotalRates_SME_2[[#Headers],[Ausnet]:[United Energy]],0))*
INDEX(Input_Usage[],MATCH($L27&amp;" - Off peak",Input_Usage[Profile name]&amp;" - "&amp;Input_Usage[Usage type],0),MATCH($D$21,Inputs!$C$147:$BA$147,0))),0),0,1))</f>
        <v>0</v>
      </c>
      <c r="O31" s="67" cm="1">
        <f t="array" ref="O31">IF($D$21="VDO 2021 - Final",
IF(O27=
ROUNDUP(
(INDEX(OP_TotalRates_SME_2[[Ausnet]:[United Energy]],MATCH("Anytime - supply",OP_TotalRates_SME_2[Rate name],0),MATCH(O$24,OP_TotalRates_SME_2[[#Headers],[Ausnet]:[United Energy]],0))*DiPY)+
(IFERROR((INDEX(OP_TotalRates_SME_2[[Ausnet]:[United Energy]],MATCH("Block 1",OP_TotalRates_SME_2[Rate name],0),MATCH(O$24,OP_TotalRates_SME_2[[#Headers],[Ausnet]:[United Energy]],0))*
INDEX(Input_Usage[],MATCH($L27&amp;" - Block 1",Input_Usage[Profile name]&amp;" - "&amp;Input_Usage[Usage type],0),MATCH($D$21,Inputs!$C$147:$BA$147,0))),0)+
IFERROR((INDEX(OP_TotalRates_SME_2[[Ausnet]:[United Energy]],MATCH("Balance",OP_TotalRates_SME_2[Rate name],0),MATCH(O$24,OP_TotalRates_SME_2[[#Headers],[Ausnet]:[United Energy]],0))*
INDEX(Input_Usage[],MATCH($L27&amp;" - Balance",Input_Usage[Profile name]&amp;" - "&amp;Input_Usage[Usage type],0),MATCH($D$21,Inputs!$C$147:$BA$147,0))),0)+
IFERROR((INDEX(OP_TotalRates_SME_2[[Ausnet]:[United Energy]],MATCH("Single rate",OP_TotalRates_SME_2[Rate name],0),MATCH(O$24,OP_TotalRates_SME_2[[#Headers],[Ausnet]:[United Energy]],0))*
INDEX(Input_Usage[],MATCH($L27&amp;" - Annual",Input_Usage[Profile name]&amp;" - "&amp;Input_Usage[Usage type],0),MATCH($D$21,Inputs!$C$147:$BA$147,0))),0)),0),0,1),
IF(O27=
ROUNDUP(
(INDEX(OP_TotalRates_SME_2[[Ausnet]:[United Energy]],MATCH("TOU - supply",OP_TotalRates_SME_2[Rate name],0),MATCH(O$24,OP_TotalRates_SME_2[[#Headers],[Ausnet]:[United Energy]],0))*DiPY)+
(INDEX(OP_TotalRates_SME_2[[Ausnet]:[United Energy]],MATCH("Peak",OP_TotalRates_SME_2[Rate name],0),MATCH(O$24,OP_TotalRates_SME_2[[#Headers],[Ausnet]:[United Energy]],0))*
INDEX(Input_Usage[],MATCH($L27&amp;" - Peak",Input_Usage[Profile name]&amp;" - "&amp;Input_Usage[Usage type],0),MATCH($D$21,Inputs!$C$147:$BA$147,0)))+
IFERROR((INDEX(OP_TotalRates_SME_2[[Ausnet]:[United Energy]],MATCH("TOU - Shoulder",OP_TotalRates_SME_2[Rate name],0),MATCH(O$24,OP_TotalRates_SME_2[[#Headers],[Ausnet]:[United Energy]],0))*
INDEX(Input_Usage[],MATCH($L27&amp;" - Shoulder",Input_Usage[Profile name]&amp;" - "&amp;Input_Usage[Usage type],0),MATCH($D$21,Inputs!$C$147:$BA$147,0))),0)+
(INDEX(OP_TotalRates_SME_2[[Ausnet]:[United Energy]],MATCH("Off peak",OP_TotalRates_SME_2[Rate name],0),MATCH(O$24,OP_TotalRates_SME_2[[#Headers],[Ausnet]:[United Energy]],0))*
INDEX(Input_Usage[],MATCH($L27&amp;" - Off peak",Input_Usage[Profile name]&amp;" - "&amp;Input_Usage[Usage type],0),MATCH($D$21,Inputs!$C$147:$BA$147,0))),0),0,1))</f>
        <v>0</v>
      </c>
      <c r="P31" s="67" cm="1">
        <f t="array" ref="P31">IF($D$21="VDO 2021 - Final",
IF(P27=
ROUNDUP(
(INDEX(OP_TotalRates_SME_2[[Ausnet]:[United Energy]],MATCH("Anytime - supply",OP_TotalRates_SME_2[Rate name],0),MATCH(P$24,OP_TotalRates_SME_2[[#Headers],[Ausnet]:[United Energy]],0))*DiPY)+
(IFERROR((INDEX(OP_TotalRates_SME_2[[Ausnet]:[United Energy]],MATCH("Block 1",OP_TotalRates_SME_2[Rate name],0),MATCH(P$24,OP_TotalRates_SME_2[[#Headers],[Ausnet]:[United Energy]],0))*
INDEX(Input_Usage[],MATCH($L27&amp;" - Block 1",Input_Usage[Profile name]&amp;" - "&amp;Input_Usage[Usage type],0),MATCH($D$21,Inputs!$C$147:$BA$147,0))),0)+
IFERROR((INDEX(OP_TotalRates_SME_2[[Ausnet]:[United Energy]],MATCH("Balance",OP_TotalRates_SME_2[Rate name],0),MATCH(P$24,OP_TotalRates_SME_2[[#Headers],[Ausnet]:[United Energy]],0))*
INDEX(Input_Usage[],MATCH($L27&amp;" - Balance",Input_Usage[Profile name]&amp;" - "&amp;Input_Usage[Usage type],0),MATCH($D$21,Inputs!$C$147:$BA$147,0))),0)+
IFERROR((INDEX(OP_TotalRates_SME_2[[Ausnet]:[United Energy]],MATCH("Single rate",OP_TotalRates_SME_2[Rate name],0),MATCH(P$24,OP_TotalRates_SME_2[[#Headers],[Ausnet]:[United Energy]],0))*
INDEX(Input_Usage[],MATCH($L27&amp;" - Annual",Input_Usage[Profile name]&amp;" - "&amp;Input_Usage[Usage type],0),MATCH($D$21,Inputs!$C$147:$BA$147,0))),0)),0),0,1),
IF(P27=
ROUNDUP(
(INDEX(OP_TotalRates_SME_2[[Ausnet]:[United Energy]],MATCH("TOU - supply",OP_TotalRates_SME_2[Rate name],0),MATCH(P$24,OP_TotalRates_SME_2[[#Headers],[Ausnet]:[United Energy]],0))*DiPY)+
(INDEX(OP_TotalRates_SME_2[[Ausnet]:[United Energy]],MATCH("Peak",OP_TotalRates_SME_2[Rate name],0),MATCH(P$24,OP_TotalRates_SME_2[[#Headers],[Ausnet]:[United Energy]],0))*
INDEX(Input_Usage[],MATCH($L27&amp;" - Peak",Input_Usage[Profile name]&amp;" - "&amp;Input_Usage[Usage type],0),MATCH($D$21,Inputs!$C$147:$BA$147,0)))+
IFERROR((INDEX(OP_TotalRates_SME_2[[Ausnet]:[United Energy]],MATCH("TOU - Shoulder",OP_TotalRates_SME_2[Rate name],0),MATCH(P$24,OP_TotalRates_SME_2[[#Headers],[Ausnet]:[United Energy]],0))*
INDEX(Input_Usage[],MATCH($L27&amp;" - Shoulder",Input_Usage[Profile name]&amp;" - "&amp;Input_Usage[Usage type],0),MATCH($D$21,Inputs!$C$147:$BA$147,0))),0)+
(INDEX(OP_TotalRates_SME_2[[Ausnet]:[United Energy]],MATCH("Off peak",OP_TotalRates_SME_2[Rate name],0),MATCH(P$24,OP_TotalRates_SME_2[[#Headers],[Ausnet]:[United Energy]],0))*
INDEX(Input_Usage[],MATCH($L27&amp;" - Off peak",Input_Usage[Profile name]&amp;" - "&amp;Input_Usage[Usage type],0),MATCH($D$21,Inputs!$C$147:$BA$147,0))),0),0,1))</f>
        <v>0</v>
      </c>
      <c r="Q31" s="67" cm="1">
        <f t="array" ref="Q31">IF($D$21="VDO 2021 - Final",
IF(Q27=
ROUNDUP(
(INDEX(OP_TotalRates_SME_2[[Ausnet]:[United Energy]],MATCH("Anytime - supply",OP_TotalRates_SME_2[Rate name],0),MATCH(Q$24,OP_TotalRates_SME_2[[#Headers],[Ausnet]:[United Energy]],0))*DiPY)+
(IFERROR((INDEX(OP_TotalRates_SME_2[[Ausnet]:[United Energy]],MATCH("Block 1",OP_TotalRates_SME_2[Rate name],0),MATCH(Q$24,OP_TotalRates_SME_2[[#Headers],[Ausnet]:[United Energy]],0))*
INDEX(Input_Usage[],MATCH($L27&amp;" - Block 1",Input_Usage[Profile name]&amp;" - "&amp;Input_Usage[Usage type],0),MATCH($D$21,Inputs!$C$147:$BA$147,0))),0)+
IFERROR((INDEX(OP_TotalRates_SME_2[[Ausnet]:[United Energy]],MATCH("Balance",OP_TotalRates_SME_2[Rate name],0),MATCH(Q$24,OP_TotalRates_SME_2[[#Headers],[Ausnet]:[United Energy]],0))*
INDEX(Input_Usage[],MATCH($L27&amp;" - Balance",Input_Usage[Profile name]&amp;" - "&amp;Input_Usage[Usage type],0),MATCH($D$21,Inputs!$C$147:$BA$147,0))),0)+
IFERROR((INDEX(OP_TotalRates_SME_2[[Ausnet]:[United Energy]],MATCH("Single rate",OP_TotalRates_SME_2[Rate name],0),MATCH(Q$24,OP_TotalRates_SME_2[[#Headers],[Ausnet]:[United Energy]],0))*
INDEX(Input_Usage[],MATCH($L27&amp;" - Annual",Input_Usage[Profile name]&amp;" - "&amp;Input_Usage[Usage type],0),MATCH($D$21,Inputs!$C$147:$BA$147,0))),0)),0),0,1),
IF(Q27=
ROUNDUP(
(INDEX(OP_TotalRates_SME_2[[Ausnet]:[United Energy]],MATCH("TOU - supply",OP_TotalRates_SME_2[Rate name],0),MATCH(Q$24,OP_TotalRates_SME_2[[#Headers],[Ausnet]:[United Energy]],0))*DiPY)+
(INDEX(OP_TotalRates_SME_2[[Ausnet]:[United Energy]],MATCH("Peak",OP_TotalRates_SME_2[Rate name],0),MATCH(Q$24,OP_TotalRates_SME_2[[#Headers],[Ausnet]:[United Energy]],0))*
INDEX(Input_Usage[],MATCH($L27&amp;" - Peak",Input_Usage[Profile name]&amp;" - "&amp;Input_Usage[Usage type],0),MATCH($D$21,Inputs!$C$147:$BA$147,0)))+
IFERROR((INDEX(OP_TotalRates_SME_2[[Ausnet]:[United Energy]],MATCH("TOU - Shoulder",OP_TotalRates_SME_2[Rate name],0),MATCH(Q$24,OP_TotalRates_SME_2[[#Headers],[Ausnet]:[United Energy]],0))*
INDEX(Input_Usage[],MATCH($L27&amp;" - Shoulder",Input_Usage[Profile name]&amp;" - "&amp;Input_Usage[Usage type],0),MATCH($D$21,Inputs!$C$147:$BA$147,0))),0)+
(INDEX(OP_TotalRates_SME_2[[Ausnet]:[United Energy]],MATCH("Off peak",OP_TotalRates_SME_2[Rate name],0),MATCH(Q$24,OP_TotalRates_SME_2[[#Headers],[Ausnet]:[United Energy]],0))*
INDEX(Input_Usage[],MATCH($L27&amp;" - Off peak",Input_Usage[Profile name]&amp;" - "&amp;Input_Usage[Usage type],0),MATCH($D$21,Inputs!$C$147:$BA$147,0))),0),0,1))</f>
        <v>0</v>
      </c>
    </row>
    <row r="33" spans="1:18" ht="16.5" thickBot="1" x14ac:dyDescent="0.3">
      <c r="A33" s="1" t="s">
        <v>36</v>
      </c>
      <c r="B33" s="155">
        <f ca="1">MAX(B$3:B32)+0.01</f>
        <v>6.0299999999999994</v>
      </c>
      <c r="C33" s="19" t="s">
        <v>98</v>
      </c>
      <c r="D33" s="19"/>
      <c r="E33" s="19"/>
      <c r="F33" s="19"/>
      <c r="G33" s="19"/>
      <c r="H33" s="19"/>
      <c r="I33" s="19"/>
      <c r="J33" s="19"/>
      <c r="K33" s="19"/>
      <c r="L33" s="19"/>
      <c r="M33" s="19"/>
      <c r="N33" s="19"/>
      <c r="O33" s="19"/>
      <c r="P33" s="19"/>
      <c r="Q33" s="19"/>
      <c r="R33" s="19"/>
    </row>
    <row r="35" spans="1:18" ht="15.75" x14ac:dyDescent="0.25">
      <c r="C35" s="29" t="s">
        <v>63</v>
      </c>
      <c r="D35" s="29" t="s">
        <v>91</v>
      </c>
      <c r="E35" s="32" t="s">
        <v>65</v>
      </c>
      <c r="F35" s="32" t="s">
        <v>66</v>
      </c>
      <c r="G35" s="32" t="s">
        <v>67</v>
      </c>
      <c r="H35" s="32" t="s">
        <v>68</v>
      </c>
      <c r="I35" s="32" t="s">
        <v>69</v>
      </c>
      <c r="K35" s="29" t="s">
        <v>63</v>
      </c>
      <c r="L35" s="29" t="s">
        <v>91</v>
      </c>
      <c r="M35" s="32" t="s">
        <v>65</v>
      </c>
      <c r="N35" s="32" t="s">
        <v>66</v>
      </c>
      <c r="O35" s="32" t="s">
        <v>67</v>
      </c>
      <c r="P35" s="32" t="s">
        <v>68</v>
      </c>
      <c r="Q35" s="32" t="s">
        <v>69</v>
      </c>
    </row>
    <row r="36" spans="1:18" hidden="1" x14ac:dyDescent="0.25">
      <c r="C36" s="14" t="str" cm="1">
        <f t="array" ref="C36:C38">INDEX($C$25:$D$27,0,1)</f>
        <v>Residential</v>
      </c>
      <c r="D36" s="14" t="str" cm="1">
        <f t="array" ref="D36:D38">INDEX($C$25:$D$27,0,2)</f>
        <v>Residential - small</v>
      </c>
      <c r="E36" s="142">
        <f>IFERROR((E11-E25)/E25,"-")</f>
        <v>-4.9372384937238493E-2</v>
      </c>
      <c r="F36" s="142">
        <f t="shared" ref="E36:I38" si="0">IFERROR((F11-F25)/F25,"-")</f>
        <v>-6.1306532663316586E-2</v>
      </c>
      <c r="G36" s="142">
        <f t="shared" si="0"/>
        <v>-1.8251681075888569E-2</v>
      </c>
      <c r="H36" s="142">
        <f t="shared" si="0"/>
        <v>-4.5172719220549155E-2</v>
      </c>
      <c r="I36" s="142">
        <f t="shared" si="0"/>
        <v>-6.0487804878048779E-2</v>
      </c>
      <c r="J36" s="84"/>
      <c r="K36" s="143" t="str" cm="1">
        <f t="array" ref="K36:K38">INDEX($K$25:$L$27,0,1)</f>
        <v>Small business</v>
      </c>
      <c r="L36" s="143" t="str" cm="1">
        <f t="array" ref="L36:L38">INDEX($K$25:$L$27,0,2)</f>
        <v>Small business - small</v>
      </c>
      <c r="M36" s="142">
        <f t="shared" ref="M36:Q38" si="1">IFERROR((M11-M25)/M25,"-")</f>
        <v>-8.9899250839576339E-2</v>
      </c>
      <c r="N36" s="142">
        <f t="shared" si="1"/>
        <v>-9.8216983983076461E-2</v>
      </c>
      <c r="O36" s="142">
        <f t="shared" si="1"/>
        <v>-4.3067518755209783E-2</v>
      </c>
      <c r="P36" s="142">
        <f t="shared" si="1"/>
        <v>-7.0863995639138727E-2</v>
      </c>
      <c r="Q36" s="142">
        <f t="shared" si="1"/>
        <v>-8.8396199251367699E-2</v>
      </c>
    </row>
    <row r="37" spans="1:18" x14ac:dyDescent="0.25">
      <c r="C37" s="14" t="str">
        <v>Residential</v>
      </c>
      <c r="D37" s="14" t="str">
        <v>Residential - medium</v>
      </c>
      <c r="E37" s="142">
        <f>IFERROR((E12-E26)/E26,"-")</f>
        <v>-6.3517060367454067E-2</v>
      </c>
      <c r="F37" s="142">
        <f t="shared" si="0"/>
        <v>-8.0408423739629864E-2</v>
      </c>
      <c r="G37" s="142">
        <f t="shared" si="0"/>
        <v>-3.7259615384615384E-2</v>
      </c>
      <c r="H37" s="142">
        <f t="shared" si="0"/>
        <v>-6.0606060606060608E-2</v>
      </c>
      <c r="I37" s="142">
        <f t="shared" si="0"/>
        <v>-7.7388149939540504E-2</v>
      </c>
      <c r="J37" s="84"/>
      <c r="K37" s="143" t="str">
        <v>Small business</v>
      </c>
      <c r="L37" s="143" t="str">
        <v>Small business - medium</v>
      </c>
      <c r="M37" s="142">
        <f t="shared" si="1"/>
        <v>-9.6196251378169784E-2</v>
      </c>
      <c r="N37" s="142">
        <f t="shared" si="1"/>
        <v>-0.10659484165850473</v>
      </c>
      <c r="O37" s="142">
        <f t="shared" si="1"/>
        <v>-4.9521494759228318E-2</v>
      </c>
      <c r="P37" s="142">
        <f t="shared" si="1"/>
        <v>-7.7634282359847373E-2</v>
      </c>
      <c r="Q37" s="142">
        <f t="shared" si="1"/>
        <v>-9.6903404714219682E-2</v>
      </c>
    </row>
    <row r="38" spans="1:18" hidden="1" x14ac:dyDescent="0.25">
      <c r="C38" s="14" t="str">
        <v>Residential</v>
      </c>
      <c r="D38" s="14" t="str">
        <v>Residential - large</v>
      </c>
      <c r="E38" s="142">
        <f t="shared" si="0"/>
        <v>-7.3984962406015042E-2</v>
      </c>
      <c r="F38" s="142">
        <f t="shared" si="0"/>
        <v>-9.5097677847401405E-2</v>
      </c>
      <c r="G38" s="142">
        <f t="shared" si="0"/>
        <v>-5.0550206327372768E-2</v>
      </c>
      <c r="H38" s="142">
        <f t="shared" si="0"/>
        <v>-7.1243523316062179E-2</v>
      </c>
      <c r="I38" s="142">
        <f t="shared" si="0"/>
        <v>-8.962912087912088E-2</v>
      </c>
      <c r="J38" s="84"/>
      <c r="K38" s="143" t="str">
        <v>Small business</v>
      </c>
      <c r="L38" s="143" t="str">
        <v>Small business - large</v>
      </c>
      <c r="M38" s="142">
        <f t="shared" si="1"/>
        <v>-9.9672037644374739E-2</v>
      </c>
      <c r="N38" s="142">
        <f t="shared" si="1"/>
        <v>-0.1114795918367347</v>
      </c>
      <c r="O38" s="142">
        <f t="shared" si="1"/>
        <v>-5.3147410358565739E-2</v>
      </c>
      <c r="P38" s="142">
        <f t="shared" si="1"/>
        <v>-8.1489394170608881E-2</v>
      </c>
      <c r="Q38" s="142">
        <f t="shared" si="1"/>
        <v>-0.10154067214815997</v>
      </c>
    </row>
    <row r="40" spans="1:18" x14ac:dyDescent="0.25">
      <c r="I40" s="133"/>
      <c r="Q40" s="133"/>
    </row>
    <row r="42" spans="1:18" x14ac:dyDescent="0.25">
      <c r="E42" s="133"/>
      <c r="F42" s="133"/>
      <c r="G42" s="133"/>
      <c r="H42" s="133"/>
      <c r="I42" s="133"/>
    </row>
    <row r="43" spans="1:18" x14ac:dyDescent="0.25">
      <c r="E43" s="133"/>
      <c r="F43" s="133"/>
      <c r="G43" s="133"/>
      <c r="H43" s="133"/>
      <c r="I43" s="133"/>
    </row>
  </sheetData>
  <sheetProtection algorithmName="SHA-512" hashValue="G1HK9dQOofrdcKOzCmMqEBl0ZZivaoBHdrup0BXgugiDUbXRinJSmFxmp9xJ+xUw0v5RYi4QFoAbNaCCPNud7Q==" saltValue="wTiphEWmJeh9wr9TCXf/5A==" spinCount="100000" sheet="1" objects="1" scenarios="1"/>
  <mergeCells count="1">
    <mergeCell ref="A2:A3"/>
  </mergeCells>
  <hyperlinks>
    <hyperlink ref="B1" location="Contents!A1" display="&lt;&lt; Back to Contents" xr:uid="{72D070BC-6A16-4A1E-B761-37D02511BDB6}"/>
  </hyperlinks>
  <pageMargins left="0.7" right="0.7" top="0.75" bottom="0.75" header="0.3" footer="0.3"/>
  <pageSetup paperSize="9" orientation="portrait" r:id="rId1"/>
  <headerFooter>
    <oddHeader>&amp;C&amp;B&amp;"Arial"&amp;12&amp;Kff0000​‌OFFICIAL‌​</oddHeader>
  </headerFooter>
  <ignoredErrors>
    <ignoredError sqref="E14:Q14 J11:L11 J12:L12 J13:L13 E19:Q24 J15:L15 J16 J17 J27:L27 J25:L25 J26:L26 L17 L16 E18:J18 L18:Q18" calculatedColumn="1"/>
  </ignoredErrors>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B7840FAA-381E-4BFC-8632-0963076DE389}">
          <x14:formula1>
            <xm:f>'Lookup refs'!$G$8:$G$10</xm:f>
          </x14:formula1>
          <xm:sqref>K11:K13 C11:C13 K25:K27 C25:C32</xm:sqref>
        </x14:dataValidation>
        <x14:dataValidation type="list" allowBlank="1" showInputMessage="1" showErrorMessage="1" xr:uid="{63AEA5C8-119D-41ED-8ABB-2707A0C4A19F}">
          <x14:formula1>
            <xm:f>'Lookup refs'!$I$8:$I$13</xm:f>
          </x14:formula1>
          <xm:sqref>D11:D13 L11:L13 L25:L27 D25:D32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463A0-A632-4C6A-AD23-D09871669E5A}">
  <sheetPr>
    <tabColor rgb="FFED8B00"/>
    <pageSetUpPr autoPageBreaks="0"/>
  </sheetPr>
  <dimension ref="A1:R111"/>
  <sheetViews>
    <sheetView showGridLines="0" topLeftCell="B1" zoomScale="70" zoomScaleNormal="70" workbookViewId="0">
      <pane ySplit="3" topLeftCell="A30" activePane="bottomLeft" state="frozen"/>
      <selection activeCell="B33" sqref="B33"/>
      <selection pane="bottomLeft" activeCell="B1" sqref="B1"/>
    </sheetView>
  </sheetViews>
  <sheetFormatPr defaultColWidth="9.42578125" defaultRowHeight="15" outlineLevelRow="1" outlineLevelCol="1" x14ac:dyDescent="0.25"/>
  <cols>
    <col min="1" max="1" width="100.5703125" hidden="1" customWidth="1" outlineLevel="1"/>
    <col min="2" max="2" width="10.5703125" style="5" customWidth="1" collapsed="1"/>
    <col min="3" max="3" width="25.5703125" customWidth="1"/>
    <col min="4" max="4" width="18.28515625" bestFit="1" customWidth="1"/>
    <col min="5" max="5" width="17.28515625" customWidth="1"/>
    <col min="6" max="6" width="19.5703125" customWidth="1"/>
    <col min="7" max="7" width="32.42578125" bestFit="1" customWidth="1"/>
    <col min="8" max="10" width="25.5703125" customWidth="1"/>
    <col min="11" max="11" width="33.28515625" bestFit="1" customWidth="1"/>
    <col min="12" max="12" width="19.28515625" customWidth="1"/>
    <col min="13" max="13" width="15.85546875" customWidth="1"/>
    <col min="14" max="14" width="14.140625" customWidth="1"/>
    <col min="15" max="15" width="27.42578125" bestFit="1" customWidth="1"/>
    <col min="16" max="16" width="19" bestFit="1" customWidth="1"/>
    <col min="17" max="17" width="25.5703125" customWidth="1"/>
    <col min="18" max="18" width="5.5703125" customWidth="1"/>
  </cols>
  <sheetData>
    <row r="1" spans="1:18" ht="15" customHeight="1" x14ac:dyDescent="0.25">
      <c r="A1" s="1" t="s">
        <v>33</v>
      </c>
      <c r="B1" s="249" t="s">
        <v>576</v>
      </c>
      <c r="C1" s="13"/>
      <c r="D1" s="13"/>
      <c r="E1" s="13"/>
      <c r="F1" s="85" t="s">
        <v>58</v>
      </c>
      <c r="G1" s="70"/>
      <c r="H1" s="13"/>
      <c r="I1" s="13"/>
      <c r="J1" s="13"/>
      <c r="K1" s="13"/>
      <c r="L1" s="13"/>
      <c r="M1" s="13"/>
      <c r="N1" s="13"/>
      <c r="O1" s="13"/>
      <c r="P1" s="13"/>
      <c r="Q1" s="13"/>
      <c r="R1" s="13"/>
    </row>
    <row r="2" spans="1:18" s="3" customFormat="1" ht="50.1" customHeight="1" x14ac:dyDescent="0.25">
      <c r="A2" s="253" t="s">
        <v>34</v>
      </c>
      <c r="B2" s="16"/>
      <c r="C2" s="16" t="str">
        <f>Disclaimer!$B$1</f>
        <v>VDO calculation model</v>
      </c>
      <c r="D2" s="16"/>
      <c r="E2" s="16"/>
      <c r="F2" s="124" t="str">
        <f>Calc_Rates!$D$5</f>
        <v>VDO 2024-25 - Final</v>
      </c>
      <c r="G2" s="124" t="str">
        <f>Calc_Rates!$D$267</f>
        <v>VDO 2023-24 - Final</v>
      </c>
      <c r="H2" s="16"/>
      <c r="I2" s="16"/>
      <c r="J2" s="16"/>
      <c r="K2" s="16"/>
      <c r="L2" s="16"/>
      <c r="M2" s="16"/>
      <c r="N2" s="16"/>
      <c r="O2" s="16"/>
      <c r="P2" s="16"/>
      <c r="Q2" s="16"/>
      <c r="R2" s="16"/>
    </row>
    <row r="3" spans="1:18" s="3" customFormat="1" ht="30" customHeight="1" x14ac:dyDescent="0.25">
      <c r="A3" s="254"/>
      <c r="B3" s="18">
        <f ca="1">_xlfn.SHEET()</f>
        <v>7</v>
      </c>
      <c r="C3" s="17" t="s">
        <v>512</v>
      </c>
      <c r="D3" s="17"/>
      <c r="E3" s="17"/>
      <c r="F3" s="69">
        <f>SUM(D70:H70,M35)</f>
        <v>0</v>
      </c>
      <c r="G3" s="69">
        <f>SUM(L70:P70,M36)</f>
        <v>0</v>
      </c>
      <c r="H3" s="17"/>
      <c r="I3" s="17"/>
      <c r="J3" s="17"/>
      <c r="K3" s="17"/>
      <c r="L3" s="17"/>
      <c r="M3" s="17"/>
      <c r="N3" s="17"/>
      <c r="O3" s="17"/>
      <c r="P3" s="17"/>
      <c r="Q3" s="17"/>
      <c r="R3" s="17"/>
    </row>
    <row r="4" spans="1:18" x14ac:dyDescent="0.25">
      <c r="B4"/>
    </row>
    <row r="5" spans="1:18" ht="16.5" thickBot="1" x14ac:dyDescent="0.3">
      <c r="A5" s="1" t="s">
        <v>36</v>
      </c>
      <c r="B5" s="155">
        <f ca="1">MAX(B$3:B4)+0.01</f>
        <v>7.01</v>
      </c>
      <c r="C5" s="19" t="str">
        <f>"VDO cost stack chart - Flat VDO - "&amp;IF(ISNUMBER(SEARCH("Residential",$C$48)),"Residential","Small business")</f>
        <v>VDO cost stack chart - Flat VDO - Residential</v>
      </c>
      <c r="D5" s="19"/>
      <c r="E5" s="19"/>
      <c r="F5" s="19"/>
      <c r="G5" s="19"/>
      <c r="H5" s="19"/>
      <c r="I5" s="19"/>
      <c r="J5" s="19"/>
      <c r="K5" s="19"/>
      <c r="L5" s="19"/>
      <c r="M5" s="19"/>
      <c r="N5" s="19"/>
      <c r="O5" s="19"/>
      <c r="P5" s="19"/>
      <c r="Q5" s="19"/>
      <c r="R5" s="19"/>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18" outlineLevel="1" x14ac:dyDescent="0.25">
      <c r="B17"/>
    </row>
    <row r="18" spans="2:18" outlineLevel="1" x14ac:dyDescent="0.25">
      <c r="B18"/>
    </row>
    <row r="19" spans="2:18" outlineLevel="1" x14ac:dyDescent="0.25">
      <c r="B19"/>
    </row>
    <row r="20" spans="2:18" outlineLevel="1" x14ac:dyDescent="0.25">
      <c r="B20"/>
    </row>
    <row r="21" spans="2:18" outlineLevel="1" x14ac:dyDescent="0.25">
      <c r="B21"/>
    </row>
    <row r="22" spans="2:18" outlineLevel="1" x14ac:dyDescent="0.25">
      <c r="B22"/>
    </row>
    <row r="23" spans="2:18" outlineLevel="1" x14ac:dyDescent="0.25">
      <c r="B23"/>
    </row>
    <row r="24" spans="2:18" outlineLevel="1" x14ac:dyDescent="0.25">
      <c r="B24"/>
    </row>
    <row r="25" spans="2:18" outlineLevel="1" x14ac:dyDescent="0.25">
      <c r="B25"/>
    </row>
    <row r="26" spans="2:18" outlineLevel="1" x14ac:dyDescent="0.25">
      <c r="B26"/>
    </row>
    <row r="27" spans="2:18" outlineLevel="1" x14ac:dyDescent="0.25">
      <c r="B27"/>
    </row>
    <row r="28" spans="2:18" outlineLevel="1" x14ac:dyDescent="0.25">
      <c r="B28"/>
    </row>
    <row r="29" spans="2:18" outlineLevel="1" x14ac:dyDescent="0.25">
      <c r="B29"/>
    </row>
    <row r="30" spans="2:18" outlineLevel="1" x14ac:dyDescent="0.25">
      <c r="B30"/>
    </row>
    <row r="31" spans="2:18" ht="15.75" outlineLevel="1" x14ac:dyDescent="0.25">
      <c r="B31"/>
      <c r="C31" s="29" t="s">
        <v>513</v>
      </c>
      <c r="D31" s="180" t="s">
        <v>514</v>
      </c>
    </row>
    <row r="32" spans="2:18" ht="15.75" outlineLevel="1" x14ac:dyDescent="0.25">
      <c r="B32"/>
      <c r="C32" s="29" t="s">
        <v>515</v>
      </c>
      <c r="D32" s="75" t="s">
        <v>72</v>
      </c>
      <c r="H32" s="128"/>
      <c r="I32" s="83"/>
      <c r="J32" s="83"/>
      <c r="K32" s="137"/>
      <c r="R32" s="137"/>
    </row>
    <row r="33" spans="1:18" outlineLevel="1" x14ac:dyDescent="0.25">
      <c r="B33"/>
      <c r="R33" s="137"/>
    </row>
    <row r="34" spans="1:18" ht="15.75" outlineLevel="1" x14ac:dyDescent="0.25">
      <c r="B34"/>
      <c r="C34" s="29" t="s">
        <v>516</v>
      </c>
      <c r="D34" s="29" t="s">
        <v>182</v>
      </c>
      <c r="E34" s="29" t="s">
        <v>87</v>
      </c>
      <c r="F34" s="29" t="s">
        <v>136</v>
      </c>
      <c r="G34" s="29" t="s">
        <v>89</v>
      </c>
      <c r="H34" s="29" t="s">
        <v>147</v>
      </c>
      <c r="I34" s="29" t="s">
        <v>262</v>
      </c>
      <c r="J34" s="29" t="s">
        <v>366</v>
      </c>
      <c r="K34" s="29" t="s">
        <v>517</v>
      </c>
    </row>
    <row r="35" spans="1:18" ht="15.75" outlineLevel="1" x14ac:dyDescent="0.25">
      <c r="B35"/>
      <c r="C35" s="58" t="str">
        <f>$L$45</f>
        <v>VDO 2023-24 - Final</v>
      </c>
      <c r="D35" s="76">
        <f>INDEX(CostStackCalcs_RES_2[[Ausnet]:[Average]],MATCH(D$34,CostStackCalcs_RES_2[Labels],0),MATCH($D$31,CostStackCalcs_RES_2[[#Headers],[Ausnet]:[Average]],0))</f>
        <v>635.56598304666477</v>
      </c>
      <c r="E35" s="76">
        <f>INDEX(CostStackCalcs_RES_2[[Ausnet]:[Average]],MATCH(E$34,CostStackCalcs_RES_2[[Labels]:[Labels]],0),MATCH($D$31,CostStackCalcs_RES_2[[#Headers],[Ausnet]:[Average]],0))</f>
        <v>548.78546404067549</v>
      </c>
      <c r="F35" s="76">
        <f>INDEX(CostStackCalcs_RES_2[[Ausnet]:[Average]],MATCH(F$34,CostStackCalcs_RES_2[[Labels]:[Labels]],0),MATCH($D$31,CostStackCalcs_RES_2[[#Headers],[Ausnet]:[Average]],0))</f>
        <v>175.92415101117138</v>
      </c>
      <c r="G35" s="76">
        <f>INDEX(CostStackCalcs_RES_2[[Ausnet]:[Average]],MATCH("Environmental schemes",CostStackCalcs_RES_2[[Labels]:[Labels]],0),MATCH($D$31,CostStackCalcs_RES_2[[#Headers],[Ausnet]:[Average]],0))+
INDEX(CostStackCalcs_RES_2[[Ausnet]:[Average]],MATCH("FiT",CostStackCalcs_RES_2[[Labels]:[Labels]],0),MATCH($D$31,CostStackCalcs_RES_2[[#Headers],[Ausnet]:[Average]],0))+
IF(INDEX(CostStackCalcs_RES_2[[Ausnet]:[Average]],MATCH("Environmental true up",CostStackCalcs_RES_2[[Labels]:[Labels]],0),MATCH($D$31,CostStackCalcs_RES_2[[#Headers],[Ausnet]:[Average]],0))="-",0,
INDEX(CostStackCalcs_RES_2[[Ausnet]:[Average]],MATCH("Environmental true up",CostStackCalcs_RES_2[[Labels]:[Labels]],0),MATCH($D$31,CostStackCalcs_RES_2[[#Headers],[Ausnet]:[Average]],0)))</f>
        <v>131.71167452697065</v>
      </c>
      <c r="H35" s="76">
        <f>INDEX(CostStackCalcs_RES_2[[Ausnet]:[Average]],MATCH(H$34,CostStackCalcs_RES_2[[Labels]:[Labels]],0),MATCH($D$31,CostStackCalcs_RES_2[[#Headers],[Ausnet]:[Average]],0))</f>
        <v>17.775747550251065</v>
      </c>
      <c r="I35" s="76">
        <f>INDEX(CostStackCalcs_RES_2[[Ausnet]:[Average]],MATCH(I$34,CostStackCalcs_RES_2[[Labels]:[Labels]],0),MATCH($D$31,CostStackCalcs_RES_2[[#Headers],[Ausnet]:[Average]],0))</f>
        <v>84.863307286151937</v>
      </c>
      <c r="J35" s="76">
        <f>INDEX(CostStackCalcs_RES_2[[Ausnet]:[Average]],MATCH(J$34,CostStackCalcs_RES_2[[Labels]:[Labels]],0),MATCH($D$31,CostStackCalcs_RES_2[[#Headers],[Ausnet]:[Average]],0))</f>
        <v>160.0279508824579</v>
      </c>
      <c r="K35" s="76">
        <f>INDEX(CostStackCalcs_RES_2[[Ausnet]:[Average]],MATCH(K$34,CostStackCalcs_RES_2[[Labels]:[Labels]],0),MATCH($D$31,CostStackCalcs_RES_2[[#Headers],[Ausnet]:[Average]],0))</f>
        <v>1755.2</v>
      </c>
      <c r="M35" s="15">
        <f>IF(OR(ROUNDUP(SUM(D35:J35),0)-K35&lt;1,ROUNDUP(SUM(D35:J35),0)-K35&gt;-1),0,1)</f>
        <v>0</v>
      </c>
      <c r="N35" s="83"/>
      <c r="O35" s="83"/>
      <c r="P35" s="83"/>
      <c r="Q35" s="83"/>
      <c r="R35" s="83"/>
    </row>
    <row r="36" spans="1:18" ht="15.75" outlineLevel="1" x14ac:dyDescent="0.25">
      <c r="B36"/>
      <c r="C36" s="58" t="str">
        <f>$D$45</f>
        <v>VDO 2024-25 - Final</v>
      </c>
      <c r="D36" s="76">
        <f>INDEX(CostStackCalcs_RES_1[[Ausnet]:[Average]],MATCH(D$34,CostStackCalcs_RES_1[[Labels]:[Labels]],0),MATCH($D$31,CostStackCalcs_RES_1[[#Headers],[Ausnet]:[Average]],0))</f>
        <v>492.34815933476574</v>
      </c>
      <c r="E36" s="76">
        <f>INDEX(CostStackCalcs_RES_1[[Ausnet]:[Average]],MATCH(E$34,CostStackCalcs_RES_1[[Labels]:[Labels]],0),MATCH($D$31,CostStackCalcs_RES_1[[#Headers],[Ausnet]:[Average]],0))</f>
        <v>593.06974347721575</v>
      </c>
      <c r="F36" s="76">
        <f>INDEX(CostStackCalcs_RES_1[[Ausnet]:[Average]],MATCH(F$34,CostStackCalcs_RES_1[[Labels]:[Labels]],0),MATCH($D$31,CostStackCalcs_RES_1[[#Headers],[Ausnet]:[Average]],0))</f>
        <v>185.86772433721131</v>
      </c>
      <c r="G36" s="76">
        <f>INDEX(CostStackCalcs_RES_1[[Ausnet]:[Average]],MATCH("Environmental schemes",CostStackCalcs_RES_1[[Labels]:[Labels]],0),MATCH($D$31,CostStackCalcs_RES_1[[#Headers],[Ausnet]:[Average]],0))+
INDEX(CostStackCalcs_RES_1[[Ausnet]:[Average]],MATCH("FiT",CostStackCalcs_RES_1[[Labels]:[Labels]],0),MATCH($D$31,CostStackCalcs_RES_1[[#Headers],[Ausnet]:[Average]],0))+
IF(INDEX(CostStackCalcs_RES_1[[Ausnet]:[Average]],MATCH("Environmental true up",CostStackCalcs_RES_1[[Labels]:[Labels]],0),MATCH($D$31,CostStackCalcs_RES_1[[#Headers],[Ausnet]:[Average]],0))="-",0,
INDEX(CostStackCalcs_RES_1[[Ausnet]:[Average]],MATCH("Environmental true up",CostStackCalcs_RES_1[[Labels]:[Labels]],0),MATCH($D$31,CostStackCalcs_RES_1[[#Headers],[Ausnet]:[Average]],0)))</f>
        <v>135.21675811824983</v>
      </c>
      <c r="H36" s="76">
        <f>INDEX(CostStackCalcs_RES_1[[Ausnet]:[Average]],MATCH(H$34,CostStackCalcs_RES_1[[Labels]:[Labels]],0),MATCH($D$31,CostStackCalcs_RES_1[[#Headers],[Ausnet]:[Average]],0))</f>
        <v>18.340999644108383</v>
      </c>
      <c r="I36" s="76">
        <f>INDEX(CostStackCalcs_RES_1[[Ausnet]:[Average]],MATCH(I$34,CostStackCalcs_RES_1[[Labels]:[Labels]],0),MATCH($D$31,CostStackCalcs_RES_1[[#Headers],[Ausnet]:[Average]],0))</f>
        <v>79.646909035372261</v>
      </c>
      <c r="J36" s="76">
        <f>INDEX(CostStackCalcs_RES_1[[Ausnet]:[Average]],MATCH(J$34,CostStackCalcs_RES_1[[Labels]:[Labels]],0),MATCH($D$31,CostStackCalcs_RES_1[[#Headers],[Ausnet]:[Average]],0))</f>
        <v>150.19131418098772</v>
      </c>
      <c r="K36" s="76">
        <f>INDEX(CostStackCalcs_RES_1[[Ausnet]:[Average]],MATCH(K$34,CostStackCalcs_RES_1[Labels],0),MATCH($D$31,CostStackCalcs_RES_1[[#Headers],[Ausnet]:[Average]],0))</f>
        <v>1655</v>
      </c>
      <c r="L36" s="83"/>
      <c r="M36" s="15">
        <f>IF(OR(ROUNDUP(SUM(D36:J36),0)-K36&lt;1,ROUNDUP(SUM(D36:J36),0)-K36&gt;-1),0,1)</f>
        <v>0</v>
      </c>
    </row>
    <row r="37" spans="1:18" outlineLevel="1" x14ac:dyDescent="0.25">
      <c r="B37"/>
      <c r="D37" s="83">
        <f>D36-D35</f>
        <v>-143.21782371189903</v>
      </c>
      <c r="E37" s="83">
        <f t="shared" ref="E37:K37" si="0">E36-E35</f>
        <v>44.28427943654026</v>
      </c>
      <c r="F37" s="83">
        <f t="shared" si="0"/>
        <v>9.9435733260399388</v>
      </c>
      <c r="G37" s="83">
        <f>G36-G35</f>
        <v>3.505083591279174</v>
      </c>
      <c r="H37" s="83">
        <f t="shared" si="0"/>
        <v>0.56525209385731756</v>
      </c>
      <c r="I37" s="83">
        <f t="shared" si="0"/>
        <v>-5.216398250779676</v>
      </c>
      <c r="J37" s="83">
        <f t="shared" si="0"/>
        <v>-9.8366367014701837</v>
      </c>
      <c r="K37" s="83">
        <f t="shared" si="0"/>
        <v>-100.20000000000005</v>
      </c>
    </row>
    <row r="38" spans="1:18" outlineLevel="1" x14ac:dyDescent="0.25">
      <c r="B38"/>
      <c r="C38" s="58" t="str">
        <f>$L$45</f>
        <v>VDO 2023-24 - Final</v>
      </c>
      <c r="D38" s="81">
        <f>D35/$K35</f>
        <v>0.36210459380507337</v>
      </c>
      <c r="E38" s="81">
        <f>E35/$K35</f>
        <v>0.31266263903867109</v>
      </c>
      <c r="F38" s="81">
        <f t="shared" ref="F38:K39" si="1">F35/$K35</f>
        <v>0.10023025923608214</v>
      </c>
      <c r="G38" s="81">
        <f>G35/$K35</f>
        <v>7.5040835532686104E-2</v>
      </c>
      <c r="H38" s="81">
        <f t="shared" si="1"/>
        <v>1.0127476954336296E-2</v>
      </c>
      <c r="I38" s="81">
        <f t="shared" si="1"/>
        <v>4.8349650915082004E-2</v>
      </c>
      <c r="J38" s="81">
        <f>J35/$K35</f>
        <v>9.1173627439868898E-2</v>
      </c>
      <c r="K38" s="81">
        <f t="shared" si="1"/>
        <v>1</v>
      </c>
    </row>
    <row r="39" spans="1:18" outlineLevel="1" x14ac:dyDescent="0.25">
      <c r="B39"/>
      <c r="C39" s="58" t="str">
        <f>$D$45</f>
        <v>VDO 2024-25 - Final</v>
      </c>
      <c r="D39" s="81">
        <f>D36/$K36</f>
        <v>0.2974913349454778</v>
      </c>
      <c r="E39" s="81">
        <f>E36/$K36</f>
        <v>0.35835029817354425</v>
      </c>
      <c r="F39" s="81">
        <f>F36/$K36</f>
        <v>0.11230678207686484</v>
      </c>
      <c r="G39" s="81">
        <f>G36/$K36</f>
        <v>8.170196865151047E-2</v>
      </c>
      <c r="H39" s="81">
        <f t="shared" si="1"/>
        <v>1.1082175011545851E-2</v>
      </c>
      <c r="I39" s="81">
        <f>I36/$K36</f>
        <v>4.8125020565179616E-2</v>
      </c>
      <c r="J39" s="81">
        <f t="shared" si="1"/>
        <v>9.0750038780053E-2</v>
      </c>
      <c r="K39" s="81">
        <f t="shared" si="1"/>
        <v>1</v>
      </c>
      <c r="L39" s="81"/>
    </row>
    <row r="40" spans="1:18" ht="15.75" outlineLevel="1" x14ac:dyDescent="0.25">
      <c r="B40"/>
      <c r="C40" s="20" t="s">
        <v>518</v>
      </c>
      <c r="D40" s="81">
        <f>(D36-D35)/D35</f>
        <v>-0.22533903250354359</v>
      </c>
      <c r="E40" s="81">
        <f t="shared" ref="E40:H40" si="2">(E36-E35)/E35</f>
        <v>8.0695066357038103E-2</v>
      </c>
      <c r="F40" s="81">
        <f>(F36-F35)/F35</f>
        <v>5.6521934418251145E-2</v>
      </c>
      <c r="G40" s="81">
        <f>(G36-G35)/G35</f>
        <v>2.6611791277176697E-2</v>
      </c>
      <c r="H40" s="81">
        <f t="shared" si="2"/>
        <v>3.1799061741813156E-2</v>
      </c>
      <c r="I40" s="81">
        <f>(I36-I35)/I35</f>
        <v>-6.146824131176528E-2</v>
      </c>
      <c r="J40" s="81">
        <f>(J36-J35)/J35</f>
        <v>-6.1468241311764905E-2</v>
      </c>
      <c r="K40" s="81">
        <f>(K36-K35)/K35</f>
        <v>-5.7087511394712881E-2</v>
      </c>
    </row>
    <row r="41" spans="1:18" ht="15.75" outlineLevel="1" x14ac:dyDescent="0.25">
      <c r="B41"/>
      <c r="C41" s="20" t="s">
        <v>519</v>
      </c>
      <c r="D41" s="81">
        <f>D38*D40</f>
        <v>-8.1596298833123873E-2</v>
      </c>
      <c r="E41" s="81">
        <f t="shared" ref="E41:I41" si="3">E38*E40</f>
        <v>2.5230332404592215E-2</v>
      </c>
      <c r="F41" s="81">
        <f t="shared" si="3"/>
        <v>5.6652081392661461E-3</v>
      </c>
      <c r="G41" s="81">
        <f t="shared" si="3"/>
        <v>1.9969710524607872E-3</v>
      </c>
      <c r="H41" s="81">
        <f t="shared" si="3"/>
        <v>3.2204426495972973E-4</v>
      </c>
      <c r="I41" s="81">
        <f t="shared" si="3"/>
        <v>-2.9719680097878738E-3</v>
      </c>
      <c r="J41" s="81">
        <f>J38*J40</f>
        <v>-5.604282532742812E-3</v>
      </c>
      <c r="K41" s="81">
        <f>SUM(D41:J41)</f>
        <v>-5.6957993514375679E-2</v>
      </c>
      <c r="M41" s="15">
        <f>IF(ROUND(K41,2)=ROUND(K40,2),0,1)</f>
        <v>0</v>
      </c>
    </row>
    <row r="42" spans="1:18" x14ac:dyDescent="0.25">
      <c r="B42"/>
      <c r="D42" s="84"/>
      <c r="K42" s="83"/>
      <c r="L42" s="84"/>
    </row>
    <row r="43" spans="1:18" ht="16.5" thickBot="1" x14ac:dyDescent="0.3">
      <c r="A43" s="1" t="s">
        <v>36</v>
      </c>
      <c r="B43" s="155">
        <f ca="1">MAX(B$3:B42)+0.01</f>
        <v>7.02</v>
      </c>
      <c r="C43" s="19" t="str">
        <f>"VDO cost stack calcs - Flat VDO - "&amp;IF(ISNUMBER(SEARCH("Residential",$C$48)),"Residential","Small business")</f>
        <v>VDO cost stack calcs - Flat VDO - Residential</v>
      </c>
      <c r="D43" s="19"/>
      <c r="E43" s="19"/>
      <c r="F43" s="19"/>
      <c r="G43" s="19"/>
      <c r="H43" s="19"/>
      <c r="I43" s="19"/>
      <c r="J43" s="19"/>
      <c r="K43" s="19"/>
      <c r="L43" s="19"/>
      <c r="M43" s="19"/>
      <c r="N43" s="19"/>
      <c r="O43" s="19"/>
      <c r="P43" s="19"/>
      <c r="Q43" s="19"/>
      <c r="R43" s="19"/>
    </row>
    <row r="44" spans="1:18" outlineLevel="1" x14ac:dyDescent="0.25"/>
    <row r="45" spans="1:18" ht="15.75" outlineLevel="1" x14ac:dyDescent="0.25">
      <c r="C45" s="36" t="s">
        <v>49</v>
      </c>
      <c r="D45" s="28" t="str">
        <f>FY</f>
        <v>VDO 2024-25 - Final</v>
      </c>
      <c r="K45" s="36" t="s">
        <v>49</v>
      </c>
      <c r="L45" s="28" t="str">
        <f>PY</f>
        <v>VDO 2023-24 - Final</v>
      </c>
    </row>
    <row r="46" spans="1:18" ht="15.75" outlineLevel="1" x14ac:dyDescent="0.25">
      <c r="C46" s="20"/>
      <c r="K46" s="20"/>
    </row>
    <row r="47" spans="1:18" ht="15.75" outlineLevel="1" x14ac:dyDescent="0.25">
      <c r="C47" s="29" t="s">
        <v>91</v>
      </c>
      <c r="D47" s="32" t="s">
        <v>520</v>
      </c>
      <c r="F47" s="20"/>
      <c r="K47" s="29" t="s">
        <v>91</v>
      </c>
      <c r="L47" s="32" t="s">
        <v>520</v>
      </c>
    </row>
    <row r="48" spans="1:18" outlineLevel="1" x14ac:dyDescent="0.25">
      <c r="C48" s="147" t="s">
        <v>94</v>
      </c>
      <c r="D48" s="146">
        <f>INDEX(Input_Usage[],MATCH(C48&amp;" - Annual",Input_Usage[Ref],0),MATCH($D$45,Inputs!$C$147:$BA$147,0))</f>
        <v>4000</v>
      </c>
      <c r="K48" s="58" t="str">
        <f>$C$48</f>
        <v>Residential - medium</v>
      </c>
      <c r="L48" s="146">
        <f>INDEX(Input_Usage[],MATCH(K48&amp;" - Annual",Input_Usage[Ref],0),MATCH($L$45,Inputs!$C$147:$BA$147,0))</f>
        <v>4000</v>
      </c>
    </row>
    <row r="49" spans="3:18" ht="15.75" outlineLevel="1" x14ac:dyDescent="0.25">
      <c r="C49" s="20"/>
      <c r="K49" s="20"/>
    </row>
    <row r="50" spans="3:18" ht="15.75" outlineLevel="1" x14ac:dyDescent="0.25">
      <c r="C50" s="29" t="s">
        <v>74</v>
      </c>
      <c r="D50" s="146">
        <f>INDEX(Input_Usage[],MATCH(C$48&amp;" - "&amp;C50,Input_Usage[Ref],0),MATCH(D$45,Inputs!$C$147:$BA$147,0))</f>
        <v>4000</v>
      </c>
      <c r="G50" s="36" t="s">
        <v>305</v>
      </c>
      <c r="I50" s="52">
        <f>Standard_regulatory_period</f>
        <v>365</v>
      </c>
      <c r="K50" s="29" t="s">
        <v>74</v>
      </c>
      <c r="L50" s="146">
        <f>INDEX(Input_Usage[],MATCH(K$48&amp;" - "&amp;K50,Input_Usage[Ref],0),MATCH(L$45,Inputs!$C$147:$BA$147,0))</f>
        <v>4000</v>
      </c>
      <c r="O50" s="36" t="s">
        <v>305</v>
      </c>
      <c r="Q50" s="52">
        <f>Standard_regulatory_period</f>
        <v>365</v>
      </c>
    </row>
    <row r="51" spans="3:18" ht="15.75" outlineLevel="1" x14ac:dyDescent="0.25">
      <c r="C51" s="29" t="s">
        <v>76</v>
      </c>
      <c r="D51" s="146">
        <f>INDEX(Input_Usage[],MATCH(C$48&amp;" - "&amp;C51,Input_Usage[Ref],0),MATCH(D$45,Inputs!$C$147:$BA$147,0))</f>
        <v>0</v>
      </c>
      <c r="G51" s="36" t="s">
        <v>108</v>
      </c>
      <c r="H51" s="58" t="str">
        <f>FY</f>
        <v>VDO 2024-25 - Final</v>
      </c>
      <c r="I51" s="52">
        <f>INDEX(Input_TU_Periods[],2,MATCH(H51,Inputs!$C$203:$BM$203,0))</f>
        <v>365</v>
      </c>
      <c r="K51" s="29" t="s">
        <v>76</v>
      </c>
      <c r="L51" s="146">
        <f>INDEX(Input_Usage[],MATCH(K$48&amp;" - "&amp;K51,Input_Usage[Ref],0),MATCH(L$45,Inputs!$C$147:$BA$147,0))</f>
        <v>0</v>
      </c>
      <c r="O51" s="36" t="s">
        <v>108</v>
      </c>
      <c r="P51" s="58" t="str">
        <f>PY</f>
        <v>VDO 2023-24 - Final</v>
      </c>
      <c r="Q51" s="52">
        <f>INDEX(Input_TU_Periods[],2,MATCH(P51,Inputs!$C$203:$BM$203,0))</f>
        <v>366</v>
      </c>
    </row>
    <row r="52" spans="3:18" ht="15.75" outlineLevel="1" x14ac:dyDescent="0.25">
      <c r="C52" s="20"/>
      <c r="D52" s="80"/>
      <c r="K52" s="20"/>
      <c r="L52" s="20"/>
      <c r="M52" s="20"/>
      <c r="N52" s="20"/>
      <c r="O52" s="20"/>
      <c r="P52" s="20"/>
      <c r="Q52" s="20"/>
      <c r="R52" s="20"/>
    </row>
    <row r="53" spans="3:18" ht="15.75" outlineLevel="1" x14ac:dyDescent="0.25">
      <c r="C53" s="20"/>
      <c r="D53" s="80"/>
      <c r="K53" s="20"/>
    </row>
    <row r="54" spans="3:18" ht="15.75" outlineLevel="1" x14ac:dyDescent="0.25">
      <c r="C54" s="30" t="s">
        <v>521</v>
      </c>
      <c r="D54" s="40" t="s">
        <v>65</v>
      </c>
      <c r="E54" s="40" t="s">
        <v>66</v>
      </c>
      <c r="F54" s="40" t="s">
        <v>67</v>
      </c>
      <c r="G54" s="40" t="s">
        <v>68</v>
      </c>
      <c r="H54" s="40" t="s">
        <v>69</v>
      </c>
      <c r="I54" s="40" t="s">
        <v>514</v>
      </c>
      <c r="K54" s="30" t="s">
        <v>521</v>
      </c>
      <c r="L54" s="40" t="s">
        <v>65</v>
      </c>
      <c r="M54" s="40" t="s">
        <v>66</v>
      </c>
      <c r="N54" s="40" t="s">
        <v>67</v>
      </c>
      <c r="O54" s="40" t="s">
        <v>68</v>
      </c>
      <c r="P54" s="40" t="s">
        <v>69</v>
      </c>
      <c r="Q54" s="40" t="s">
        <v>514</v>
      </c>
    </row>
    <row r="55" spans="3:18" outlineLevel="1" x14ac:dyDescent="0.25">
      <c r="C55" s="14" t="s">
        <v>182</v>
      </c>
      <c r="D55" s="73">
        <f>D$88*($D$48*(1+D$74))</f>
        <v>529.61251986192713</v>
      </c>
      <c r="E55" s="73">
        <f>E$88*($D$48*(1+E$74))</f>
        <v>425.13408291743997</v>
      </c>
      <c r="F55" s="73">
        <f>F$88*($D$48*(1+F$74))</f>
        <v>499.96560453360007</v>
      </c>
      <c r="G55" s="73">
        <f>G$88*($D$48*(1+G$74))</f>
        <v>521.51099881151617</v>
      </c>
      <c r="H55" s="73">
        <f>H$88*($D$48*(1+H$74))</f>
        <v>485.51759054934541</v>
      </c>
      <c r="I55" s="74">
        <f>AVERAGE(D55:H55)</f>
        <v>492.34815933476574</v>
      </c>
      <c r="K55" s="14" t="s">
        <v>182</v>
      </c>
      <c r="L55" s="73">
        <f>L$88*($L$48*(1+L$74))</f>
        <v>676.53521980466178</v>
      </c>
      <c r="M55" s="73">
        <f>M$88*($L$48*(1+M$74))</f>
        <v>572.64874159002306</v>
      </c>
      <c r="N55" s="73">
        <f>N$88*($L$48*(1+N$74))</f>
        <v>639.7312569602434</v>
      </c>
      <c r="O55" s="73">
        <f>O$88*($L$48*(1+O$74))</f>
        <v>658.77971890459719</v>
      </c>
      <c r="P55" s="73">
        <f>P$88*($L$48*(1+P$74))</f>
        <v>630.13497797379864</v>
      </c>
      <c r="Q55" s="74">
        <f>AVERAGE(L55:P55)</f>
        <v>635.56598304666477</v>
      </c>
    </row>
    <row r="56" spans="3:18" outlineLevel="1" x14ac:dyDescent="0.25">
      <c r="C56" s="14" t="s">
        <v>87</v>
      </c>
      <c r="D56" s="73">
        <f>D$79+(D$95*$D$50)+(D$96*$D$51)+(D$97*$D$48)</f>
        <v>765.55491079134742</v>
      </c>
      <c r="E56" s="73">
        <f>E$79+(E$95*$D$50)+(E$96*$D$51)+(E$97*$D$48)</f>
        <v>490.8441422464187</v>
      </c>
      <c r="F56" s="73">
        <f>F$79+(F$95*$D$50)+(F$96*$D$51)+(F$97*$D$48)</f>
        <v>594.20714457779832</v>
      </c>
      <c r="G56" s="73">
        <f>G$79+(G$95*$D$50)+(G$96*$D$51)+(G$97*$D$48)</f>
        <v>600.45750924858044</v>
      </c>
      <c r="H56" s="73">
        <f>H$79+(H$95*$D$50)+(H$96*$D$51)+(H$97*$D$48)</f>
        <v>514.28501052193337</v>
      </c>
      <c r="I56" s="74">
        <f t="shared" ref="I56:I62" si="4">AVERAGE(D56:H56)</f>
        <v>593.06974347721575</v>
      </c>
      <c r="K56" s="14" t="s">
        <v>87</v>
      </c>
      <c r="L56" s="73">
        <f>L$79+(L$95*$L$50)+(L$96*$L$51)+(L$97*$L$48)</f>
        <v>737.8936390239096</v>
      </c>
      <c r="M56" s="73">
        <f>M$79+(M$95*$L$50)+(M$96*$L$51)+(M$97*$L$48)</f>
        <v>454.38949568695608</v>
      </c>
      <c r="N56" s="73">
        <f>N$79+(N$95*$L$50)+(N$96*$L$51)+(N$97*$L$48)</f>
        <v>515.93934275504375</v>
      </c>
      <c r="O56" s="73">
        <f>O$79+(O$95*$L$50)+(O$96*$L$51)+(O$97*$L$48)</f>
        <v>556.92355510552034</v>
      </c>
      <c r="P56" s="73">
        <f>P$79+(P$95*$L$50)+(P$96*$L$51)+(P$97*$L$48)</f>
        <v>478.78128763194758</v>
      </c>
      <c r="Q56" s="74">
        <f t="shared" ref="Q56:Q63" si="5">AVERAGE(L56:P56)</f>
        <v>548.78546404067549</v>
      </c>
    </row>
    <row r="57" spans="3:18" outlineLevel="1" x14ac:dyDescent="0.25">
      <c r="C57" s="14" t="s">
        <v>136</v>
      </c>
      <c r="D57" s="73">
        <f>D$77</f>
        <v>185.86772433721131</v>
      </c>
      <c r="E57" s="73">
        <f>E$77</f>
        <v>185.86772433721131</v>
      </c>
      <c r="F57" s="73">
        <f>F$77</f>
        <v>185.86772433721131</v>
      </c>
      <c r="G57" s="73">
        <f>G$77</f>
        <v>185.86772433721131</v>
      </c>
      <c r="H57" s="73">
        <f>H$77</f>
        <v>185.86772433721131</v>
      </c>
      <c r="I57" s="74">
        <f t="shared" si="4"/>
        <v>185.86772433721131</v>
      </c>
      <c r="K57" s="14" t="s">
        <v>136</v>
      </c>
      <c r="L57" s="73">
        <f>L$77</f>
        <v>175.92415101117138</v>
      </c>
      <c r="M57" s="73">
        <f>M$77</f>
        <v>175.92415101117138</v>
      </c>
      <c r="N57" s="73">
        <f>N$77</f>
        <v>175.92415101117138</v>
      </c>
      <c r="O57" s="73">
        <f>O$77</f>
        <v>175.92415101117138</v>
      </c>
      <c r="P57" s="73">
        <f>P$77</f>
        <v>175.92415101117138</v>
      </c>
      <c r="Q57" s="74">
        <f>AVERAGE(L57:P57)</f>
        <v>175.92415101117138</v>
      </c>
    </row>
    <row r="58" spans="3:18" ht="15.75" customHeight="1" outlineLevel="1" x14ac:dyDescent="0.25">
      <c r="C58" s="14" t="s">
        <v>522</v>
      </c>
      <c r="D58" s="73">
        <f>(D$86*($D$48*(1+D$74)))</f>
        <v>128.69797518567432</v>
      </c>
      <c r="E58" s="73">
        <f>(E$86*($D$48*(1+E$74)))</f>
        <v>124.37068060455961</v>
      </c>
      <c r="F58" s="73">
        <f>(F$86*($D$48*(1+F$74)))</f>
        <v>124.91572496199859</v>
      </c>
      <c r="G58" s="73">
        <f>(G$86*($D$48*(1+G$74)))</f>
        <v>126.96736911102836</v>
      </c>
      <c r="H58" s="73">
        <f>(H$86*($D$48*(1+H$74)))</f>
        <v>124.52096900372655</v>
      </c>
      <c r="I58" s="74">
        <f t="shared" si="4"/>
        <v>125.89454377339749</v>
      </c>
      <c r="K58" s="14" t="s">
        <v>522</v>
      </c>
      <c r="L58" s="73">
        <f>(L$86*($L$48*(1+L$74)))</f>
        <v>123.44352389876008</v>
      </c>
      <c r="M58" s="73">
        <f>(M$86*($L$48*(1+M$74)))</f>
        <v>118.84545109557654</v>
      </c>
      <c r="N58" s="73">
        <f>(N$86*($L$48*(1+N$74)))</f>
        <v>118.88677873503472</v>
      </c>
      <c r="O58" s="73">
        <f>(O$86*($L$48*(1+O$74)))</f>
        <v>121.85262309750216</v>
      </c>
      <c r="P58" s="73">
        <f>(P$86*($L$48*(1+P$74)))</f>
        <v>119.06804004723617</v>
      </c>
      <c r="Q58" s="74">
        <f>AVERAGE(L58:P58)</f>
        <v>120.41928337482193</v>
      </c>
    </row>
    <row r="59" spans="3:18" outlineLevel="1" x14ac:dyDescent="0.25">
      <c r="C59" s="14" t="s">
        <v>523</v>
      </c>
      <c r="D59" s="73">
        <f>D92*$D$50*(1+D74)</f>
        <v>6.8952618805193362</v>
      </c>
      <c r="E59" s="73">
        <f>E92*$D$50*(1+E74)</f>
        <v>6.6634180669092871</v>
      </c>
      <c r="F59" s="73">
        <f t="shared" ref="F59:H59" si="6">F92*$D$50*(1+F74)</f>
        <v>6.6926199527635051</v>
      </c>
      <c r="G59" s="73">
        <f t="shared" si="6"/>
        <v>6.8025410581483108</v>
      </c>
      <c r="H59" s="73">
        <f t="shared" si="6"/>
        <v>6.6714700806908951</v>
      </c>
      <c r="I59" s="74">
        <f>AVERAGE(D59:H59)</f>
        <v>6.7450622078062663</v>
      </c>
      <c r="K59" s="14" t="s">
        <v>523</v>
      </c>
      <c r="L59" s="73">
        <f>L83</f>
        <v>16.945572514842485</v>
      </c>
      <c r="M59" s="73">
        <f>M83</f>
        <v>16.945572514842485</v>
      </c>
      <c r="N59" s="73">
        <f>N83</f>
        <v>16.945572514842485</v>
      </c>
      <c r="O59" s="73">
        <f>O83</f>
        <v>16.945572514842485</v>
      </c>
      <c r="P59" s="73">
        <f>P83</f>
        <v>16.945572514842485</v>
      </c>
      <c r="Q59" s="74">
        <f>AVERAGE(L59:P59)</f>
        <v>16.945572514842485</v>
      </c>
    </row>
    <row r="60" spans="3:18" outlineLevel="1" x14ac:dyDescent="0.25">
      <c r="C60" s="14" t="s">
        <v>147</v>
      </c>
      <c r="D60" s="73">
        <f>D$81+(D$90*($D$48*(1+D$74)))</f>
        <v>18.435959815009806</v>
      </c>
      <c r="E60" s="73">
        <f>E$81+(E$90*($D$48*(1+E$74)))</f>
        <v>18.289382077753974</v>
      </c>
      <c r="F60" s="73">
        <f>F$81+(F$90*($D$48*(1+F$74)))</f>
        <v>18.30784427558218</v>
      </c>
      <c r="G60" s="73">
        <f>G$81+(G$90*($D$48*(1+G$74)))</f>
        <v>18.377339280228128</v>
      </c>
      <c r="H60" s="73">
        <f>H$81+(H$90*($D$48*(1+H$74)))</f>
        <v>18.294472771967822</v>
      </c>
      <c r="I60" s="74">
        <f t="shared" si="4"/>
        <v>18.340999644108383</v>
      </c>
      <c r="K60" s="14" t="s">
        <v>147</v>
      </c>
      <c r="L60" s="73">
        <f>L$81+(L$90*($L$48*(1+L$74)))</f>
        <v>17.954355674104985</v>
      </c>
      <c r="M60" s="73">
        <f>M$81+(M$90*($L$48*(1+M$74)))</f>
        <v>17.682798848442552</v>
      </c>
      <c r="N60" s="73">
        <f>N$81+(N$90*($L$48*(1+N$74)))</f>
        <v>17.685239610706169</v>
      </c>
      <c r="O60" s="73">
        <f>O$81+(O$90*($L$48*(1+O$74)))</f>
        <v>17.860398925261357</v>
      </c>
      <c r="P60" s="73">
        <f>P$81+(P$90*($L$48*(1+P$74)))</f>
        <v>17.695944692740266</v>
      </c>
      <c r="Q60" s="74">
        <f t="shared" si="5"/>
        <v>17.775747550251065</v>
      </c>
    </row>
    <row r="61" spans="3:18" outlineLevel="1" x14ac:dyDescent="0.25">
      <c r="C61" s="14" t="s">
        <v>262</v>
      </c>
      <c r="D61" s="73">
        <f>SUM(D55:D60)*D$72</f>
        <v>91.563603704814582</v>
      </c>
      <c r="E61" s="73">
        <f>SUM(E55:E60)*E$72</f>
        <v>70.065488094016402</v>
      </c>
      <c r="F61" s="73">
        <f>SUM(F55:F60)*F$72</f>
        <v>80.077573107781433</v>
      </c>
      <c r="G61" s="73">
        <f>SUM(G55:G60)*G$72</f>
        <v>81.759074983415914</v>
      </c>
      <c r="H61" s="73">
        <f>SUM(H55:H60)*H$72</f>
        <v>74.768805286833015</v>
      </c>
      <c r="I61" s="74">
        <f t="shared" si="4"/>
        <v>79.646909035372261</v>
      </c>
      <c r="K61" s="14" t="s">
        <v>262</v>
      </c>
      <c r="L61" s="73">
        <f>SUM(L55:L60)*L$72</f>
        <v>97.927001867937221</v>
      </c>
      <c r="M61" s="73">
        <f>SUM(M55:M60)*M$72</f>
        <v>75.96042780183268</v>
      </c>
      <c r="N61" s="73">
        <f>SUM(N55:N60)*N$72</f>
        <v>83.166291128874363</v>
      </c>
      <c r="O61" s="73">
        <f>SUM(O55:O60)*O$72</f>
        <v>86.704017095298127</v>
      </c>
      <c r="P61" s="73">
        <f>SUM(P55:P60)*P$72</f>
        <v>80.55879853681725</v>
      </c>
      <c r="Q61" s="74">
        <f t="shared" si="5"/>
        <v>84.863307286151937</v>
      </c>
    </row>
    <row r="62" spans="3:18" outlineLevel="1" x14ac:dyDescent="0.25">
      <c r="C62" s="14" t="s">
        <v>366</v>
      </c>
      <c r="D62" s="73">
        <f>SUM(D55:D61)*GST</f>
        <v>172.66279555765038</v>
      </c>
      <c r="E62" s="73">
        <f>SUM(E55:E61)*GST</f>
        <v>132.12349183443095</v>
      </c>
      <c r="F62" s="73">
        <f>SUM(F55:F61)*GST</f>
        <v>151.00342357467358</v>
      </c>
      <c r="G62" s="73">
        <f>SUM(G55:G61)*GST</f>
        <v>154.17425568301289</v>
      </c>
      <c r="H62" s="73">
        <f>SUM(H55:H61)*GST</f>
        <v>140.99260425517082</v>
      </c>
      <c r="I62" s="74">
        <f t="shared" si="4"/>
        <v>150.19131418098772</v>
      </c>
      <c r="K62" s="14" t="s">
        <v>366</v>
      </c>
      <c r="L62" s="73">
        <f>SUM(L55:L61)*GST</f>
        <v>184.66234637953877</v>
      </c>
      <c r="M62" s="73">
        <f>SUM(M55:M61)*GST</f>
        <v>143.23966385488447</v>
      </c>
      <c r="N62" s="73">
        <f>SUM(N55:N61)*GST</f>
        <v>156.82786327159167</v>
      </c>
      <c r="O62" s="73">
        <f>SUM(O55:O61)*GST</f>
        <v>163.49900366541934</v>
      </c>
      <c r="P62" s="73">
        <f>SUM(P55:P61)*GST</f>
        <v>151.91087724085537</v>
      </c>
      <c r="Q62" s="74">
        <f t="shared" si="5"/>
        <v>160.0279508824579</v>
      </c>
    </row>
    <row r="63" spans="3:18" outlineLevel="1" x14ac:dyDescent="0.25">
      <c r="C63" s="14" t="s">
        <v>524</v>
      </c>
      <c r="D63" s="88">
        <f>(D$103*$D$50)+(D$104*$D$51)+(D$105*$D$48)</f>
        <v>2.6418753915845596</v>
      </c>
      <c r="E63" s="88">
        <f>(E$103*$D$50)+(E$104*$D$51)+(E$105*$D$48)</f>
        <v>2.5434697806315905</v>
      </c>
      <c r="F63" s="88">
        <f>(F$103*$D$50)+(F$104*$D$51)+(F$105*$D$48)</f>
        <v>2.5443542537106847</v>
      </c>
      <c r="G63" s="88">
        <f>(G$103*$D$50)+(G$104*$D$51)+(G$105*$D$48)</f>
        <v>2.6078277433600769</v>
      </c>
      <c r="H63" s="88">
        <f>(H$103*$D$50)+(H$104*$D$51)+(H$105*$D$48)</f>
        <v>2.5482335159435419</v>
      </c>
      <c r="I63" s="179">
        <f>AVERAGE(D63:H63)</f>
        <v>2.5771521370460908</v>
      </c>
      <c r="K63" s="14" t="s">
        <v>524</v>
      </c>
      <c r="L63" s="88">
        <f>(L$103*$L$50)+(L$104*$L$51)+(L$105*$L$48)</f>
        <v>-5.7804081637085991</v>
      </c>
      <c r="M63" s="88">
        <f>(M$103*$L$50)+(M$104*$L$51)+(M$105*$L$48)</f>
        <v>-5.6064047525899561</v>
      </c>
      <c r="N63" s="88">
        <f>(N$103*$L$50)+(N$104*$L$51)+(N$105*$L$48)</f>
        <v>-5.5586881943334809</v>
      </c>
      <c r="O63" s="88">
        <f>(O$103*$L$50)+(O$104*$L$51)+(O$105*$L$48)</f>
        <v>-5.7292533408205042</v>
      </c>
      <c r="P63" s="88">
        <f>(P$103*$L$50)+(P$104*$L$51)+(P$105*$L$48)</f>
        <v>-5.5911523620163655</v>
      </c>
      <c r="Q63" s="74">
        <f t="shared" si="5"/>
        <v>-5.6531813626937817</v>
      </c>
    </row>
    <row r="64" spans="3:18" outlineLevel="1" x14ac:dyDescent="0.25">
      <c r="C64" s="31" t="s">
        <v>525</v>
      </c>
      <c r="D64" s="130">
        <f>ROUNDUP(SUM(D55:D63),0)</f>
        <v>1902</v>
      </c>
      <c r="E64" s="130">
        <f>ROUNDUP(SUM(E55:E63),0)</f>
        <v>1456</v>
      </c>
      <c r="F64" s="130">
        <f>ROUNDUP(SUM(F55:F63),0)</f>
        <v>1664</v>
      </c>
      <c r="G64" s="130">
        <f>ROUNDUP(SUM(G55:G63),0)</f>
        <v>1699</v>
      </c>
      <c r="H64" s="130">
        <f>ROUNDUP(SUM(H55:H63),0)</f>
        <v>1554</v>
      </c>
      <c r="I64" s="74">
        <f>AVERAGE(D64:H64)</f>
        <v>1655</v>
      </c>
      <c r="J64" s="61"/>
      <c r="K64" s="31" t="s">
        <v>525</v>
      </c>
      <c r="L64" s="130">
        <f>ROUNDUP(SUM(L55:L63),0)</f>
        <v>2026</v>
      </c>
      <c r="M64" s="130">
        <f>ROUNDUP(SUM(M55:M63),0)</f>
        <v>1571</v>
      </c>
      <c r="N64" s="130">
        <f>ROUNDUP(SUM(N55:N63),0)</f>
        <v>1720</v>
      </c>
      <c r="O64" s="130">
        <f>ROUNDUP(SUM(O55:O63),0)</f>
        <v>1793</v>
      </c>
      <c r="P64" s="130">
        <f>ROUNDUP(SUM(P55:P63),0)</f>
        <v>1666</v>
      </c>
      <c r="Q64" s="74">
        <f>AVERAGE(L64:P64)</f>
        <v>1755.2</v>
      </c>
    </row>
    <row r="65" spans="2:17" outlineLevel="1" x14ac:dyDescent="0.25">
      <c r="C65" s="14"/>
      <c r="D65" s="73"/>
      <c r="E65" s="73"/>
      <c r="F65" s="73"/>
      <c r="G65" s="73"/>
      <c r="H65" s="73"/>
      <c r="I65" s="74"/>
      <c r="K65" s="14"/>
      <c r="L65" s="73"/>
      <c r="M65" s="73"/>
      <c r="N65" s="73"/>
      <c r="O65" s="73"/>
      <c r="P65" s="73"/>
      <c r="Q65" s="74"/>
    </row>
    <row r="66" spans="2:17" outlineLevel="1" x14ac:dyDescent="0.25">
      <c r="C66" s="14" t="s">
        <v>517</v>
      </c>
      <c r="D66" s="74">
        <f>IF($D$32="Residential",
ROUNDUP(
(INDEX(OP_Rates_RES_1[[Ausnet]:[United Energy]],MATCH("Anytime - supply",OP_Rates_RES_1[Rate name],0),MATCH(CostStackCalcs_RES_1[[#Headers],[Ausnet]],OP_Rates_RES_1[[#Headers],[Ausnet]:[United Energy]],0))*DiY)+
(IFERROR((INDEX(OP_Rates_RES_1[[Ausnet]:[United Energy]],MATCH("Block 1",OP_Rates_RES_1[Rate name],0),MATCH(CostStackCalcs_RES_1[[#Headers],[Ausnet]],OP_Rates_RES_1[[#Headers],[Ausnet]:[United Energy]],0))*$D$50),0)+
IFERROR((INDEX(OP_Rates_RES_1[[Ausnet]:[United Energy]],MATCH("Balance",OP_Rates_RES_1[Rate name],0),MATCH(CostStackCalcs_RES_1[[#Headers],[Ausnet]],OP_Rates_RES_1[[#Headers],[Ausnet]:[United Energy]],0))*$D$51),0)+
IFERROR((INDEX(OP_Rates_RES_1[[Ausnet]:[United Energy]],MATCH("Single rate",OP_Rates_RES_1[Rate name],0),MATCH(CostStackCalcs_RES_1[[#Headers],[Ausnet]],OP_Rates_RES_1[[#Headers],[Ausnet]:[United Energy]],0))*$D$48),0))
+
(IFERROR((INDEX(OP_RatesTU_RES_1[[Ausnet]:[United Energy]],MATCH("Block 1",OP_RatesTU_RES_1[Rate name],0),MATCH(CostStackCalcs_RES_1[[#Headers],[Ausnet]],OP_RatesTU_RES_1[[#Headers],[Ausnet]:[United Energy]],0))*($D$50)),0)+
IFERROR((INDEX(OP_RatesTU_RES_1[[Ausnet]:[United Energy]],MATCH("Balance",OP_RatesTU_RES_1[Rate name],0),MATCH(CostStackCalcs_RES_1[[#Headers],[Ausnet]],OP_RatesTU_RES_1[[#Headers],[Ausnet]:[United Energy]],0))*($D$51)),0)+
IFERROR((INDEX(OP_RatesTU_RES_1[[Ausnet]:[United Energy]],MATCH("Single rate",OP_RatesTU_RES_1[Rate name],0),MATCH(CostStackCalcs_RES_1[[#Headers],[Ausnet]],OP_RatesTU_RES_1[[#Headers],[Ausnet]:[United Energy]],0))*($D$48)),0)),0),
ROUNDUP(
(INDEX(OP_Rates_SME_1[[Ausnet]:[United Energy]],MATCH("Anytime - supply",OP_Rates_SME_1[Rate name],0),MATCH(CostStackCalcs_SME_1[[#Headers],[Ausnet]],OP_Rates_SME_1[[#Headers],[Ausnet]:[United Energy]],0))*DiY)+
(IFERROR((INDEX(OP_Rates_SME_1[[Ausnet]:[United Energy]],MATCH("Block 1",OP_Rates_SME_1[Rate name],0),MATCH(CostStackCalcs_SME_1[[#Headers],[Ausnet]],OP_Rates_SME_1[[#Headers],[Ausnet]:[United Energy]],0))*$D$50),0)+
IFERROR((INDEX(OP_Rates_SME_1[[Ausnet]:[United Energy]],MATCH("Balance",OP_Rates_SME_1[Rate name],0),MATCH(CostStackCalcs_SME_1[[#Headers],[Ausnet]],OP_Rates_SME_1[[#Headers],[Ausnet]:[United Energy]],0))*$D$51),0)+
IFERROR((INDEX(OP_Rates_SME_1[[Ausnet]:[United Energy]],MATCH("Single rate",OP_Rates_SME_1[Rate name],0),MATCH(CostStackCalcs_SME_1[[#Headers],[Ausnet]],OP_Rates_SME_1[[#Headers],[Ausnet]:[United Energy]],0))*$D$48),0))
+
(IFERROR((INDEX(OP_RatesTU_SME_1[[Ausnet]:[United Energy]],MATCH("Block 1",OP_RatesTU_SME_1[Rate name],0),MATCH(CostStackCalcs_SME_1[[#Headers],[Ausnet]],OP_RatesTU_SME_1[[#Headers],[Ausnet]:[United Energy]],0))*($D$50)),0)+
IFERROR((INDEX(OP_RatesTU_SME_1[[Ausnet]:[United Energy]],MATCH("Balance",OP_RatesTU_SME_1[Rate name],0),MATCH(CostStackCalcs_SME_1[[#Headers],[Ausnet]],OP_RatesTU_SME_1[[#Headers],[Ausnet]:[United Energy]],0))*($D$51)),0)+
IFERROR((INDEX(OP_RatesTU_SME_1[[Ausnet]:[United Energy]],MATCH("Single rate",OP_RatesTU_SME_1[Rate name],0),MATCH(CostStackCalcs_SME_1[[#Headers],[Ausnet]],OP_RatesTU_SME_1[[#Headers],[Ausnet]:[United Energy]],0))*($D$48)),0)),0))</f>
        <v>1902</v>
      </c>
      <c r="E66" s="74">
        <f>IF($D$32="Residential",
ROUNDUP(
(INDEX(OP_Rates_RES_1[[Ausnet]:[United Energy]],MATCH("Anytime - supply",OP_Rates_RES_1[Rate name],0),MATCH(CostStackCalcs_RES_1[[#Headers],[Citipower]],OP_Rates_RES_1[[#Headers],[Ausnet]:[United Energy]],0))*DiY)+
(IFERROR((INDEX(OP_Rates_RES_1[[Ausnet]:[United Energy]],MATCH("Block 1",OP_Rates_RES_1[Rate name],0),MATCH(CostStackCalcs_RES_1[[#Headers],[Citipower]],OP_Rates_RES_1[[#Headers],[Ausnet]:[United Energy]],0))*$D$50),0)+
IFERROR((INDEX(OP_Rates_RES_1[[Ausnet]:[United Energy]],MATCH("Balance",OP_Rates_RES_1[Rate name],0),MATCH(CostStackCalcs_RES_1[[#Headers],[Citipower]],OP_Rates_RES_1[[#Headers],[Ausnet]:[United Energy]],0))*$D$51),0)+
IFERROR((INDEX(OP_Rates_RES_1[[Ausnet]:[United Energy]],MATCH("Single rate",OP_Rates_RES_1[Rate name],0),MATCH(CostStackCalcs_RES_1[[#Headers],[Citipower]],OP_Rates_RES_1[[#Headers],[Ausnet]:[United Energy]],0))*$D$48),0))
+
(IFERROR((INDEX(OP_RatesTU_RES_1[[Ausnet]:[United Energy]],MATCH("Block 1",OP_RatesTU_RES_1[Rate name],0),MATCH(CostStackCalcs_RES_1[[#Headers],[Citipower]],OP_RatesTU_RES_1[[#Headers],[Ausnet]:[United Energy]],0))*($D$50)),0)+
IFERROR((INDEX(OP_RatesTU_RES_1[[Ausnet]:[United Energy]],MATCH("Balance",OP_RatesTU_RES_1[Rate name],0),MATCH(CostStackCalcs_RES_1[[#Headers],[Citipower]],OP_RatesTU_RES_1[[#Headers],[Ausnet]:[United Energy]],0))*($D$51)),0)+
IFERROR((INDEX(OP_RatesTU_RES_1[[Ausnet]:[United Energy]],MATCH("Single rate",OP_RatesTU_RES_1[Rate name],0),MATCH(CostStackCalcs_RES_1[[#Headers],[Citipower]],OP_RatesTU_RES_1[[#Headers],[Ausnet]:[United Energy]],0))*($D$48)),0)),0),
ROUNDUP(
(INDEX(OP_Rates_SME_1[[Ausnet]:[United Energy]],MATCH("Anytime - supply",OP_Rates_SME_1[Rate name],0),MATCH(CostStackCalcs_SME_1[[#Headers],[Citipower]],OP_Rates_SME_1[[#Headers],[Ausnet]:[United Energy]],0))*DiY)+
(IFERROR((INDEX(OP_Rates_SME_1[[Ausnet]:[United Energy]],MATCH("Block 1",OP_Rates_SME_1[Rate name],0),MATCH(CostStackCalcs_SME_1[[#Headers],[Citipower]],OP_Rates_SME_1[[#Headers],[Ausnet]:[United Energy]],0))*$D$50),0)+
IFERROR((INDEX(OP_Rates_SME_1[[Ausnet]:[United Energy]],MATCH("Balance",OP_Rates_SME_1[Rate name],0),MATCH(CostStackCalcs_SME_1[[#Headers],[Citipower]],OP_Rates_SME_1[[#Headers],[Ausnet]:[United Energy]],0))*$D$51),0)+
IFERROR((INDEX(OP_Rates_SME_1[[Ausnet]:[United Energy]],MATCH("Single rate",OP_Rates_SME_1[Rate name],0),MATCH(CostStackCalcs_SME_1[[#Headers],[Citipower]],OP_Rates_SME_1[[#Headers],[Ausnet]:[United Energy]],0))*$D$48),0))
+
(IFERROR((INDEX(OP_RatesTU_SME_1[[Ausnet]:[United Energy]],MATCH("Block 1",OP_RatesTU_SME_1[Rate name],0),MATCH(CostStackCalcs_SME_1[[#Headers],[Citipower]],OP_RatesTU_SME_1[[#Headers],[Ausnet]:[United Energy]],0))*($D$50)),0)+
IFERROR((INDEX(OP_RatesTU_SME_1[[Ausnet]:[United Energy]],MATCH("Balance",OP_RatesTU_SME_1[Rate name],0),MATCH(CostStackCalcs_SME_1[[#Headers],[Citipower]],OP_RatesTU_SME_1[[#Headers],[Ausnet]:[United Energy]],0))*($D$51)),0)+
IFERROR((INDEX(OP_RatesTU_SME_1[[Ausnet]:[United Energy]],MATCH("Single rate",OP_RatesTU_SME_1[Rate name],0),MATCH(CostStackCalcs_SME_1[[#Headers],[Citipower]],OP_RatesTU_SME_1[[#Headers],[Ausnet]:[United Energy]],0))*($D$48)),0)),0))</f>
        <v>1456</v>
      </c>
      <c r="F66" s="74">
        <f>IF($D$32="Residential",
ROUNDUP(
(INDEX(OP_Rates_RES_1[[Ausnet]:[United Energy]],MATCH("Anytime - supply",OP_Rates_RES_1[Rate name],0),MATCH(CostStackCalcs_RES_1[[#Headers],[Jemena]],OP_Rates_RES_1[[#Headers],[Ausnet]:[United Energy]],0))*DiY)+
(IFERROR((INDEX(OP_Rates_RES_1[[Ausnet]:[United Energy]],MATCH("Block 1",OP_Rates_RES_1[Rate name],0),MATCH(CostStackCalcs_RES_1[[#Headers],[Jemena]],OP_Rates_RES_1[[#Headers],[Ausnet]:[United Energy]],0))*$D$50),0)+
IFERROR((INDEX(OP_Rates_RES_1[[Ausnet]:[United Energy]],MATCH("Balance",OP_Rates_RES_1[Rate name],0),MATCH(CostStackCalcs_RES_1[[#Headers],[Jemena]],OP_Rates_RES_1[[#Headers],[Ausnet]:[United Energy]],0))*$D$51),0)+
IFERROR((INDEX(OP_Rates_RES_1[[Ausnet]:[United Energy]],MATCH("Single rate",OP_Rates_RES_1[Rate name],0),MATCH(CostStackCalcs_RES_1[[#Headers],[Jemena]],OP_Rates_RES_1[[#Headers],[Ausnet]:[United Energy]],0))*$D$48),0))
+
(IFERROR((INDEX(OP_RatesTU_RES_1[[Ausnet]:[United Energy]],MATCH("Block 1",OP_RatesTU_RES_1[Rate name],0),MATCH(CostStackCalcs_RES_1[[#Headers],[Jemena]],OP_RatesTU_RES_1[[#Headers],[Ausnet]:[United Energy]],0))*($D$50)),0)+
IFERROR((INDEX(OP_RatesTU_RES_1[[Ausnet]:[United Energy]],MATCH("Balance",OP_RatesTU_RES_1[Rate name],0),MATCH(CostStackCalcs_RES_1[[#Headers],[Jemena]],OP_RatesTU_RES_1[[#Headers],[Ausnet]:[United Energy]],0))*($D$51)),0)+
IFERROR((INDEX(OP_RatesTU_RES_1[[Ausnet]:[United Energy]],MATCH("Single rate",OP_RatesTU_RES_1[Rate name],0),MATCH(CostStackCalcs_RES_1[[#Headers],[Jemena]],OP_RatesTU_RES_1[[#Headers],[Ausnet]:[United Energy]],0))*($D$48)),0)),0),
ROUNDUP(
(INDEX(OP_Rates_SME_1[[Ausnet]:[United Energy]],MATCH("Anytime - supply",OP_Rates_SME_1[Rate name],0),MATCH(CostStackCalcs_SME_1[[#Headers],[Jemena]],OP_Rates_SME_1[[#Headers],[Ausnet]:[United Energy]],0))*DiY)+
(IFERROR((INDEX(OP_Rates_SME_1[[Ausnet]:[United Energy]],MATCH("Block 1",OP_Rates_SME_1[Rate name],0),MATCH(CostStackCalcs_SME_1[[#Headers],[Jemena]],OP_Rates_SME_1[[#Headers],[Ausnet]:[United Energy]],0))*$D$50),0)+
IFERROR((INDEX(OP_Rates_SME_1[[Ausnet]:[United Energy]],MATCH("Balance",OP_Rates_SME_1[Rate name],0),MATCH(CostStackCalcs_SME_1[[#Headers],[Jemena]],OP_Rates_SME_1[[#Headers],[Ausnet]:[United Energy]],0))*$D$51),0)+
IFERROR((INDEX(OP_Rates_SME_1[[Ausnet]:[United Energy]],MATCH("Single rate",OP_Rates_SME_1[Rate name],0),MATCH(CostStackCalcs_SME_1[[#Headers],[Jemena]],OP_Rates_SME_1[[#Headers],[Ausnet]:[United Energy]],0))*$D$48),0))
+
(IFERROR((INDEX(OP_RatesTU_SME_1[[Ausnet]:[United Energy]],MATCH("Block 1",OP_RatesTU_SME_1[Rate name],0),MATCH(CostStackCalcs_SME_1[[#Headers],[Jemena]],OP_RatesTU_SME_1[[#Headers],[Ausnet]:[United Energy]],0))*($D$50)),0)+
IFERROR((INDEX(OP_RatesTU_SME_1[[Ausnet]:[United Energy]],MATCH("Balance",OP_RatesTU_SME_1[Rate name],0),MATCH(CostStackCalcs_SME_1[[#Headers],[Jemena]],OP_RatesTU_SME_1[[#Headers],[Ausnet]:[United Energy]],0))*($D$51)),0)+
IFERROR((INDEX(OP_RatesTU_SME_1[[Ausnet]:[United Energy]],MATCH("Single rate",OP_RatesTU_SME_1[Rate name],0),MATCH(CostStackCalcs_SME_1[[#Headers],[Jemena]],OP_RatesTU_SME_1[[#Headers],[Ausnet]:[United Energy]],0))*($D$48)),0)),0))</f>
        <v>1664</v>
      </c>
      <c r="G66" s="74">
        <f>IF($D$32="Residential",
ROUNDUP(
(INDEX(OP_Rates_RES_1[[Ausnet]:[United Energy]],MATCH("Anytime - supply",OP_Rates_RES_1[Rate name],0),MATCH(CostStackCalcs_RES_1[[#Headers],[Powercor]],OP_Rates_RES_1[[#Headers],[Ausnet]:[United Energy]],0))*DiY)+
(IFERROR((INDEX(OP_Rates_RES_1[[Ausnet]:[United Energy]],MATCH("Block 1",OP_Rates_RES_1[Rate name],0),MATCH(CostStackCalcs_RES_1[[#Headers],[Powercor]],OP_Rates_RES_1[[#Headers],[Ausnet]:[United Energy]],0))*$D$50),0)+
IFERROR((INDEX(OP_Rates_RES_1[[Ausnet]:[United Energy]],MATCH("Balance",OP_Rates_RES_1[Rate name],0),MATCH(CostStackCalcs_RES_1[[#Headers],[Powercor]],OP_Rates_RES_1[[#Headers],[Ausnet]:[United Energy]],0))*$D$51),0)+
IFERROR((INDEX(OP_Rates_RES_1[[Ausnet]:[United Energy]],MATCH("Single rate",OP_Rates_RES_1[Rate name],0),MATCH(CostStackCalcs_RES_1[[#Headers],[Powercor]],OP_Rates_RES_1[[#Headers],[Ausnet]:[United Energy]],0))*$D$48),0))
+
(IFERROR((INDEX(OP_RatesTU_RES_1[[Ausnet]:[United Energy]],MATCH("Block 1",OP_RatesTU_RES_1[Rate name],0),MATCH(CostStackCalcs_RES_1[[#Headers],[Powercor]],OP_RatesTU_RES_1[[#Headers],[Ausnet]:[United Energy]],0))*($D$50)),0)+
IFERROR((INDEX(OP_RatesTU_RES_1[[Ausnet]:[United Energy]],MATCH("Balance",OP_RatesTU_RES_1[Rate name],0),MATCH(CostStackCalcs_RES_1[[#Headers],[Powercor]],OP_RatesTU_RES_1[[#Headers],[Ausnet]:[United Energy]],0))*($D$51)),0)+
IFERROR((INDEX(OP_RatesTU_RES_1[[Ausnet]:[United Energy]],MATCH("Single rate",OP_RatesTU_RES_1[Rate name],0),MATCH(CostStackCalcs_RES_1[[#Headers],[Powercor]],OP_RatesTU_RES_1[[#Headers],[Ausnet]:[United Energy]],0))*($D$48)),0)),0),
ROUNDUP(
(INDEX(OP_Rates_SME_1[[Ausnet]:[United Energy]],MATCH("Anytime - supply",OP_Rates_SME_1[Rate name],0),MATCH(CostStackCalcs_SME_1[[#Headers],[Powercor]],OP_Rates_SME_1[[#Headers],[Ausnet]:[United Energy]],0))*DiY)+
(IFERROR((INDEX(OP_Rates_SME_1[[Ausnet]:[United Energy]],MATCH("Block 1",OP_Rates_SME_1[Rate name],0),MATCH(CostStackCalcs_SME_1[[#Headers],[Powercor]],OP_Rates_SME_1[[#Headers],[Ausnet]:[United Energy]],0))*$D$50),0)+
IFERROR((INDEX(OP_Rates_SME_1[[Ausnet]:[United Energy]],MATCH("Balance",OP_Rates_SME_1[Rate name],0),MATCH(CostStackCalcs_SME_1[[#Headers],[Powercor]],OP_Rates_SME_1[[#Headers],[Ausnet]:[United Energy]],0))*$D$51),0)+
IFERROR((INDEX(OP_Rates_SME_1[[Ausnet]:[United Energy]],MATCH("Single rate",OP_Rates_SME_1[Rate name],0),MATCH(CostStackCalcs_SME_1[[#Headers],[Powercor]],OP_Rates_SME_1[[#Headers],[Ausnet]:[United Energy]],0))*$D$48),0))
+
(IFERROR((INDEX(OP_RatesTU_SME_1[[Ausnet]:[United Energy]],MATCH("Block 1",OP_RatesTU_SME_1[Rate name],0),MATCH(CostStackCalcs_SME_1[[#Headers],[Powercor]],OP_RatesTU_SME_1[[#Headers],[Ausnet]:[United Energy]],0))*($D$50)),0)+
IFERROR((INDEX(OP_RatesTU_SME_1[[Ausnet]:[United Energy]],MATCH("Balance",OP_RatesTU_SME_1[Rate name],0),MATCH(CostStackCalcs_SME_1[[#Headers],[Powercor]],OP_RatesTU_SME_1[[#Headers],[Ausnet]:[United Energy]],0))*($D$51)),0)+
IFERROR((INDEX(OP_RatesTU_SME_1[[Ausnet]:[United Energy]],MATCH("Single rate",OP_RatesTU_SME_1[Rate name],0),MATCH(CostStackCalcs_SME_1[[#Headers],[Powercor]],OP_RatesTU_SME_1[[#Headers],[Ausnet]:[United Energy]],0))*($D$48)),0)),0))</f>
        <v>1699</v>
      </c>
      <c r="H66" s="74">
        <f>IF($D$32="Residential",
ROUNDUP(
(INDEX(OP_Rates_RES_1[[Ausnet]:[United Energy]],MATCH("Anytime - supply",OP_Rates_RES_1[Rate name],0),MATCH(CostStackCalcs_RES_1[[#Headers],[United Energy]],OP_Rates_RES_1[[#Headers],[Ausnet]:[United Energy]],0))*DiY)+
(IFERROR((INDEX(OP_Rates_RES_1[[Ausnet]:[United Energy]],MATCH("Block 1",OP_Rates_RES_1[Rate name],0),MATCH(CostStackCalcs_RES_1[[#Headers],[United Energy]],OP_Rates_RES_1[[#Headers],[Ausnet]:[United Energy]],0))*$D$50),0)+
IFERROR((INDEX(OP_Rates_RES_1[[Ausnet]:[United Energy]],MATCH("Balance",OP_Rates_RES_1[Rate name],0),MATCH(CostStackCalcs_RES_1[[#Headers],[United Energy]],OP_Rates_RES_1[[#Headers],[Ausnet]:[United Energy]],0))*$D$51),0)+
IFERROR((INDEX(OP_Rates_RES_1[[Ausnet]:[United Energy]],MATCH("Single rate",OP_Rates_RES_1[Rate name],0),MATCH(CostStackCalcs_RES_1[[#Headers],[United Energy]],OP_Rates_RES_1[[#Headers],[Ausnet]:[United Energy]],0))*$D$48),0))
+
(IFERROR((INDEX(OP_RatesTU_RES_1[[Ausnet]:[United Energy]],MATCH("Block 1",OP_RatesTU_RES_1[Rate name],0),MATCH(CostStackCalcs_RES_1[[#Headers],[United Energy]],OP_RatesTU_RES_1[[#Headers],[Ausnet]:[United Energy]],0))*($D$50)),0)+
IFERROR((INDEX(OP_RatesTU_RES_1[[Ausnet]:[United Energy]],MATCH("Balance",OP_RatesTU_RES_1[Rate name],0),MATCH(CostStackCalcs_RES_1[[#Headers],[United Energy]],OP_RatesTU_RES_1[[#Headers],[Ausnet]:[United Energy]],0))*($D$51)),0)+
IFERROR((INDEX(OP_RatesTU_RES_1[[Ausnet]:[United Energy]],MATCH("Single rate",OP_RatesTU_RES_1[Rate name],0),MATCH(CostStackCalcs_RES_1[[#Headers],[United Energy]],OP_RatesTU_RES_1[[#Headers],[Ausnet]:[United Energy]],0))*($D$48)),0)),0),
ROUNDUP(
(INDEX(OP_Rates_SME_1[[Ausnet]:[United Energy]],MATCH("Anytime - supply",OP_Rates_SME_1[Rate name],0),MATCH(CostStackCalcs_SME_1[[#Headers],[United Energy]],OP_Rates_SME_1[[#Headers],[Ausnet]:[United Energy]],0))*DiY)+
(IFERROR((INDEX(OP_Rates_SME_1[[Ausnet]:[United Energy]],MATCH("Block 1",OP_Rates_SME_1[Rate name],0),MATCH(CostStackCalcs_SME_1[[#Headers],[United Energy]],OP_Rates_SME_1[[#Headers],[Ausnet]:[United Energy]],0))*$D$50),0)+
IFERROR((INDEX(OP_Rates_SME_1[[Ausnet]:[United Energy]],MATCH("Balance",OP_Rates_SME_1[Rate name],0),MATCH(CostStackCalcs_SME_1[[#Headers],[United Energy]],OP_Rates_SME_1[[#Headers],[Ausnet]:[United Energy]],0))*$D$51),0)+
IFERROR((INDEX(OP_Rates_SME_1[[Ausnet]:[United Energy]],MATCH("Single rate",OP_Rates_SME_1[Rate name],0),MATCH(CostStackCalcs_SME_1[[#Headers],[United Energy]],OP_Rates_SME_1[[#Headers],[Ausnet]:[United Energy]],0))*$D$48),0))
+
(IFERROR((INDEX(OP_RatesTU_SME_1[[Ausnet]:[United Energy]],MATCH("Block 1",OP_RatesTU_SME_1[Rate name],0),MATCH(CostStackCalcs_SME_1[[#Headers],[United Energy]],OP_RatesTU_SME_1[[#Headers],[Ausnet]:[United Energy]],0))*($D$50)),0)+
IFERROR((INDEX(OP_RatesTU_SME_1[[Ausnet]:[United Energy]],MATCH("Balance",OP_RatesTU_SME_1[Rate name],0),MATCH(CostStackCalcs_SME_1[[#Headers],[United Energy]],OP_RatesTU_SME_1[[#Headers],[Ausnet]:[United Energy]],0))*($D$51)),0)+
IFERROR((INDEX(OP_RatesTU_SME_1[[Ausnet]:[United Energy]],MATCH("Single rate",OP_RatesTU_SME_1[Rate name],0),MATCH(CostStackCalcs_SME_1[[#Headers],[United Energy]],OP_RatesTU_SME_1[[#Headers],[Ausnet]:[United Energy]],0))*($D$48)),0)),0))</f>
        <v>1554</v>
      </c>
      <c r="I66" s="74">
        <f>(AVERAGE(D66:H66))</f>
        <v>1655</v>
      </c>
      <c r="K66" s="14" t="s">
        <v>517</v>
      </c>
      <c r="L66" s="74">
        <f>IF($D$32="Residential",
ROUNDUP(
(INDEX(OP_Rates_RES_2[[Ausnet]:[United Energy]],MATCH("Anytime - supply",OP_Rates_RES_2[Rate name],0),MATCH(CostStackCalcs_RES_2[[#Headers],[Ausnet]],OP_Rates_RES_2[[#Headers],[Ausnet]:[United Energy]],0))*DiPY)+
(IFERROR((INDEX(OP_Rates_RES_2[[Ausnet]:[United Energy]],MATCH("Block 1",OP_Rates_RES_2[Rate name],0),MATCH(CostStackCalcs_RES_2[[#Headers],[Ausnet]],OP_Rates_RES_2[[#Headers],[Ausnet]:[United Energy]],0))*$L$50),0)+
IFERROR((INDEX(OP_Rates_RES_2[[Ausnet]:[United Energy]],MATCH("Balance",OP_Rates_RES_2[Rate name],0),MATCH(CostStackCalcs_RES_2[[#Headers],[Ausnet]],OP_Rates_RES_2[[#Headers],[Ausnet]:[United Energy]],0))*$L$51),0)+
IFERROR((INDEX(OP_Rates_RES_2[[Ausnet]:[United Energy]],MATCH("Single rate",OP_Rates_RES_2[Rate name],0),MATCH(CostStackCalcs_RES_2[[#Headers],[Ausnet]],OP_Rates_RES_2[[#Headers],[Ausnet]:[United Energy]],0))*$L$48),0))
+
(IFERROR((INDEX(OP_RatesTU_RES_2[[Ausnet]:[United Energy]],MATCH("Block 1",OP_RatesTU_RES_2[Rate name],0),MATCH(CostStackCalcs_RES_2[[#Headers],[Ausnet]],OP_RatesTU_RES_2[[#Headers],[Ausnet]:[United Energy]],0))*($L$50)),0)+
IFERROR((INDEX(OP_RatesTU_RES_2[[Ausnet]:[United Energy]],MATCH("Balance",OP_RatesTU_RES_2[Rate name],0),MATCH(CostStackCalcs_RES_2[[#Headers],[Ausnet]],OP_RatesTU_RES_2[[#Headers],[Ausnet]:[United Energy]],0))*($L$51)),0)+
IFERROR((INDEX(OP_RatesTU_RES_2[[Ausnet]:[United Energy]],MATCH("Single rate",OP_RatesTU_RES_2[Rate name],0),MATCH(CostStackCalcs_RES_2[[#Headers],[Ausnet]],OP_RatesTU_RES_2[[#Headers],[Ausnet]:[United Energy]],0))*($L$48)),0)),0),ROUNDUP(
(INDEX(OP_Rates_SME_2[[Ausnet]:[United Energy]],MATCH("Anytime - supply",OP_Rates_SME_2[Rate name],0),MATCH(CostStackCalcs_SME_2[[#Headers],[Ausnet]],OP_Rates_SME_2[[#Headers],[Ausnet]:[United Energy]],0))*DiPY)+
(IFERROR((INDEX(OP_Rates_SME_2[[Ausnet]:[United Energy]],MATCH("Block 1",OP_Rates_SME_2[Rate name],0),MATCH(CostStackCalcs_SME_2[[#Headers],[Ausnet]],OP_Rates_SME_2[[#Headers],[Ausnet]:[United Energy]],0))*$L$50),0)+
IFERROR((INDEX(OP_Rates_SME_2[[Ausnet]:[United Energy]],MATCH("Balance",OP_Rates_SME_2[Rate name],0),MATCH(CostStackCalcs_SME_2[[#Headers],[Ausnet]],OP_Rates_SME_2[[#Headers],[Ausnet]:[United Energy]],0))*$L$51),0)+
IFERROR((INDEX(OP_Rates_SME_2[[Ausnet]:[United Energy]],MATCH("Single rate",OP_Rates_SME_2[Rate name],0),MATCH(CostStackCalcs_SME_2[[#Headers],[Ausnet]],OP_Rates_SME_2[[#Headers],[Ausnet]:[United Energy]],0))*$L$48),0))
+
(IFERROR((INDEX(OP_RatesTU_SME_2[[Ausnet]:[United Energy]],MATCH("Block 1",OP_RatesTU_SME_2[Rate name],0),MATCH(CostStackCalcs_SME_2[[#Headers],[Ausnet]],OP_RatesTU_SME_2[[#Headers],[Ausnet]:[United Energy]],0))*($L$50)),0)+
IFERROR((INDEX(OP_RatesTU_SME_2[[Ausnet]:[United Energy]],MATCH("Balance",OP_RatesTU_SME_2[Rate name],0),MATCH(CostStackCalcs_SME_2[[#Headers],[Ausnet]],OP_RatesTU_SME_2[[#Headers],[Ausnet]:[United Energy]],0))*($L$51)),0)+
IFERROR((INDEX(OP_RatesTU_SME_2[[Ausnet]:[United Energy]],MATCH("Single rate",OP_RatesTU_SME_2[Rate name],0),MATCH(CostStackCalcs_SME_2[[#Headers],[Ausnet]],OP_RatesTU_SME_2[[#Headers],[Ausnet]:[United Energy]],0))*($L$48)),0)),0))</f>
        <v>2026</v>
      </c>
      <c r="M66" s="74">
        <f>IF($D$32="Residential",
ROUNDUP(
(INDEX(OP_Rates_RES_2[[Ausnet]:[United Energy]],MATCH("Anytime - supply",OP_Rates_RES_2[Rate name],0),MATCH(CostStackCalcs_RES_2[[#Headers],[Citipower]],OP_Rates_RES_2[[#Headers],[Ausnet]:[United Energy]],0))*DiPY)+
(IFERROR((INDEX(OP_Rates_RES_2[[Ausnet]:[United Energy]],MATCH("Block 1",OP_Rates_RES_2[Rate name],0),MATCH(CostStackCalcs_RES_2[[#Headers],[Citipower]],OP_Rates_RES_2[[#Headers],[Ausnet]:[United Energy]],0))*$L$50),0)+
IFERROR((INDEX(OP_Rates_RES_2[[Ausnet]:[United Energy]],MATCH("Balance",OP_Rates_RES_2[Rate name],0),MATCH(CostStackCalcs_RES_2[[#Headers],[Citipower]],OP_Rates_RES_2[[#Headers],[Ausnet]:[United Energy]],0))*$L$51),0)+
IFERROR((INDEX(OP_Rates_RES_2[[Ausnet]:[United Energy]],MATCH("Single rate",OP_Rates_RES_2[Rate name],0),MATCH(CostStackCalcs_RES_2[[#Headers],[Citipower]],OP_Rates_RES_2[[#Headers],[Ausnet]:[United Energy]],0))*$L$48),0))
+
(IFERROR((INDEX(OP_RatesTU_RES_2[[Ausnet]:[United Energy]],MATCH("Block 1",OP_RatesTU_RES_2[Rate name],0),MATCH(CostStackCalcs_RES_2[[#Headers],[Citipower]],OP_RatesTU_RES_2[[#Headers],[Ausnet]:[United Energy]],0))*($L$50)),0)+
IFERROR((INDEX(OP_RatesTU_RES_2[[Ausnet]:[United Energy]],MATCH("Balance",OP_RatesTU_RES_2[Rate name],0),MATCH(CostStackCalcs_RES_2[[#Headers],[Citipower]],OP_RatesTU_RES_2[[#Headers],[Ausnet]:[United Energy]],0))*($L$51)),0)+
IFERROR((INDEX(OP_RatesTU_RES_2[[Ausnet]:[United Energy]],MATCH("Single rate",OP_RatesTU_RES_2[Rate name],0),MATCH(CostStackCalcs_RES_2[[#Headers],[Citipower]],OP_RatesTU_RES_2[[#Headers],[Ausnet]:[United Energy]],0))*($L$48)),0)),0),ROUNDUP(
(INDEX(OP_Rates_SME_2[[Ausnet]:[United Energy]],MATCH("Anytime - supply",OP_Rates_SME_2[Rate name],0),MATCH(CostStackCalcs_SME_2[[#Headers],[Citipower]],OP_Rates_SME_2[[#Headers],[Ausnet]:[United Energy]],0))*DiPY)+
(IFERROR((INDEX(OP_Rates_SME_2[[Ausnet]:[United Energy]],MATCH("Block 1",OP_Rates_SME_2[Rate name],0),MATCH(CostStackCalcs_SME_2[[#Headers],[Citipower]],OP_Rates_SME_2[[#Headers],[Ausnet]:[United Energy]],0))*$L$50),0)+
IFERROR((INDEX(OP_Rates_SME_2[[Ausnet]:[United Energy]],MATCH("Balance",OP_Rates_SME_2[Rate name],0),MATCH(CostStackCalcs_SME_2[[#Headers],[Citipower]],OP_Rates_SME_2[[#Headers],[Ausnet]:[United Energy]],0))*$L$51),0)+
IFERROR((INDEX(OP_Rates_SME_2[[Ausnet]:[United Energy]],MATCH("Single rate",OP_Rates_SME_2[Rate name],0),MATCH(CostStackCalcs_SME_2[[#Headers],[Citipower]],OP_Rates_SME_2[[#Headers],[Ausnet]:[United Energy]],0))*$L$48),0))
+
(IFERROR((INDEX(OP_RatesTU_SME_2[[Ausnet]:[United Energy]],MATCH("Block 1",OP_RatesTU_SME_2[Rate name],0),MATCH(CostStackCalcs_SME_2[[#Headers],[Citipower]],OP_RatesTU_SME_2[[#Headers],[Ausnet]:[United Energy]],0))*($L$50)),0)+
IFERROR((INDEX(OP_RatesTU_SME_2[[Ausnet]:[United Energy]],MATCH("Balance",OP_RatesTU_SME_2[Rate name],0),MATCH(CostStackCalcs_SME_2[[#Headers],[Citipower]],OP_RatesTU_SME_2[[#Headers],[Ausnet]:[United Energy]],0))*($L$51)),0)+
IFERROR((INDEX(OP_RatesTU_SME_2[[Ausnet]:[United Energy]],MATCH("Single rate",OP_RatesTU_SME_2[Rate name],0),MATCH(CostStackCalcs_SME_2[[#Headers],[Citipower]],OP_RatesTU_SME_2[[#Headers],[Ausnet]:[United Energy]],0))*($L$48)),0)),0))</f>
        <v>1571</v>
      </c>
      <c r="N66" s="74">
        <f>IF($D$32="Residential",
ROUNDUP(
(INDEX(OP_Rates_RES_2[[Ausnet]:[United Energy]],MATCH("Anytime - supply",OP_Rates_RES_2[Rate name],0),MATCH(CostStackCalcs_RES_2[[#Headers],[Jemena]],OP_Rates_RES_2[[#Headers],[Ausnet]:[United Energy]],0))*DiPY)+
(IFERROR((INDEX(OP_Rates_RES_2[[Ausnet]:[United Energy]],MATCH("Block 1",OP_Rates_RES_2[Rate name],0),MATCH(CostStackCalcs_RES_2[[#Headers],[Jemena]],OP_Rates_RES_2[[#Headers],[Ausnet]:[United Energy]],0))*$L$50),0)+
IFERROR((INDEX(OP_Rates_RES_2[[Ausnet]:[United Energy]],MATCH("Balance",OP_Rates_RES_2[Rate name],0),MATCH(CostStackCalcs_RES_2[[#Headers],[Jemena]],OP_Rates_RES_2[[#Headers],[Ausnet]:[United Energy]],0))*$L$51),0)+
IFERROR((INDEX(OP_Rates_RES_2[[Ausnet]:[United Energy]],MATCH("Single rate",OP_Rates_RES_2[Rate name],0),MATCH(CostStackCalcs_RES_2[[#Headers],[Jemena]],OP_Rates_RES_2[[#Headers],[Ausnet]:[United Energy]],0))*$L$48),0))
+
(IFERROR((INDEX(OP_RatesTU_RES_2[[Ausnet]:[United Energy]],MATCH("Block 1",OP_RatesTU_RES_2[Rate name],0),MATCH(CostStackCalcs_RES_2[[#Headers],[Jemena]],OP_RatesTU_RES_2[[#Headers],[Ausnet]:[United Energy]],0))*($L$50)),0)+
IFERROR((INDEX(OP_RatesTU_RES_2[[Ausnet]:[United Energy]],MATCH("Balance",OP_RatesTU_RES_2[Rate name],0),MATCH(CostStackCalcs_RES_2[[#Headers],[Jemena]],OP_RatesTU_RES_2[[#Headers],[Ausnet]:[United Energy]],0))*($L$51)),0)+
IFERROR((INDEX(OP_RatesTU_RES_2[[Ausnet]:[United Energy]],MATCH("Single rate",OP_RatesTU_RES_2[Rate name],0),MATCH(CostStackCalcs_RES_2[[#Headers],[Jemena]],OP_RatesTU_RES_2[[#Headers],[Ausnet]:[United Energy]],0))*($L$48)),0)),0),ROUNDUP(
(INDEX(OP_Rates_SME_2[[Ausnet]:[United Energy]],MATCH("Anytime - supply",OP_Rates_SME_2[Rate name],0),MATCH(CostStackCalcs_SME_2[[#Headers],[Jemena]],OP_Rates_SME_2[[#Headers],[Ausnet]:[United Energy]],0))*DiPY)+
(IFERROR((INDEX(OP_Rates_SME_2[[Ausnet]:[United Energy]],MATCH("Block 1",OP_Rates_SME_2[Rate name],0),MATCH(CostStackCalcs_SME_2[[#Headers],[Jemena]],OP_Rates_SME_2[[#Headers],[Ausnet]:[United Energy]],0))*$L$50),0)+
IFERROR((INDEX(OP_Rates_SME_2[[Ausnet]:[United Energy]],MATCH("Balance",OP_Rates_SME_2[Rate name],0),MATCH(CostStackCalcs_SME_2[[#Headers],[Jemena]],OP_Rates_SME_2[[#Headers],[Ausnet]:[United Energy]],0))*$L$51),0)+
IFERROR((INDEX(OP_Rates_SME_2[[Ausnet]:[United Energy]],MATCH("Single rate",OP_Rates_SME_2[Rate name],0),MATCH(CostStackCalcs_SME_2[[#Headers],[Jemena]],OP_Rates_SME_2[[#Headers],[Ausnet]:[United Energy]],0))*$L$48),0))
+
(IFERROR((INDEX(OP_RatesTU_SME_2[[Ausnet]:[United Energy]],MATCH("Block 1",OP_RatesTU_SME_2[Rate name],0),MATCH(CostStackCalcs_SME_2[[#Headers],[Jemena]],OP_RatesTU_SME_2[[#Headers],[Ausnet]:[United Energy]],0))*($L$50)),0)+
IFERROR((INDEX(OP_RatesTU_SME_2[[Ausnet]:[United Energy]],MATCH("Balance",OP_RatesTU_SME_2[Rate name],0),MATCH(CostStackCalcs_SME_2[[#Headers],[Jemena]],OP_RatesTU_SME_2[[#Headers],[Ausnet]:[United Energy]],0))*($L$51)),0)+
IFERROR((INDEX(OP_RatesTU_SME_2[[Ausnet]:[United Energy]],MATCH("Single rate",OP_RatesTU_SME_2[Rate name],0),MATCH(CostStackCalcs_SME_2[[#Headers],[Jemena]],OP_RatesTU_SME_2[[#Headers],[Ausnet]:[United Energy]],0))*($L$48)),0)),0))</f>
        <v>1720</v>
      </c>
      <c r="O66" s="74">
        <f>IF($D$32="Residential",
ROUNDUP(
(INDEX(OP_Rates_RES_2[[Ausnet]:[United Energy]],MATCH("Anytime - supply",OP_Rates_RES_2[Rate name],0),MATCH(CostStackCalcs_RES_2[[#Headers],[Powercor]],OP_Rates_RES_2[[#Headers],[Ausnet]:[United Energy]],0))*DiPY)+
(IFERROR((INDEX(OP_Rates_RES_2[[Ausnet]:[United Energy]],MATCH("Block 1",OP_Rates_RES_2[Rate name],0),MATCH(CostStackCalcs_RES_2[[#Headers],[Powercor]],OP_Rates_RES_2[[#Headers],[Ausnet]:[United Energy]],0))*$L$50),0)+
IFERROR((INDEX(OP_Rates_RES_2[[Ausnet]:[United Energy]],MATCH("Balance",OP_Rates_RES_2[Rate name],0),MATCH(CostStackCalcs_RES_2[[#Headers],[Powercor]],OP_Rates_RES_2[[#Headers],[Ausnet]:[United Energy]],0))*$L$51),0)+
IFERROR((INDEX(OP_Rates_RES_2[[Ausnet]:[United Energy]],MATCH("Single rate",OP_Rates_RES_2[Rate name],0),MATCH(CostStackCalcs_RES_2[[#Headers],[Powercor]],OP_Rates_RES_2[[#Headers],[Ausnet]:[United Energy]],0))*$L$48),0))
+
(IFERROR((INDEX(OP_RatesTU_RES_2[[Ausnet]:[United Energy]],MATCH("Block 1",OP_RatesTU_RES_2[Rate name],0),MATCH(CostStackCalcs_RES_2[[#Headers],[Powercor]],OP_RatesTU_RES_2[[#Headers],[Ausnet]:[United Energy]],0))*($L$50)),0)+
IFERROR((INDEX(OP_RatesTU_RES_2[[Ausnet]:[United Energy]],MATCH("Balance",OP_RatesTU_RES_2[Rate name],0),MATCH(CostStackCalcs_RES_2[[#Headers],[Powercor]],OP_RatesTU_RES_2[[#Headers],[Ausnet]:[United Energy]],0))*($L$51)),0)+
IFERROR((INDEX(OP_RatesTU_RES_2[[Ausnet]:[United Energy]],MATCH("Single rate",OP_RatesTU_RES_2[Rate name],0),MATCH(CostStackCalcs_RES_2[[#Headers],[Powercor]],OP_RatesTU_RES_2[[#Headers],[Ausnet]:[United Energy]],0))*($L$48)),0)),0),ROUNDUP(
(INDEX(OP_Rates_SME_2[[Ausnet]:[United Energy]],MATCH("Anytime - supply",OP_Rates_SME_2[Rate name],0),MATCH(CostStackCalcs_SME_2[[#Headers],[Powercor]],OP_Rates_SME_2[[#Headers],[Ausnet]:[United Energy]],0))*DiPY)+
(IFERROR((INDEX(OP_Rates_SME_2[[Ausnet]:[United Energy]],MATCH("Block 1",OP_Rates_SME_2[Rate name],0),MATCH(CostStackCalcs_SME_2[[#Headers],[Powercor]],OP_Rates_SME_2[[#Headers],[Ausnet]:[United Energy]],0))*$L$50),0)+
IFERROR((INDEX(OP_Rates_SME_2[[Ausnet]:[United Energy]],MATCH("Balance",OP_Rates_SME_2[Rate name],0),MATCH(CostStackCalcs_SME_2[[#Headers],[Powercor]],OP_Rates_SME_2[[#Headers],[Ausnet]:[United Energy]],0))*$L$51),0)+
IFERROR((INDEX(OP_Rates_SME_2[[Ausnet]:[United Energy]],MATCH("Single rate",OP_Rates_SME_2[Rate name],0),MATCH(CostStackCalcs_SME_2[[#Headers],[Powercor]],OP_Rates_SME_2[[#Headers],[Ausnet]:[United Energy]],0))*$L$48),0))
+
(IFERROR((INDEX(OP_RatesTU_SME_2[[Ausnet]:[United Energy]],MATCH("Block 1",OP_RatesTU_SME_2[Rate name],0),MATCH(CostStackCalcs_SME_2[[#Headers],[Powercor]],OP_RatesTU_SME_2[[#Headers],[Ausnet]:[United Energy]],0))*($L$50)),0)+
IFERROR((INDEX(OP_RatesTU_SME_2[[Ausnet]:[United Energy]],MATCH("Balance",OP_RatesTU_SME_2[Rate name],0),MATCH(CostStackCalcs_SME_2[[#Headers],[Powercor]],OP_RatesTU_SME_2[[#Headers],[Ausnet]:[United Energy]],0))*($L$51)),0)+
IFERROR((INDEX(OP_RatesTU_SME_2[[Ausnet]:[United Energy]],MATCH("Single rate",OP_RatesTU_SME_2[Rate name],0),MATCH(CostStackCalcs_SME_2[[#Headers],[Powercor]],OP_RatesTU_SME_2[[#Headers],[Ausnet]:[United Energy]],0))*($L$48)),0)),0))</f>
        <v>1793</v>
      </c>
      <c r="P66" s="74">
        <f>IF($D$32="Residential",
ROUNDUP(
(INDEX(OP_Rates_RES_2[[Ausnet]:[United Energy]],MATCH("Anytime - supply",OP_Rates_RES_2[Rate name],0),MATCH(CostStackCalcs_RES_2[[#Headers],[United Energy]],OP_Rates_RES_2[[#Headers],[Ausnet]:[United Energy]],0))*DiPY)+
(IFERROR((INDEX(OP_Rates_RES_2[[Ausnet]:[United Energy]],MATCH("Block 1",OP_Rates_RES_2[Rate name],0),MATCH(CostStackCalcs_RES_2[[#Headers],[United Energy]],OP_Rates_RES_2[[#Headers],[Ausnet]:[United Energy]],0))*$L$50),0)+
IFERROR((INDEX(OP_Rates_RES_2[[Ausnet]:[United Energy]],MATCH("Balance",OP_Rates_RES_2[Rate name],0),MATCH(CostStackCalcs_RES_2[[#Headers],[United Energy]],OP_Rates_RES_2[[#Headers],[Ausnet]:[United Energy]],0))*$L$51),0)+
IFERROR((INDEX(OP_Rates_RES_2[[Ausnet]:[United Energy]],MATCH("Single rate",OP_Rates_RES_2[Rate name],0),MATCH(CostStackCalcs_RES_2[[#Headers],[United Energy]],OP_Rates_RES_2[[#Headers],[Ausnet]:[United Energy]],0))*$L$48),0))
+
(IFERROR((INDEX(OP_RatesTU_RES_2[[Ausnet]:[United Energy]],MATCH("Block 1",OP_RatesTU_RES_2[Rate name],0),MATCH(CostStackCalcs_RES_2[[#Headers],[United Energy]],OP_RatesTU_RES_2[[#Headers],[Ausnet]:[United Energy]],0))*($L$50)),0)+
IFERROR((INDEX(OP_RatesTU_RES_2[[Ausnet]:[United Energy]],MATCH("Balance",OP_RatesTU_RES_2[Rate name],0),MATCH(CostStackCalcs_RES_2[[#Headers],[United Energy]],OP_RatesTU_RES_2[[#Headers],[Ausnet]:[United Energy]],0))*($L$51)),0)+
IFERROR((INDEX(OP_RatesTU_RES_2[[Ausnet]:[United Energy]],MATCH("Single rate",OP_RatesTU_RES_2[Rate name],0),MATCH(CostStackCalcs_RES_2[[#Headers],[United Energy]],OP_RatesTU_RES_2[[#Headers],[Ausnet]:[United Energy]],0))*($L$48)),0)),0),ROUNDUP(
(INDEX(OP_Rates_SME_2[[Ausnet]:[United Energy]],MATCH("Anytime - supply",OP_Rates_SME_2[Rate name],0),MATCH(CostStackCalcs_SME_2[[#Headers],[United Energy]],OP_Rates_SME_2[[#Headers],[Ausnet]:[United Energy]],0))*DiPY)+
(IFERROR((INDEX(OP_Rates_SME_2[[Ausnet]:[United Energy]],MATCH("Block 1",OP_Rates_SME_2[Rate name],0),MATCH(CostStackCalcs_SME_2[[#Headers],[United Energy]],OP_Rates_SME_2[[#Headers],[Ausnet]:[United Energy]],0))*$L$50),0)+
IFERROR((INDEX(OP_Rates_SME_2[[Ausnet]:[United Energy]],MATCH("Balance",OP_Rates_SME_2[Rate name],0),MATCH(CostStackCalcs_SME_2[[#Headers],[United Energy]],OP_Rates_SME_2[[#Headers],[Ausnet]:[United Energy]],0))*$L$51),0)+
IFERROR((INDEX(OP_Rates_SME_2[[Ausnet]:[United Energy]],MATCH("Single rate",OP_Rates_SME_2[Rate name],0),MATCH(CostStackCalcs_SME_2[[#Headers],[United Energy]],OP_Rates_SME_2[[#Headers],[Ausnet]:[United Energy]],0))*$L$48),0))
+
(IFERROR((INDEX(OP_RatesTU_SME_2[[Ausnet]:[United Energy]],MATCH("Block 1",OP_RatesTU_SME_2[Rate name],0),MATCH(CostStackCalcs_SME_2[[#Headers],[United Energy]],OP_RatesTU_SME_2[[#Headers],[Ausnet]:[United Energy]],0))*($L$50)),0)+
IFERROR((INDEX(OP_RatesTU_SME_2[[Ausnet]:[United Energy]],MATCH("Balance",OP_RatesTU_SME_2[Rate name],0),MATCH(CostStackCalcs_SME_2[[#Headers],[United Energy]],OP_RatesTU_SME_2[[#Headers],[Ausnet]:[United Energy]],0))*($L$51)),0)+
IFERROR((INDEX(OP_RatesTU_SME_2[[Ausnet]:[United Energy]],MATCH("Single rate",OP_RatesTU_SME_2[Rate name],0),MATCH(CostStackCalcs_SME_2[[#Headers],[United Energy]],OP_RatesTU_SME_2[[#Headers],[Ausnet]:[United Energy]],0))*($L$48)),0)),0))</f>
        <v>1666</v>
      </c>
      <c r="Q66" s="179">
        <f>AVERAGE(L66:P66)</f>
        <v>1755.2</v>
      </c>
    </row>
    <row r="67" spans="2:17" hidden="1" outlineLevel="1" x14ac:dyDescent="0.25">
      <c r="B67" s="5" t="s">
        <v>545</v>
      </c>
      <c r="C67" s="31" t="s">
        <v>543</v>
      </c>
      <c r="D67" s="165">
        <f>D66-L66</f>
        <v>-124</v>
      </c>
      <c r="E67" s="165">
        <f>E66-M66</f>
        <v>-115</v>
      </c>
      <c r="F67" s="165">
        <f>F66-N66</f>
        <v>-56</v>
      </c>
      <c r="G67" s="165">
        <f>G66-O66</f>
        <v>-94</v>
      </c>
      <c r="H67" s="165">
        <f>H66-P66</f>
        <v>-112</v>
      </c>
      <c r="I67" s="130">
        <f>AVERAGE(D67:H67)</f>
        <v>-100.2</v>
      </c>
      <c r="K67" s="31" t="s">
        <v>543</v>
      </c>
      <c r="L67" s="165">
        <v>394</v>
      </c>
      <c r="M67" s="165">
        <v>278</v>
      </c>
      <c r="N67" s="165">
        <v>368</v>
      </c>
      <c r="O67" s="165">
        <v>381</v>
      </c>
      <c r="P67" s="165">
        <v>342</v>
      </c>
      <c r="Q67" s="130">
        <f>AVERAGE(L67:P67)</f>
        <v>352.6</v>
      </c>
    </row>
    <row r="68" spans="2:17" hidden="1" outlineLevel="1" x14ac:dyDescent="0.25">
      <c r="B68" s="5" t="s">
        <v>545</v>
      </c>
      <c r="C68" s="31" t="s">
        <v>544</v>
      </c>
      <c r="D68" s="166">
        <f>D67/L66</f>
        <v>-6.1204343534057258E-2</v>
      </c>
      <c r="E68" s="166">
        <f t="shared" ref="E68:H68" si="7">E67/M66</f>
        <v>-7.3201782304264801E-2</v>
      </c>
      <c r="F68" s="166">
        <f t="shared" si="7"/>
        <v>-3.255813953488372E-2</v>
      </c>
      <c r="G68" s="166">
        <f t="shared" si="7"/>
        <v>-5.242610150585611E-2</v>
      </c>
      <c r="H68" s="166">
        <f t="shared" si="7"/>
        <v>-6.7226890756302518E-2</v>
      </c>
      <c r="I68" s="167">
        <f>AVERAGE(D68:H68)</f>
        <v>-5.732345152707289E-2</v>
      </c>
      <c r="K68" s="31" t="s">
        <v>544</v>
      </c>
      <c r="L68" s="168">
        <v>0.24142156862745098</v>
      </c>
      <c r="M68" s="168">
        <v>0.21500386697602475</v>
      </c>
      <c r="N68" s="168">
        <v>0.27218934911242604</v>
      </c>
      <c r="O68" s="168">
        <v>0.26983002832861192</v>
      </c>
      <c r="P68" s="168">
        <v>0.2583081570996979</v>
      </c>
      <c r="Q68" s="169">
        <f>AVERAGE(L68:P68)</f>
        <v>0.2513505940288423</v>
      </c>
    </row>
    <row r="69" spans="2:17" outlineLevel="1" x14ac:dyDescent="0.25">
      <c r="L69" s="170"/>
      <c r="M69" s="170"/>
      <c r="N69" s="170"/>
      <c r="O69" s="170"/>
      <c r="P69" s="170"/>
      <c r="Q69" s="170"/>
    </row>
    <row r="70" spans="2:17" ht="15.75" outlineLevel="1" x14ac:dyDescent="0.25">
      <c r="C70" s="77" t="s">
        <v>16</v>
      </c>
      <c r="D70" s="67">
        <f t="shared" ref="D70:I70" si="8">IF(AND(D66-D64&lt;=1,D66-D64&gt;=-1),0,1)</f>
        <v>0</v>
      </c>
      <c r="E70" s="67">
        <f t="shared" si="8"/>
        <v>0</v>
      </c>
      <c r="F70" s="67">
        <f t="shared" si="8"/>
        <v>0</v>
      </c>
      <c r="G70" s="67">
        <f t="shared" si="8"/>
        <v>0</v>
      </c>
      <c r="H70" s="67">
        <f t="shared" si="8"/>
        <v>0</v>
      </c>
      <c r="I70" s="67">
        <f t="shared" si="8"/>
        <v>0</v>
      </c>
      <c r="K70" s="77" t="s">
        <v>16</v>
      </c>
      <c r="L70" s="67">
        <f t="shared" ref="L70:Q70" si="9">IF(AND(L66-L64&lt;=1,L66-L64&gt;=-1),0,1)</f>
        <v>0</v>
      </c>
      <c r="M70" s="67">
        <f t="shared" si="9"/>
        <v>0</v>
      </c>
      <c r="N70" s="67">
        <f t="shared" si="9"/>
        <v>0</v>
      </c>
      <c r="O70" s="67">
        <f t="shared" si="9"/>
        <v>0</v>
      </c>
      <c r="P70" s="67">
        <f t="shared" si="9"/>
        <v>0</v>
      </c>
      <c r="Q70" s="67">
        <f t="shared" si="9"/>
        <v>0</v>
      </c>
    </row>
    <row r="71" spans="2:17" outlineLevel="1" x14ac:dyDescent="0.25"/>
    <row r="72" spans="2:17" ht="15.75" outlineLevel="1" x14ac:dyDescent="0.25">
      <c r="C72" s="29" t="s">
        <v>263</v>
      </c>
      <c r="D72" s="71">
        <f>INDEX(Input_ForRateCalc[],MATCH($C72,Input_ForRateCalc[Cost item],0),MATCH($D$45,Inputs!$C$15:$AZ$15,0))</f>
        <v>5.6000000000000001E-2</v>
      </c>
      <c r="E72" s="71">
        <f>INDEX(Input_ForRateCalc[],MATCH($C72,Input_ForRateCalc[[Cost item]:[Cost item]],0),MATCH($D$45,Inputs!$C$15:$AZ$15,0))</f>
        <v>5.6000000000000001E-2</v>
      </c>
      <c r="F72" s="71">
        <f>INDEX(Input_ForRateCalc[],MATCH($C72,Input_ForRateCalc[[Cost item]:[Cost item]],0),MATCH($D$45,Inputs!$C$15:$AZ$15,0))</f>
        <v>5.6000000000000001E-2</v>
      </c>
      <c r="G72" s="71">
        <f>INDEX(Input_ForRateCalc[],MATCH($C72,Input_ForRateCalc[[Cost item]:[Cost item]],0),MATCH($D$45,Inputs!$C$15:$AZ$15,0))</f>
        <v>5.6000000000000001E-2</v>
      </c>
      <c r="H72" s="71">
        <f>INDEX(Input_ForRateCalc[],MATCH($C72,Input_ForRateCalc[[Cost item]:[Cost item]],0),MATCH($D$45,Inputs!$C$15:$AZ$15,0))</f>
        <v>5.6000000000000001E-2</v>
      </c>
      <c r="K72" s="29" t="s">
        <v>263</v>
      </c>
      <c r="L72" s="71">
        <f>INDEX(Input_ForRateCalc[],MATCH($K72,Input_ForRateCalc[[Cost item]:[Cost item]],0),MATCH($L$45,Inputs!$C$15:$AZ$15,0))</f>
        <v>5.6000000000000001E-2</v>
      </c>
      <c r="M72" s="71">
        <f>INDEX(Input_ForRateCalc[],MATCH($K72,Input_ForRateCalc[[Cost item]:[Cost item]],0),MATCH($L$45,Inputs!$C$15:$AZ$15,0))</f>
        <v>5.6000000000000001E-2</v>
      </c>
      <c r="N72" s="71">
        <f>INDEX(Input_ForRateCalc[],MATCH($K72,Input_ForRateCalc[[Cost item]:[Cost item]],0),MATCH($L$45,Inputs!$C$15:$AZ$15,0))</f>
        <v>5.6000000000000001E-2</v>
      </c>
      <c r="O72" s="71">
        <f>INDEX(Input_ForRateCalc[],MATCH($K72,Input_ForRateCalc[[Cost item]:[Cost item]],0),MATCH($L$45,Inputs!$C$15:$AZ$15,0))</f>
        <v>5.6000000000000001E-2</v>
      </c>
      <c r="P72" s="71">
        <f>INDEX(Input_ForRateCalc[],MATCH($K72,Input_ForRateCalc[[Cost item]:[Cost item]],0),MATCH($L$45,Inputs!$C$15:$AZ$15,0))</f>
        <v>5.6000000000000001E-2</v>
      </c>
    </row>
    <row r="73" spans="2:17" outlineLevel="1" x14ac:dyDescent="0.25"/>
    <row r="74" spans="2:17" ht="15.75" outlineLevel="1" x14ac:dyDescent="0.25">
      <c r="C74" s="29" t="s">
        <v>372</v>
      </c>
      <c r="D74" s="71">
        <f>INDEX(Calc_Losses_1[[Ausnet]:[United Energy]],MATCH("Total loss factor",Calc_Losses_1[Cost item],0),MATCH(D$54,Calc_Losses_1[[#Headers],[Ausnet]:[United Energy]],0))</f>
        <v>7.9520016025126816E-2</v>
      </c>
      <c r="E74" s="71">
        <f>INDEX(Calc_Losses_1[[Ausnet]:[United Energy]],MATCH("Total loss factor",Calc_Losses_1[Cost item],0),MATCH(E$54,Calc_Losses_1[[#Headers],[Ausnet]:[United Energy]],0))</f>
        <v>4.3222622000000044E-2</v>
      </c>
      <c r="F74" s="71">
        <f>INDEX(Calc_Losses_1[[Ausnet]:[United Energy]],MATCH("Total loss factor",Calc_Losses_1[Cost item],0),MATCH(F$54,Calc_Losses_1[[#Headers],[Ausnet]:[United Energy]],0))</f>
        <v>4.7794459999999983E-2</v>
      </c>
      <c r="G74" s="71">
        <f>INDEX(Calc_Losses_1[[Ausnet]:[United Energy]],MATCH("Total loss factor",Calc_Losses_1[Cost item],0),MATCH(G$54,Calc_Losses_1[[#Headers],[Ausnet]:[United Energy]],0))</f>
        <v>6.5003673442893595E-2</v>
      </c>
      <c r="H74" s="71">
        <f>INDEX(Calc_Losses_1[[Ausnet]:[United Energy]],MATCH("Total loss factor",Calc_Losses_1[Cost item],0),MATCH(H$54,Calc_Losses_1[[#Headers],[Ausnet]:[United Energy]],0))</f>
        <v>4.4483242727272776E-2</v>
      </c>
      <c r="I74" s="83"/>
      <c r="K74" s="29" t="s">
        <v>372</v>
      </c>
      <c r="L74" s="71">
        <f>INDEX(Calc_Losses_2[[Ausnet]:[United Energy]],MATCH("Total loss factor",Calc_Losses_2[Cost item],0),MATCH(L$54,Calc_Losses_2[[#Headers],[Ausnet]:[United Energy]],0))</f>
        <v>8.5419688344982481E-2</v>
      </c>
      <c r="M74" s="71">
        <f>INDEX(Calc_Losses_2[[Ausnet]:[United Energy]],MATCH("Total loss factor",Calc_Losses_2[Cost item],0),MATCH(M$54,Calc_Losses_2[[#Headers],[Ausnet]:[United Energy]],0))</f>
        <v>4.4989549999999934E-2</v>
      </c>
      <c r="N74" s="71">
        <f>INDEX(Calc_Losses_2[[Ausnet]:[United Energy]],MATCH("Total loss factor",Calc_Losses_2[Cost item],0),MATCH(N$54,Calc_Losses_2[[#Headers],[Ausnet]:[United Energy]],0))</f>
        <v>4.5352937499999912E-2</v>
      </c>
      <c r="O74" s="71">
        <f>INDEX(Calc_Losses_2[[Ausnet]:[United Energy]],MATCH("Total loss factor",Calc_Losses_2[Cost item],0),MATCH(O$54,Calc_Losses_2[[#Headers],[Ausnet]:[United Energy]],0))</f>
        <v>7.1431145265919538E-2</v>
      </c>
      <c r="P74" s="71">
        <f>INDEX(Calc_Losses_2[[Ausnet]:[United Energy]],MATCH("Total loss factor",Calc_Losses_2[Cost item],0),MATCH(P$54,Calc_Losses_2[[#Headers],[Ausnet]:[United Energy]],0))</f>
        <v>4.6946740000000098E-2</v>
      </c>
    </row>
    <row r="75" spans="2:17" outlineLevel="1" x14ac:dyDescent="0.25">
      <c r="I75" s="61"/>
    </row>
    <row r="76" spans="2:17" ht="15.75" outlineLevel="1" x14ac:dyDescent="0.25">
      <c r="C76" s="20" t="s">
        <v>526</v>
      </c>
      <c r="K76" s="20" t="s">
        <v>526</v>
      </c>
    </row>
    <row r="77" spans="2:17" ht="15.75" outlineLevel="1" x14ac:dyDescent="0.25">
      <c r="C77" s="29" t="s">
        <v>527</v>
      </c>
      <c r="D77" s="72">
        <f>SUM(Calc_Retail_1[Ausnet])</f>
        <v>185.86772433721131</v>
      </c>
      <c r="E77" s="72">
        <f>SUM(Calc_Retail_1[Citipower])</f>
        <v>185.86772433721131</v>
      </c>
      <c r="F77" s="72">
        <f>SUM(Calc_Retail_1[Jemena])</f>
        <v>185.86772433721131</v>
      </c>
      <c r="G77" s="72">
        <f>SUM(Calc_Retail_1[Powercor])</f>
        <v>185.86772433721131</v>
      </c>
      <c r="H77" s="72">
        <f>SUM(Calc_Retail_1[United Energy])</f>
        <v>185.86772433721131</v>
      </c>
      <c r="K77" s="29" t="s">
        <v>527</v>
      </c>
      <c r="L77" s="72">
        <f>SUM(Calc_Retail_2[Ausnet])</f>
        <v>175.92415101117138</v>
      </c>
      <c r="M77" s="72">
        <f>SUM(Calc_Retail_2[Citipower])</f>
        <v>175.92415101117138</v>
      </c>
      <c r="N77" s="72">
        <f>SUM(Calc_Retail_2[Jemena])</f>
        <v>175.92415101117138</v>
      </c>
      <c r="O77" s="72">
        <f>SUM(Calc_Retail_2[Powercor])</f>
        <v>175.92415101117138</v>
      </c>
      <c r="P77" s="72">
        <f>SUM(Calc_Retail_2[United Energy])</f>
        <v>175.92415101117138</v>
      </c>
    </row>
    <row r="78" spans="2:17" outlineLevel="1" x14ac:dyDescent="0.25"/>
    <row r="79" spans="2:17" ht="15.75" outlineLevel="1" x14ac:dyDescent="0.25">
      <c r="C79" s="29" t="s">
        <v>528</v>
      </c>
      <c r="D79" s="72">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219.66849011598811</v>
      </c>
      <c r="E79" s="72">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166.8441422464187</v>
      </c>
      <c r="F79" s="72">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180.40714457779836</v>
      </c>
      <c r="G79" s="72">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213.65750924858042</v>
      </c>
      <c r="H79" s="72">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144.28501052193332</v>
      </c>
      <c r="K79" s="29" t="s">
        <v>528</v>
      </c>
      <c r="L79" s="72">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213.97054227419011</v>
      </c>
      <c r="M79" s="72">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159.58949568695607</v>
      </c>
      <c r="N79" s="72">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156.85934275504374</v>
      </c>
      <c r="O79" s="72">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206.12355510552027</v>
      </c>
      <c r="P79" s="72">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137.18128763194755</v>
      </c>
    </row>
    <row r="80" spans="2:17" outlineLevel="1" x14ac:dyDescent="0.25"/>
    <row r="81" spans="2:16" ht="15.75" outlineLevel="1" x14ac:dyDescent="0.25">
      <c r="C81" s="29" t="s">
        <v>147</v>
      </c>
      <c r="D81" s="72">
        <f>SUMIFS(Calc_OtherCosts_1[Ausnet],Calc_OtherCosts_1[[Fixed/Variable]:[Fixed/Variable]],"Fixed")</f>
        <v>14.076594479806786</v>
      </c>
      <c r="E81" s="72">
        <f>SUMIFS(Calc_OtherCosts_1[Citipower],Calc_OtherCosts_1[[Fixed/Variable]:[Fixed/Variable]],"Fixed")</f>
        <v>14.076594479806786</v>
      </c>
      <c r="F81" s="72">
        <f>SUMIFS(Calc_OtherCosts_1[Jemena],Calc_OtherCosts_1[[Fixed/Variable]:[Fixed/Variable]],"Fixed")</f>
        <v>14.076594479806786</v>
      </c>
      <c r="G81" s="72">
        <f>SUMIFS(Calc_OtherCosts_1[Powercor],Calc_OtherCosts_1[[Fixed/Variable]:[Fixed/Variable]],"Fixed")</f>
        <v>14.076594479806786</v>
      </c>
      <c r="H81" s="72">
        <f>SUMIFS(Calc_OtherCosts_1[United Energy],Calc_OtherCosts_1[[Fixed/Variable]:[Fixed/Variable]],"Fixed")</f>
        <v>14.076594479806786</v>
      </c>
      <c r="I81" s="131"/>
      <c r="J81" s="131"/>
      <c r="K81" s="29" t="s">
        <v>147</v>
      </c>
      <c r="L81" s="72">
        <f>SUMIFS(Calc_OtherCosts_2[Ausnet],Calc_OtherCosts_2[[Fixed/Variable]:[Fixed/Variable]],"Fixed")</f>
        <v>10.663924892904003</v>
      </c>
      <c r="M81" s="72">
        <f>SUMIFS(Calc_OtherCosts_2[Citipower],Calc_OtherCosts_2[[Fixed/Variable]:[Fixed/Variable]],"Fixed")</f>
        <v>10.663924892904003</v>
      </c>
      <c r="N81" s="72">
        <f>SUMIFS(Calc_OtherCosts_2[Jemena],Calc_OtherCosts_2[[Fixed/Variable]:[Fixed/Variable]],"Fixed")</f>
        <v>10.663924892904003</v>
      </c>
      <c r="O81" s="72">
        <f>SUMIFS(Calc_OtherCosts_2[Powercor],Calc_OtherCosts_2[[Fixed/Variable]:[Fixed/Variable]],"Fixed")</f>
        <v>10.663924892904003</v>
      </c>
      <c r="P81" s="72">
        <f>SUMIFS(Calc_OtherCosts_2[United Energy],Calc_OtherCosts_2[[Fixed/Variable]:[Fixed/Variable]],"Fixed")</f>
        <v>10.663924892904003</v>
      </c>
    </row>
    <row r="82" spans="2:16" outlineLevel="1" x14ac:dyDescent="0.25">
      <c r="I82" s="128"/>
      <c r="J82" s="128"/>
    </row>
    <row r="83" spans="2:16" ht="15.75" x14ac:dyDescent="0.25">
      <c r="K83" s="29" t="s">
        <v>529</v>
      </c>
      <c r="L83" s="72">
        <f>INDEX(Calc_FiT_2[[Ausnet]:[United Energy]],1,MATCH(L$54,Calc_FiT_2[[#Headers],[Ausnet]:[United Energy]],0))</f>
        <v>16.945572514842485</v>
      </c>
      <c r="M83" s="72">
        <f>INDEX(Calc_FiT_2[[Ausnet]:[United Energy]],1,MATCH(M$54,Calc_FiT_2[[#Headers],[Ausnet]:[United Energy]],0))</f>
        <v>16.945572514842485</v>
      </c>
      <c r="N83" s="72">
        <f>INDEX(Calc_FiT_2[[Ausnet]:[United Energy]],1,MATCH(N$54,Calc_FiT_2[[#Headers],[Ausnet]:[United Energy]],0))</f>
        <v>16.945572514842485</v>
      </c>
      <c r="O83" s="72">
        <f>INDEX(Calc_FiT_2[[Ausnet]:[United Energy]],1,MATCH(O$54,Calc_FiT_2[[#Headers],[Ausnet]:[United Energy]],0))</f>
        <v>16.945572514842485</v>
      </c>
      <c r="P83" s="72">
        <f>INDEX(Calc_FiT_2[[Ausnet]:[United Energy]],1,MATCH(P$54,Calc_FiT_2[[#Headers],[Ausnet]:[United Energy]],0))</f>
        <v>16.945572514842485</v>
      </c>
    </row>
    <row r="84" spans="2:16" outlineLevel="1" x14ac:dyDescent="0.25">
      <c r="I84" s="131"/>
    </row>
    <row r="85" spans="2:16" ht="15.75" outlineLevel="1" x14ac:dyDescent="0.25">
      <c r="C85" s="20" t="s">
        <v>530</v>
      </c>
      <c r="K85" s="20" t="s">
        <v>530</v>
      </c>
    </row>
    <row r="86" spans="2:16" ht="15.75" outlineLevel="1" x14ac:dyDescent="0.25">
      <c r="C86" s="29" t="s">
        <v>89</v>
      </c>
      <c r="D86" s="72">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2.9804443936933628E-2</v>
      </c>
      <c r="E86" s="72">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2.9804443936933628E-2</v>
      </c>
      <c r="F86" s="72">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2.9804443936933628E-2</v>
      </c>
      <c r="G86" s="72">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2.9804443936933628E-2</v>
      </c>
      <c r="H86" s="72">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2.9804443936933628E-2</v>
      </c>
      <c r="K86" s="29" t="s">
        <v>89</v>
      </c>
      <c r="L86" s="72">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2.843221042152444E-2</v>
      </c>
      <c r="M86" s="72">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2.843221042152444E-2</v>
      </c>
      <c r="N86" s="72">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2.843221042152444E-2</v>
      </c>
      <c r="O86" s="72">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2.843221042152444E-2</v>
      </c>
      <c r="P86" s="72">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2.843221042152444E-2</v>
      </c>
    </row>
    <row r="87" spans="2:16" outlineLevel="1" x14ac:dyDescent="0.25"/>
    <row r="88" spans="2:16" ht="15.75" outlineLevel="1" x14ac:dyDescent="0.25">
      <c r="C88" s="29" t="s">
        <v>182</v>
      </c>
      <c r="D88" s="72">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0.12265</v>
      </c>
      <c r="E88" s="72">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0.10188</v>
      </c>
      <c r="F88" s="72">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0.11929000000000001</v>
      </c>
      <c r="G88" s="72">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0.12242</v>
      </c>
      <c r="H88" s="72">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0.11620999999999999</v>
      </c>
      <c r="K88" s="29" t="s">
        <v>182</v>
      </c>
      <c r="L88" s="72">
        <f>IF(ISNUMBER(SEARCH("Residential",$K$48)),
INDEX(Calc_WholesaleRES_2[[Ausnet]:[United Energy]],MATCH("Wholesale cost",Calc_WholesaleRES_2[Cost item],0),MATCH(L$54,Calc_WholesaleRES_2[[#Headers],[Ausnet]:[United Energy]],0)),
INDEX(Calc_WholesaleSME_2[[Ausnet]:[United Energy]],MATCH("Wholesale cost",Calc_WholesaleSME_2[Cost item],0),MATCH(L$54,Calc_WholesaleSME_2[[#Headers],[Ausnet]:[United Energy]],0)))</f>
        <v>0.15582341721574622</v>
      </c>
      <c r="M88" s="72">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0.13699867658724985</v>
      </c>
      <c r="N88" s="72">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0.15299408314912863</v>
      </c>
      <c r="O88" s="72">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0.15371489848306913</v>
      </c>
      <c r="P88" s="72">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0.15046968338948136</v>
      </c>
    </row>
    <row r="89" spans="2:16" outlineLevel="1" x14ac:dyDescent="0.25"/>
    <row r="90" spans="2:16" s="172" customFormat="1" ht="15.75" outlineLevel="1" x14ac:dyDescent="0.25">
      <c r="B90" s="171"/>
      <c r="C90" s="29" t="s">
        <v>147</v>
      </c>
      <c r="D90" s="72">
        <f>SUMIFS(Calc_OtherCosts_1[Ausnet],Calc_OtherCosts_1[[Fixed/Variable]:[Fixed/Variable]],"Variable")</f>
        <v>1.0095610249207163E-3</v>
      </c>
      <c r="E90" s="72">
        <f>SUMIFS(Calc_OtherCosts_1[Citipower],Calc_OtherCosts_1[[Fixed/Variable]:[Fixed/Variable]],"Variable")</f>
        <v>1.0095610249207163E-3</v>
      </c>
      <c r="F90" s="72">
        <f>SUMIFS(Calc_OtherCosts_1[Jemena],Calc_OtherCosts_1[[Fixed/Variable]:[Fixed/Variable]],"Variable")</f>
        <v>1.0095610249207163E-3</v>
      </c>
      <c r="G90" s="72">
        <f>SUMIFS(Calc_OtherCosts_1[Powercor],Calc_OtherCosts_1[[Fixed/Variable]:[Fixed/Variable]],"Variable")</f>
        <v>1.0095610249207163E-3</v>
      </c>
      <c r="H90" s="72">
        <f>SUMIFS(Calc_OtherCosts_1[United Energy],Calc_OtherCosts_1[[Fixed/Variable]:[Fixed/Variable]],"Variable")</f>
        <v>1.0095610249207163E-3</v>
      </c>
      <c r="K90" s="29" t="s">
        <v>147</v>
      </c>
      <c r="L90" s="72">
        <f>SUMIFS(Calc_OtherCosts_2[Ausnet],Calc_OtherCosts_2[[Fixed/Variable]:[Fixed/Variable]],"Variable")</f>
        <v>1.6791732404258365E-3</v>
      </c>
      <c r="M90" s="72">
        <f>SUMIFS(Calc_OtherCosts_2[Citipower],Calc_OtherCosts_2[[Fixed/Variable]:[Fixed/Variable]],"Variable")</f>
        <v>1.6791732404258365E-3</v>
      </c>
      <c r="N90" s="72">
        <f>SUMIFS(Calc_OtherCosts_2[Jemena],Calc_OtherCosts_2[[Fixed/Variable]:[Fixed/Variable]],"Variable")</f>
        <v>1.6791732404258365E-3</v>
      </c>
      <c r="O90" s="72">
        <f>SUMIFS(Calc_OtherCosts_2[Powercor],Calc_OtherCosts_2[[Fixed/Variable]:[Fixed/Variable]],"Variable")</f>
        <v>1.6791732404258365E-3</v>
      </c>
      <c r="P90" s="72">
        <f>SUMIFS(Calc_OtherCosts_2[United Energy],Calc_OtherCosts_2[[Fixed/Variable]:[Fixed/Variable]],"Variable")</f>
        <v>1.6791732404258365E-3</v>
      </c>
    </row>
    <row r="91" spans="2:16" outlineLevel="1" x14ac:dyDescent="0.25">
      <c r="C91" s="175"/>
      <c r="K91" s="175"/>
    </row>
    <row r="92" spans="2:16" s="172" customFormat="1" ht="15.75" outlineLevel="1" x14ac:dyDescent="0.25">
      <c r="B92" s="171"/>
      <c r="C92" s="29" t="s">
        <v>529</v>
      </c>
      <c r="D92" s="72">
        <f>INDEX(Calc_FiT_1[[Ausnet]:[United Energy]],1,MATCH(D$54,Calc_FiT_1[[#Headers],[Ausnet]:[United Energy]],0))</f>
        <v>1.5968351161074819E-3</v>
      </c>
      <c r="E92" s="72">
        <f>INDEX(Calc_FiT_1[[Ausnet]:[United Energy]],1,MATCH(E$54,Calc_FiT_1[[#Headers],[Ausnet]:[United Energy]],0))</f>
        <v>1.5968351161074819E-3</v>
      </c>
      <c r="F92" s="72">
        <f>INDEX(Calc_FiT_1[[Ausnet]:[United Energy]],1,MATCH(F$54,Calc_FiT_1[[#Headers],[Ausnet]:[United Energy]],0))</f>
        <v>1.5968351161074819E-3</v>
      </c>
      <c r="G92" s="72">
        <f>INDEX(Calc_FiT_1[[Ausnet]:[United Energy]],1,MATCH(G$54,Calc_FiT_1[[#Headers],[Ausnet]:[United Energy]],0))</f>
        <v>1.5968351161074819E-3</v>
      </c>
      <c r="H92" s="72">
        <f>INDEX(Calc_FiT_1[[Ausnet]:[United Energy]],1,MATCH(H$54,Calc_FiT_1[[#Headers],[Ausnet]:[United Energy]],0))</f>
        <v>1.5968351161074819E-3</v>
      </c>
    </row>
    <row r="93" spans="2:16" outlineLevel="1" x14ac:dyDescent="0.25"/>
    <row r="94" spans="2:16" ht="15.75" outlineLevel="1" x14ac:dyDescent="0.25">
      <c r="C94" s="29" t="s">
        <v>531</v>
      </c>
      <c r="K94" s="29" t="s">
        <v>531</v>
      </c>
    </row>
    <row r="95" spans="2:16" outlineLevel="1" x14ac:dyDescent="0.25">
      <c r="C95" t="s">
        <v>74</v>
      </c>
      <c r="D95" s="72">
        <f>SUMIFS(Calc_NetworkV_1[Ausnet],Calc_NetworkV_1[[Cost item]:[Cost item]],$C95,Calc_NetworkV_1[[Customer type]:[Customer type]],IF(ISNUMBER(SEARCH("Residential",$C$48)),"Residential","Small business"))</f>
        <v>0.13647160516883983</v>
      </c>
      <c r="E95" s="72">
        <f>SUMIFS(Calc_NetworkV_1[Citipower],Calc_NetworkV_1[[Cost item]:[Cost item]],$C95,Calc_NetworkV_1[[Customer type]:[Customer type]],IF(ISNUMBER(SEARCH("Residential",$C$48)),"Residential","Small business"))</f>
        <v>0</v>
      </c>
      <c r="F95" s="72">
        <f>SUMIFS(Calc_NetworkV_1[Jemena],Calc_NetworkV_1[[Cost item]:[Cost item]],$C95,Calc_NetworkV_1[[Customer type]:[Customer type]],IF(ISNUMBER(SEARCH("Residential",$C$48)),"Residential","Small business"))</f>
        <v>0</v>
      </c>
      <c r="G95" s="72">
        <f>SUMIFS(Calc_NetworkV_1[Powercor],Calc_NetworkV_1[Cost item],$C95,Calc_NetworkV_1[Customer type],IF(ISNUMBER(SEARCH("Residential",$C$48)),"Residential","Small business"))</f>
        <v>0</v>
      </c>
      <c r="H95" s="72">
        <f>SUMIFS(Calc_NetworkV_1[United Energy],Calc_NetworkV_1[[Cost item]:[Cost item]],$C95,Calc_NetworkV_1[[Customer type]:[Customer type]],IF(ISNUMBER(SEARCH("Residential",$C$48)),"Residential","Small business"))</f>
        <v>0</v>
      </c>
      <c r="K95" t="s">
        <v>74</v>
      </c>
      <c r="L95" s="72">
        <f>SUMIFS(Calc_NetworkV_2[Ausnet],Calc_NetworkV_2[Cost item],$K95,Calc_NetworkV_2[Customer type],IF(ISNUMBER(SEARCH("Residential",$K$48)),"Residential","Small business"))</f>
        <v>0.1309807741874299</v>
      </c>
      <c r="M95" s="72">
        <f>SUMIFS(Calc_NetworkV_2[Citipower],Calc_NetworkV_2[[Cost item]:[Cost item]],$K95,Calc_NetworkV_2[[Customer type]:[Customer type]],IF(ISNUMBER(SEARCH("Residential",$K$48)),"Residential","Small business"))</f>
        <v>0</v>
      </c>
      <c r="N95" s="72">
        <f>SUMIFS(Calc_NetworkV_2[Jemena],Calc_NetworkV_2[[Cost item]:[Cost item]],$K95,Calc_NetworkV_2[[Customer type]:[Customer type]],IF(ISNUMBER(SEARCH("Residential",$K$48)),"Residential","Small business"))</f>
        <v>0</v>
      </c>
      <c r="O95" s="72">
        <f>SUMIFS(Calc_NetworkV_2[Powercor],Calc_NetworkV_2[[Cost item]:[Cost item]],$K95,Calc_NetworkV_2[[Customer type]:[Customer type]],IF(ISNUMBER(SEARCH("Residential",$K$48)),"Residential","Small business"))</f>
        <v>0</v>
      </c>
      <c r="P95" s="72">
        <f>SUMIFS(Calc_NetworkV_2[United Energy],Calc_NetworkV_2[[Cost item]:[Cost item]],$K95,Calc_NetworkV_2[[Customer type]:[Customer type]],IF(ISNUMBER(SEARCH("Residential",$K$48)),"Residential","Small business"))</f>
        <v>0</v>
      </c>
    </row>
    <row r="96" spans="2:16" outlineLevel="1" x14ac:dyDescent="0.25">
      <c r="C96" t="s">
        <v>76</v>
      </c>
      <c r="D96" s="72">
        <f>SUMIFS(Calc_NetworkV_1[Ausnet],Calc_NetworkV_1[[Cost item]:[Cost item]],$C96,Calc_NetworkV_1[[Customer type]:[Customer type]],IF(ISNUMBER(SEARCH("Residential",$C$48)),"Residential","Small business"))</f>
        <v>0.14341531316444667</v>
      </c>
      <c r="E96" s="72">
        <f>SUMIFS(Calc_NetworkV_1[Citipower],Calc_NetworkV_1[[Cost item]:[Cost item]],$C96,Calc_NetworkV_1[[Customer type]:[Customer type]],IF(ISNUMBER(SEARCH("Residential",$C$48)),"Residential","Small business"))</f>
        <v>0</v>
      </c>
      <c r="F96" s="72">
        <f>SUMIFS(Calc_NetworkV_1[Jemena],Calc_NetworkV_1[[Cost item]:[Cost item]],$C96,Calc_NetworkV_1[[Customer type]:[Customer type]],IF(ISNUMBER(SEARCH("Residential",$C$48)),"Residential","Small business"))</f>
        <v>0</v>
      </c>
      <c r="G96" s="72">
        <f>SUMIFS(Calc_NetworkV_1[Powercor],Calc_NetworkV_1[[Cost item]:[Cost item]],$C96,Calc_NetworkV_1[[Customer type]:[Customer type]],IF(ISNUMBER(SEARCH("Residential",$C$48)),"Residential","Small business"))</f>
        <v>0</v>
      </c>
      <c r="H96" s="72">
        <f>SUMIFS(Calc_NetworkV_1[United Energy],Calc_NetworkV_1[[Cost item]:[Cost item]],$C96,Calc_NetworkV_1[[Customer type]:[Customer type]],IF(ISNUMBER(SEARCH("Residential",$C$48)),"Residential","Small business"))</f>
        <v>0</v>
      </c>
      <c r="K96" t="s">
        <v>76</v>
      </c>
      <c r="L96" s="72">
        <f>SUMIFS(Calc_NetworkV_2[Ausnet],Calc_NetworkV_2[[Cost item]:[Cost item]],$K96,Calc_NetworkV_2[[Customer type]:[Customer type]],IF(ISNUMBER(SEARCH("Residential",$K$48)),"Residential","Small business"))</f>
        <v>0.13989069468735993</v>
      </c>
      <c r="M96" s="72">
        <f>SUMIFS(Calc_NetworkV_2[Citipower],Calc_NetworkV_2[[Cost item]:[Cost item]],$K96,Calc_NetworkV_2[[Customer type]:[Customer type]],IF(ISNUMBER(SEARCH("Residential",$K$48)),"Residential","Small business"))</f>
        <v>0</v>
      </c>
      <c r="N96" s="72">
        <f>SUMIFS(Calc_NetworkV_2[Jemena],Calc_NetworkV_2[[Cost item]:[Cost item]],$K96,Calc_NetworkV_2[[Customer type]:[Customer type]],IF(ISNUMBER(SEARCH("Residential",$K$48)),"Residential","Small business"))</f>
        <v>0</v>
      </c>
      <c r="O96" s="72">
        <f>SUMIFS(Calc_NetworkV_2[Powercor],Calc_NetworkV_2[[Cost item]:[Cost item]],$K96,Calc_NetworkV_2[[Customer type]:[Customer type]],IF(ISNUMBER(SEARCH("Residential",$K$48)),"Residential","Small business"))</f>
        <v>0</v>
      </c>
      <c r="P96" s="72">
        <f>SUMIFS(Calc_NetworkV_2[United Energy],Calc_NetworkV_2[[Cost item]:[Cost item]],$K96,Calc_NetworkV_2[[Customer type]:[Customer type]],IF(ISNUMBER(SEARCH("Residential",$K$48)),"Residential","Small business"))</f>
        <v>0</v>
      </c>
    </row>
    <row r="97" spans="3:16" outlineLevel="1" x14ac:dyDescent="0.25">
      <c r="C97" t="s">
        <v>77</v>
      </c>
      <c r="D97" s="72">
        <f>SUMIFS(Calc_NetworkV_1[Ausnet],Calc_NetworkV_1[[Cost item]:[Cost item]],$C97,Calc_NetworkV_1[[Customer type]:[Customer type]],IF(ISNUMBER(SEARCH("Residential",$C$48)),"Residential","Small business"))</f>
        <v>0</v>
      </c>
      <c r="E97" s="72">
        <f>SUMIFS(Calc_NetworkV_1[Citipower],Calc_NetworkV_1[[Cost item]:[Cost item]],$C97,Calc_NetworkV_1[[Customer type]:[Customer type]],IF(ISNUMBER(SEARCH("Residential",$C$48)),"Residential","Small business"))</f>
        <v>8.1000000000000003E-2</v>
      </c>
      <c r="F97" s="72">
        <f>SUMIFS(Calc_NetworkV_1[Jemena],Calc_NetworkV_1[[Cost item]:[Cost item]],$C97,Calc_NetworkV_1[[Customer type]:[Customer type]],IF(ISNUMBER(SEARCH("Residential",$C$48)),"Residential","Small business"))</f>
        <v>0.10345</v>
      </c>
      <c r="G97" s="72">
        <f>SUMIFS(Calc_NetworkV_1[Powercor],Calc_NetworkV_1[[Cost item]:[Cost item]],$C97,Calc_NetworkV_1[[Customer type]:[Customer type]],IF(ISNUMBER(SEARCH("Residential",$C$48)),"Residential","Small business"))</f>
        <v>9.6699999999999994E-2</v>
      </c>
      <c r="H97" s="72">
        <f>SUMIFS(Calc_NetworkV_1[United Energy],Calc_NetworkV_1[[Cost item]:[Cost item]],$C97,Calc_NetworkV_1[[Customer type]:[Customer type]],IF(ISNUMBER(SEARCH("Residential",$C$48)),"Residential","Small business"))</f>
        <v>9.2499999999999999E-2</v>
      </c>
      <c r="K97" t="s">
        <v>77</v>
      </c>
      <c r="L97" s="72">
        <f>SUMIFS(Calc_NetworkV_2[Ausnet],Calc_NetworkV_2[[Cost item]:[Cost item]],$K97,Calc_NetworkV_2[[Customer type]:[Customer type]],IF(ISNUMBER(SEARCH("Residential",$K$48)),"Residential","Small business"))</f>
        <v>0</v>
      </c>
      <c r="M97" s="72">
        <f>SUMIFS(Calc_NetworkV_2[Citipower],Calc_NetworkV_2[[Cost item]:[Cost item]],$K97,Calc_NetworkV_2[[Customer type]:[Customer type]],IF(ISNUMBER(SEARCH("Residential",$K$48)),"Residential","Small business"))</f>
        <v>7.3700000000000002E-2</v>
      </c>
      <c r="N97" s="72">
        <f>SUMIFS(Calc_NetworkV_2[Jemena],Calc_NetworkV_2[[Cost item]:[Cost item]],$K97,Calc_NetworkV_2[[Customer type]:[Customer type]],IF(ISNUMBER(SEARCH("Residential",$K$48)),"Residential","Small business"))</f>
        <v>8.9770000000000003E-2</v>
      </c>
      <c r="O97" s="72">
        <f>SUMIFS(Calc_NetworkV_2[Powercor],Calc_NetworkV_2[[Cost item]:[Cost item]],$K97,Calc_NetworkV_2[[Customer type]:[Customer type]],IF(ISNUMBER(SEARCH("Residential",$K$48)),"Residential","Small business"))</f>
        <v>8.77E-2</v>
      </c>
      <c r="P97" s="72">
        <f>SUMIFS(Calc_NetworkV_2[United Energy],Calc_NetworkV_2[[Cost item]:[Cost item]],$K97,Calc_NetworkV_2[[Customer type]:[Customer type]],IF(ISNUMBER(SEARCH("Residential",$K$48)),"Residential","Small business"))</f>
        <v>8.5400000000000004E-2</v>
      </c>
    </row>
    <row r="98" spans="3:16" outlineLevel="1" x14ac:dyDescent="0.25"/>
    <row r="99" spans="3:16" ht="15.75" outlineLevel="1" x14ac:dyDescent="0.25">
      <c r="C99" s="29" t="s">
        <v>532</v>
      </c>
      <c r="K99" s="29" t="s">
        <v>532</v>
      </c>
    </row>
    <row r="100" spans="3:16" outlineLevel="1" x14ac:dyDescent="0.25">
      <c r="C100" t="s">
        <v>86</v>
      </c>
      <c r="D100" s="72" t="str" cm="1">
        <f t="array" ref="D100">IF(ISNUMBER(SEARCH("Residential",$C$48)),
INDEX(OP_RatesTU_RES_1[Ausnet],MATCH(1,(OP_RatesTU_RES_1[Cost element]="Network")*(OP_RatesTU_RES_1[Rate name]=CH_CostStack_RES!$C100),0),1),
INDEX(OP_RatesTU_SME_1[Ausnet],MATCH(1,(OP_RatesTU_SME_1[Cost element]="Network")*(OP_RatesTU_SME_1[Rate name]=CH_CostStack_RES!$C100),0),1))</f>
        <v>-</v>
      </c>
      <c r="E100" s="72" t="str" cm="1">
        <f t="array" ref="E100">IF(ISNUMBER(SEARCH("Residential",$C$48)),
INDEX(OP_RatesTU_RES_1[Citipower],MATCH(1,(OP_RatesTU_RES_1[Cost element]="Network")*(OP_RatesTU_RES_1[Rate name]=CH_CostStack_RES!$C100),0),1),
INDEX(OP_RatesTU_SME_1[Citipower],MATCH(1,(OP_RatesTU_SME_1[Cost element]="Network")*(OP_RatesTU_SME_1[Rate name]=CH_CostStack_RES!$C100),0),1))</f>
        <v>-</v>
      </c>
      <c r="F100" s="72" t="str" cm="1">
        <f t="array" ref="F100">IF(ISNUMBER(SEARCH("Residential",$C$48)),
INDEX(OP_RatesTU_RES_1[Jemena],MATCH(1,(OP_RatesTU_RES_1[Cost element]="Network")*(OP_RatesTU_RES_1[Rate name]=CH_CostStack_RES!$C100),0),1),
INDEX(OP_RatesTU_SME_1[Jemena],MATCH(1,(OP_RatesTU_SME_1[Cost element]="Network")*(OP_RatesTU_SME_1[Rate name]=CH_CostStack_RES!$C100),0),1))</f>
        <v>-</v>
      </c>
      <c r="G100" s="72" t="str" cm="1">
        <f t="array" ref="G100">IF(ISNUMBER(SEARCH("Residential",$C$48)),
INDEX(OP_RatesTU_RES_1[Powercor],MATCH(1,(OP_RatesTU_RES_1[Cost element]="Network")*(OP_RatesTU_RES_1[Rate name]=CH_CostStack_RES!$C100),0),1),
INDEX(OP_RatesTU_SME_1[Powercor],MATCH(1,(OP_RatesTU_SME_1[Cost element]="Network")*(OP_RatesTU_SME_1[Rate name]=CH_CostStack_RES!$C100),0),1))</f>
        <v>-</v>
      </c>
      <c r="H100" s="72" t="str" cm="1">
        <f t="array" ref="H100">IF(ISNUMBER(SEARCH("Residential",$C$48)),
INDEX(OP_RatesTU_RES_1[United Energy],MATCH(1,(OP_RatesTU_RES_1[Cost element]="Network")*(OP_RatesTU_RES_1[Rate name]=CH_CostStack_RES!$C100),0),1),
INDEX(OP_RatesTU_SME_1[United Energy],MATCH(1,(OP_RatesTU_SME_1[Cost element]="Network")*(OP_RatesTU_SME_1[Rate name]=CH_CostStack_RES!$C100),0),1))</f>
        <v>-</v>
      </c>
      <c r="K100" t="s">
        <v>86</v>
      </c>
      <c r="L100" s="72" t="str" cm="1">
        <f t="array" ref="L100">IF(ISNUMBER(SEARCH("Residential",$K$48)),
INDEX(OP_RatesTU_RES_2[Ausnet],MATCH(1,(OP_RatesTU_RES_2[Cost element]="Network")*(OP_RatesTU_RES_2[Rate name]=CH_CostStack_RES!$K100),0),1),
INDEX(OP_RatesTU_SME_2[Ausnet],MATCH(1,(OP_RatesTU_SME_2[Cost element]="Network")*(OP_RatesTU_SME_2[Rate name]=CH_CostStack_RES!$K100),0),1))</f>
        <v>-</v>
      </c>
      <c r="M100" s="72" t="str" cm="1">
        <f t="array" ref="M100">IF(ISNUMBER(SEARCH("Residential",$K$48)),
INDEX(OP_RatesTU_RES_2[Citipower],MATCH(1,(OP_RatesTU_RES_2[Cost element]="Network")*(OP_RatesTU_RES_2[Rate name]=CH_CostStack_RES!$K100),0),1),
INDEX(OP_RatesTU_SME_2[Citipower],MATCH(1,(OP_RatesTU_SME_2[Cost element]="Network")*(OP_RatesTU_SME_2[Rate name]=CH_CostStack_RES!$K100),0),1))</f>
        <v>-</v>
      </c>
      <c r="N100" s="72" t="str" cm="1">
        <f t="array" ref="N100">IF(ISNUMBER(SEARCH("Residential",$K$48)),
INDEX(OP_RatesTU_RES_2[Jemena],MATCH(1,(OP_RatesTU_RES_2[Cost element]="Network")*(OP_RatesTU_RES_2[Rate name]=CH_CostStack_RES!$K100),0),1),
INDEX(OP_RatesTU_SME_2[Jemena],MATCH(1,(OP_RatesTU_SME_2[Cost element]="Network")*(OP_RatesTU_SME_2[Rate name]=CH_CostStack_RES!$K100),0),1))</f>
        <v>-</v>
      </c>
      <c r="O100" s="72" t="str" cm="1">
        <f t="array" ref="O100">IF(ISNUMBER(SEARCH("Residential",$K$48)),
INDEX(OP_RatesTU_RES_2[Powercor],MATCH(1,(OP_RatesTU_RES_2[Cost element]="Network")*(OP_RatesTU_RES_2[Rate name]=CH_CostStack_RES!$K100),0),1),
INDEX(OP_RatesTU_SME_2[Powercor],MATCH(1,(OP_RatesTU_SME_2[Cost element]="Network")*(OP_RatesTU_SME_2[Rate name]=CH_CostStack_RES!$K100),0),1))</f>
        <v>-</v>
      </c>
      <c r="P100" s="72" t="str" cm="1">
        <f t="array" ref="P100">IF(ISNUMBER(SEARCH("Residential",$K$48)),
INDEX(OP_RatesTU_RES_2[United Energy],MATCH(1,(OP_RatesTU_RES_2[Cost element]="Network")*(OP_RatesTU_RES_2[Rate name]=CH_CostStack_RES!$K100),0),1),
INDEX(OP_RatesTU_SME_2[United Energy],MATCH(1,(OP_RatesTU_SME_2[Cost element]="Network")*(OP_RatesTU_SME_2[Rate name]=CH_CostStack_RES!$K100),0),1))</f>
        <v>-</v>
      </c>
    </row>
    <row r="101" spans="3:16" outlineLevel="1" x14ac:dyDescent="0.25"/>
    <row r="102" spans="3:16" ht="15.75" outlineLevel="1" x14ac:dyDescent="0.25">
      <c r="C102" s="29" t="s">
        <v>533</v>
      </c>
      <c r="K102" s="29" t="s">
        <v>533</v>
      </c>
    </row>
    <row r="103" spans="3:16" outlineLevel="1" x14ac:dyDescent="0.25">
      <c r="C103" t="s">
        <v>74</v>
      </c>
      <c r="D103" s="72" cm="1">
        <f t="array" ref="D103">IF(ISNUMBER(SEARCH("Residential",$C$48)),
INDEX(OP_RatesTU_RES_1[Ausnet],MATCH(1,(OP_RatesTU_RES_1[Cost element]="Environmental")*(OP_RatesTU_RES_1[Rate name]=CH_CostStack_RES!$C103),0),1),
INDEX(OP_RatesTU_SME_1[Ausnet],MATCH(1,(OP_RatesTU_SME_1[Cost element]="Environmental")*(OP_RatesTU_SME_1[Rate name]=CH_CostStack_RES!$C103),0),1))</f>
        <v>6.604688478961399E-4</v>
      </c>
      <c r="E103" s="72" cm="1">
        <f t="array" ref="E103">IF(ISNUMBER(SEARCH("Residential",$C$48)),
INDEX(OP_RatesTU_RES_1[Citipower],MATCH(1,(OP_RatesTU_RES_1[Cost element]="Environmental")*(OP_RatesTU_RES_1[Rate name]=CH_CostStack_RES!$C103),0),1),
INDEX(OP_RatesTU_SME_1[Citipower],MATCH(1,(OP_RatesTU_SME_1[Cost element]="Environmental")*(OP_RatesTU_SME_1[Rate name]=CH_CostStack_RES!$C103),0),1))</f>
        <v>0</v>
      </c>
      <c r="F103" s="72" cm="1">
        <f t="array" ref="F103">IF(ISNUMBER(SEARCH("Residential",$C$48)),
INDEX(OP_RatesTU_RES_1[Jemena],MATCH(1,(OP_RatesTU_RES_1[Cost element]="Environmental")*(OP_RatesTU_RES_1[Rate name]=CH_CostStack_RES!$C103),0),1),
INDEX(OP_RatesTU_SME_1[Jemena],MATCH(1,(OP_RatesTU_SME_1[Cost element]="Environmental")*(OP_RatesTU_SME_1[Rate name]=CH_CostStack_RES!$C103),0),1))</f>
        <v>0</v>
      </c>
      <c r="G103" s="72" cm="1">
        <f t="array" ref="G103">IF(ISNUMBER(SEARCH("Residential",$C$48)),
INDEX(OP_RatesTU_RES_1[Powercor],MATCH(1,(OP_RatesTU_RES_1[Cost element]="Environmental")*(OP_RatesTU_RES_1[Rate name]=CH_CostStack_RES!$C103),0),1),
INDEX(OP_RatesTU_SME_1[Powercor],MATCH(1,(OP_RatesTU_SME_1[Cost element]="Environmental")*(OP_RatesTU_SME_1[Rate name]=CH_CostStack_RES!$C103),0),1))</f>
        <v>0</v>
      </c>
      <c r="H103" s="72" cm="1">
        <f t="array" ref="H103">IF(ISNUMBER(SEARCH("Residential",$C$48)),
INDEX(OP_RatesTU_RES_1[United Energy],MATCH(1,(OP_RatesTU_RES_1[Cost element]="Environmental")*(OP_RatesTU_RES_1[Rate name]=CH_CostStack_RES!$C103),0),1),
INDEX(OP_RatesTU_SME_1[United Energy],MATCH(1,(OP_RatesTU_SME_1[Cost element]="Environmental")*(OP_RatesTU_SME_1[Rate name]=CH_CostStack_RES!$C103),0),1))</f>
        <v>0</v>
      </c>
      <c r="K103" t="s">
        <v>74</v>
      </c>
      <c r="L103" s="72" cm="1">
        <f t="array" ref="L103">IF(ISNUMBER(SEARCH("Residential",$K$48)),
INDEX(OP_RatesTU_RES_2[Ausnet],MATCH(1,(OP_RatesTU_RES_2[Cost element]="Environmental")*(OP_RatesTU_RES_2[Rate name]=CH_CostStack_RES!$C103),0),1),
INDEX(OP_RatesTU_SME_2[Ausnet],MATCH(1,(OP_RatesTU_SME_2[Cost element]="Environmental")*(OP_RatesTU_SME_2[Rate name]=CH_CostStack_RES!$C103),0),1))</f>
        <v>-1.4451020409271499E-3</v>
      </c>
      <c r="M103" s="72" cm="1">
        <f t="array" ref="M103">IF(ISNUMBER(SEARCH("Residential",$K$48)),
INDEX(OP_RatesTU_RES_2[Citipower],MATCH(1,(OP_RatesTU_RES_2[Cost element]="Environmental")*(OP_RatesTU_RES_2[Rate name]=CH_CostStack_RES!$C103),0),1),
INDEX(OP_RatesTU_SME_2[Citipower],MATCH(1,(OP_RatesTU_SME_2[Cost element]="Environmental")*(OP_RatesTU_SME_2[Rate name]=CH_CostStack_RES!$C103),0),1))</f>
        <v>0</v>
      </c>
      <c r="N103" s="72" cm="1">
        <f t="array" ref="N103">IF(ISNUMBER(SEARCH("Residential",$K$48)),
INDEX(OP_RatesTU_RES_2[Jemena],MATCH(1,(OP_RatesTU_RES_2[Cost element]="Environmental")*(OP_RatesTU_RES_2[Rate name]=CH_CostStack_RES!$C103),0),1),
INDEX(OP_RatesTU_SME_2[Jemena],MATCH(1,(OP_RatesTU_SME_2[Cost element]="Environmental")*(OP_RatesTU_SME_2[Rate name]=CH_CostStack_RES!$C103),0),1))</f>
        <v>0</v>
      </c>
      <c r="O103" s="72" cm="1">
        <f t="array" ref="O103">IF(ISNUMBER(SEARCH("Residential",$K$48)),
INDEX(OP_RatesTU_RES_2[Powercor],MATCH(1,(OP_RatesTU_RES_2[Cost element]="Environmental")*(OP_RatesTU_RES_2[Rate name]=CH_CostStack_RES!$C103),0),1),
INDEX(OP_RatesTU_SME_2[Powercor],MATCH(1,(OP_RatesTU_SME_2[Cost element]="Environmental")*(OP_RatesTU_SME_2[Rate name]=CH_CostStack_RES!$C103),0),1))</f>
        <v>0</v>
      </c>
      <c r="P103" s="72" cm="1">
        <f t="array" ref="P103">IF(ISNUMBER(SEARCH("Residential",$K$48)),
INDEX(OP_RatesTU_RES_2[United Energy],MATCH(1,(OP_RatesTU_RES_2[Cost element]="Environmental")*(OP_RatesTU_RES_2[Rate name]=CH_CostStack_RES!$C103),0),1),
INDEX(OP_RatesTU_SME_2[United Energy],MATCH(1,(OP_RatesTU_SME_2[Cost element]="Environmental")*(OP_RatesTU_SME_2[Rate name]=CH_CostStack_RES!$C103),0),1))</f>
        <v>0</v>
      </c>
    </row>
    <row r="104" spans="3:16" outlineLevel="1" x14ac:dyDescent="0.25">
      <c r="C104" t="s">
        <v>76</v>
      </c>
      <c r="D104" s="72" cm="1">
        <f t="array" ref="D104">IF(ISNUMBER(SEARCH("Residential",$C$48)),
INDEX(OP_RatesTU_RES_1[Ausnet],MATCH(1,(OP_RatesTU_RES_1[Cost element]="Environmental")*(OP_RatesTU_RES_1[Rate name]=CH_CostStack_RES!$C104),0),1),
INDEX(OP_RatesTU_SME_1[Ausnet],MATCH(1,(OP_RatesTU_SME_1[Cost element]="Environmental")*(OP_RatesTU_SME_1[Rate name]=CH_CostStack_RES!$C104),0),1))</f>
        <v>6.604688478961399E-4</v>
      </c>
      <c r="E104" s="72" cm="1">
        <f t="array" ref="E104">IF(ISNUMBER(SEARCH("Residential",$C$48)),
INDEX(OP_RatesTU_RES_1[Citipower],MATCH(1,(OP_RatesTU_RES_1[Cost element]="Environmental")*(OP_RatesTU_RES_1[Rate name]=CH_CostStack_RES!$C104),0),1),
INDEX(OP_RatesTU_SME_1[Citipower],MATCH(1,(OP_RatesTU_SME_1[Cost element]="Environmental")*(OP_RatesTU_SME_1[Rate name]=CH_CostStack_RES!$C104),0),1))</f>
        <v>0</v>
      </c>
      <c r="F104" s="72" cm="1">
        <f t="array" ref="F104">IF(ISNUMBER(SEARCH("Residential",$C$48)),
INDEX(OP_RatesTU_RES_1[Jemena],MATCH(1,(OP_RatesTU_RES_1[Cost element]="Environmental")*(OP_RatesTU_RES_1[Rate name]=CH_CostStack_RES!$C104),0),1),
INDEX(OP_RatesTU_SME_1[Jemena],MATCH(1,(OP_RatesTU_SME_1[Cost element]="Environmental")*(OP_RatesTU_SME_1[Rate name]=CH_CostStack_RES!$C104),0),1))</f>
        <v>0</v>
      </c>
      <c r="G104" s="72" cm="1">
        <f t="array" ref="G104">IF(ISNUMBER(SEARCH("Residential",$C$48)),
INDEX(OP_RatesTU_RES_1[Powercor],MATCH(1,(OP_RatesTU_RES_1[Cost element]="Environmental")*(OP_RatesTU_RES_1[Rate name]=CH_CostStack_RES!$C104),0),1),
INDEX(OP_RatesTU_SME_1[Powercor],MATCH(1,(OP_RatesTU_SME_1[Cost element]="Environmental")*(OP_RatesTU_SME_1[Rate name]=CH_CostStack_RES!$C104),0),1))</f>
        <v>0</v>
      </c>
      <c r="H104" s="72" cm="1">
        <f t="array" ref="H104">IF(ISNUMBER(SEARCH("Residential",$C$48)),
INDEX(OP_RatesTU_RES_1[United Energy],MATCH(1,(OP_RatesTU_RES_1[Cost element]="Environmental")*(OP_RatesTU_RES_1[Rate name]=CH_CostStack_RES!$C104),0),1),
INDEX(OP_RatesTU_SME_1[United Energy],MATCH(1,(OP_RatesTU_SME_1[Cost element]="Environmental")*(OP_RatesTU_SME_1[Rate name]=CH_CostStack_RES!$C104),0),1))</f>
        <v>0</v>
      </c>
      <c r="K104" t="s">
        <v>76</v>
      </c>
      <c r="L104" s="72" cm="1">
        <f t="array" ref="L104">IF(ISNUMBER(SEARCH("Residential",$K$48)),
INDEX(OP_RatesTU_RES_2[Ausnet],MATCH(1,(OP_RatesTU_RES_2[Cost element]="Environmental")*(OP_RatesTU_RES_2[Rate name]=CH_CostStack_RES!$C104),0),1),
INDEX(OP_RatesTU_SME_2[Ausnet],MATCH(1,(OP_RatesTU_SME_2[Cost element]="Environmental")*(OP_RatesTU_SME_2[Rate name]=CH_CostStack_RES!$C104),0),1))</f>
        <v>-1.4451020409271499E-3</v>
      </c>
      <c r="M104" s="72" cm="1">
        <f t="array" ref="M104">IF(ISNUMBER(SEARCH("Residential",$K$48)),
INDEX(OP_RatesTU_RES_2[Citipower],MATCH(1,(OP_RatesTU_RES_2[Cost element]="Environmental")*(OP_RatesTU_RES_2[Rate name]=CH_CostStack_RES!$C104),0),1),
INDEX(OP_RatesTU_SME_2[Citipower],MATCH(1,(OP_RatesTU_SME_2[Cost element]="Environmental")*(OP_RatesTU_SME_2[Rate name]=CH_CostStack_RES!$C104),0),1))</f>
        <v>0</v>
      </c>
      <c r="N104" s="72" cm="1">
        <f t="array" ref="N104">IF(ISNUMBER(SEARCH("Residential",$K$48)),
INDEX(OP_RatesTU_RES_2[Jemena],MATCH(1,(OP_RatesTU_RES_2[Cost element]="Environmental")*(OP_RatesTU_RES_2[Rate name]=CH_CostStack_RES!$C104),0),1),
INDEX(OP_RatesTU_SME_2[Jemena],MATCH(1,(OP_RatesTU_SME_2[Cost element]="Environmental")*(OP_RatesTU_SME_2[Rate name]=CH_CostStack_RES!$C104),0),1))</f>
        <v>0</v>
      </c>
      <c r="O104" s="72" cm="1">
        <f t="array" ref="O104">IF(ISNUMBER(SEARCH("Residential",$K$48)),
INDEX(OP_RatesTU_RES_2[Powercor],MATCH(1,(OP_RatesTU_RES_2[Cost element]="Environmental")*(OP_RatesTU_RES_2[Rate name]=CH_CostStack_RES!$C104),0),1),
INDEX(OP_RatesTU_SME_2[Powercor],MATCH(1,(OP_RatesTU_SME_2[Cost element]="Environmental")*(OP_RatesTU_SME_2[Rate name]=CH_CostStack_RES!$C104),0),1))</f>
        <v>0</v>
      </c>
      <c r="P104" s="72" cm="1">
        <f t="array" ref="P104">IF(ISNUMBER(SEARCH("Residential",$K$48)),
INDEX(OP_RatesTU_RES_2[United Energy],MATCH(1,(OP_RatesTU_RES_2[Cost element]="Environmental")*(OP_RatesTU_RES_2[Rate name]=CH_CostStack_RES!$C104),0),1),
INDEX(OP_RatesTU_SME_2[United Energy],MATCH(1,(OP_RatesTU_SME_2[Cost element]="Environmental")*(OP_RatesTU_SME_2[Rate name]=CH_CostStack_RES!$C104),0),1))</f>
        <v>0</v>
      </c>
    </row>
    <row r="105" spans="3:16" x14ac:dyDescent="0.25">
      <c r="C105" t="s">
        <v>77</v>
      </c>
      <c r="D105" s="72" cm="1">
        <f t="array" ref="D105">IF(ISNUMBER(SEARCH("Residential",$C$48)),
INDEX(OP_RatesTU_RES_1[Ausnet],MATCH(1,(OP_RatesTU_RES_1[Cost element]="Environmental")*(OP_RatesTU_RES_1[Rate name]=CH_CostStack_RES!$C105),0),1),
INDEX(OP_RatesTU_SME_1[Ausnet],MATCH(1,(OP_RatesTU_SME_1[Cost element]="Environmental")*(OP_RatesTU_SME_1[Rate name]=CH_CostStack_RES!$C105),0),1))</f>
        <v>0</v>
      </c>
      <c r="E105" s="72" cm="1">
        <f t="array" ref="E105">IF(ISNUMBER(SEARCH("Residential",$C$48)),
INDEX(OP_RatesTU_RES_1[Citipower],MATCH(1,(OP_RatesTU_RES_1[Cost element]="Environmental")*(OP_RatesTU_RES_1[Rate name]=CH_CostStack_RES!$C105),0),1),
INDEX(OP_RatesTU_SME_1[Citipower],MATCH(1,(OP_RatesTU_SME_1[Cost element]="Environmental")*(OP_RatesTU_SME_1[Rate name]=CH_CostStack_RES!$C105),0),1))</f>
        <v>6.3586744515789766E-4</v>
      </c>
      <c r="F105" s="72" cm="1">
        <f t="array" ref="F105">IF(ISNUMBER(SEARCH("Residential",$C$48)),
INDEX(OP_RatesTU_RES_1[Jemena],MATCH(1,(OP_RatesTU_RES_1[Cost element]="Environmental")*(OP_RatesTU_RES_1[Rate name]=CH_CostStack_RES!$C105),0),1),
INDEX(OP_RatesTU_SME_1[Jemena],MATCH(1,(OP_RatesTU_SME_1[Cost element]="Environmental")*(OP_RatesTU_SME_1[Rate name]=CH_CostStack_RES!$C105),0),1))</f>
        <v>6.360885634276712E-4</v>
      </c>
      <c r="G105" s="72" cm="1">
        <f t="array" ref="G105">IF(ISNUMBER(SEARCH("Residential",$C$48)),
INDEX(OP_RatesTU_RES_1[Powercor],MATCH(1,(OP_RatesTU_RES_1[Cost element]="Environmental")*(OP_RatesTU_RES_1[Rate name]=CH_CostStack_RES!$C105),0),1),
INDEX(OP_RatesTU_SME_1[Powercor],MATCH(1,(OP_RatesTU_SME_1[Cost element]="Environmental")*(OP_RatesTU_SME_1[Rate name]=CH_CostStack_RES!$C105),0),1))</f>
        <v>6.5195693584001928E-4</v>
      </c>
      <c r="H105" s="72" cm="1">
        <f t="array" ref="H105">IF(ISNUMBER(SEARCH("Residential",$C$48)),
INDEX(OP_RatesTU_RES_1[United Energy],MATCH(1,(OP_RatesTU_RES_1[Cost element]="Environmental")*(OP_RatesTU_RES_1[Rate name]=CH_CostStack_RES!$C105),0),1),
INDEX(OP_RatesTU_SME_1[United Energy],MATCH(1,(OP_RatesTU_SME_1[Cost element]="Environmental")*(OP_RatesTU_SME_1[Rate name]=CH_CostStack_RES!$C105),0),1))</f>
        <v>6.3705837898588545E-4</v>
      </c>
      <c r="K105" t="s">
        <v>77</v>
      </c>
      <c r="L105" s="72" cm="1">
        <f t="array" ref="L105">IF(ISNUMBER(SEARCH("Residential",$K$48)),
INDEX(OP_RatesTU_RES_2[Ausnet],MATCH(1,(OP_RatesTU_RES_2[Cost element]="Environmental")*(OP_RatesTU_RES_2[Rate name]=CH_CostStack_RES!$C105),0),1),
INDEX(OP_RatesTU_SME_2[Ausnet],MATCH(1,(OP_RatesTU_SME_2[Cost element]="Environmental")*(OP_RatesTU_SME_2[Rate name]=CH_CostStack_RES!$C105),0),1))</f>
        <v>0</v>
      </c>
      <c r="M105" s="72" cm="1">
        <f t="array" ref="M105">IF(ISNUMBER(SEARCH("Residential",$K$48)),
INDEX(OP_RatesTU_RES_2[Citipower],MATCH(1,(OP_RatesTU_RES_2[Cost element]="Environmental")*(OP_RatesTU_RES_2[Rate name]=CH_CostStack_RES!$C105),0),1),
INDEX(OP_RatesTU_SME_2[Citipower],MATCH(1,(OP_RatesTU_SME_2[Cost element]="Environmental")*(OP_RatesTU_SME_2[Rate name]=CH_CostStack_RES!$C105),0),1))</f>
        <v>-1.4016011881474891E-3</v>
      </c>
      <c r="N105" s="72" cm="1">
        <f t="array" ref="N105">IF(ISNUMBER(SEARCH("Residential",$K$48)),
INDEX(OP_RatesTU_RES_2[Jemena],MATCH(1,(OP_RatesTU_RES_2[Cost element]="Environmental")*(OP_RatesTU_RES_2[Rate name]=CH_CostStack_RES!$C105),0),1),
INDEX(OP_RatesTU_SME_2[Jemena],MATCH(1,(OP_RatesTU_SME_2[Cost element]="Environmental")*(OP_RatesTU_SME_2[Rate name]=CH_CostStack_RES!$C105),0),1))</f>
        <v>-1.3896720485833702E-3</v>
      </c>
      <c r="O105" s="72" cm="1">
        <f t="array" ref="O105">IF(ISNUMBER(SEARCH("Residential",$K$48)),
INDEX(OP_RatesTU_RES_2[Powercor],MATCH(1,(OP_RatesTU_RES_2[Cost element]="Environmental")*(OP_RatesTU_RES_2[Rate name]=CH_CostStack_RES!$C105),0),1),
INDEX(OP_RatesTU_SME_2[Powercor],MATCH(1,(OP_RatesTU_SME_2[Cost element]="Environmental")*(OP_RatesTU_SME_2[Rate name]=CH_CostStack_RES!$C105),0),1))</f>
        <v>-1.432313335205126E-3</v>
      </c>
      <c r="P105" s="72" cm="1">
        <f t="array" ref="P105">IF(ISNUMBER(SEARCH("Residential",$K$48)),
INDEX(OP_RatesTU_RES_2[United Energy],MATCH(1,(OP_RatesTU_RES_2[Cost element]="Environmental")*(OP_RatesTU_RES_2[Rate name]=CH_CostStack_RES!$C105),0),1),
INDEX(OP_RatesTU_SME_2[United Energy],MATCH(1,(OP_RatesTU_SME_2[Cost element]="Environmental")*(OP_RatesTU_SME_2[Rate name]=CH_CostStack_RES!$C105),0),1))</f>
        <v>-1.3977880905040913E-3</v>
      </c>
    </row>
    <row r="110" spans="3:16" x14ac:dyDescent="0.25">
      <c r="H110" s="131"/>
      <c r="I110" s="131"/>
      <c r="J110" s="131"/>
      <c r="K110" s="131"/>
    </row>
    <row r="111" spans="3:16" x14ac:dyDescent="0.25">
      <c r="D111" s="81"/>
      <c r="H111" s="128"/>
      <c r="I111" s="128"/>
      <c r="J111" s="128"/>
      <c r="K111" s="128"/>
    </row>
  </sheetData>
  <sheetProtection algorithmName="SHA-512" hashValue="lfqmXa0+BubzAkI06chTFloZycvY/8SKQzFXRWjxBukZzroCZgLgVBgvg5IwETX4MKu793ywUJD9StqD040Jnw==" saltValue="qhNU0FJqFt6wRdNAOSnM2Q==" spinCount="100000" sheet="1" objects="1" scenarios="1"/>
  <mergeCells count="1">
    <mergeCell ref="A2:A3"/>
  </mergeCells>
  <phoneticPr fontId="30" type="noConversion"/>
  <dataValidations count="2">
    <dataValidation type="list" allowBlank="1" showInputMessage="1" showErrorMessage="1" sqref="D31" xr:uid="{6D9C8EE1-F855-4BC6-9C7E-6DE152AE4502}">
      <formula1>$D$54:$I$54</formula1>
    </dataValidation>
    <dataValidation type="list" allowBlank="1" showInputMessage="1" showErrorMessage="1" sqref="D32" xr:uid="{D6C4B3A0-FEB8-4CE8-ADEB-CCB000A06EB7}">
      <formula1>"Residential,Small business"</formula1>
    </dataValidation>
  </dataValidations>
  <hyperlinks>
    <hyperlink ref="B1" location="Contents!A1" display="&lt;&lt; Back to Contents" xr:uid="{A34039D9-46C1-42AA-9FF4-5CF6C2F627C5}"/>
  </hyperlink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ADB17121-8300-469F-8CE9-8202E01ED7A4}">
          <x14:formula1>
            <xm:f>'Lookup refs'!$I$8:$I$13</xm:f>
          </x14:formula1>
          <xm:sqref>C48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93373-1100-4248-950C-796919AADF27}">
  <sheetPr>
    <tabColor rgb="FFED8B00"/>
    <pageSetUpPr autoPageBreaks="0"/>
  </sheetPr>
  <dimension ref="A1:R109"/>
  <sheetViews>
    <sheetView showGridLines="0" topLeftCell="B1" zoomScale="70" zoomScaleNormal="70" workbookViewId="0">
      <pane ySplit="3" topLeftCell="A4" activePane="bottomLeft" state="frozen"/>
      <selection activeCell="B33" sqref="B33"/>
      <selection pane="bottomLeft" activeCell="B1" sqref="B1"/>
    </sheetView>
  </sheetViews>
  <sheetFormatPr defaultColWidth="9.42578125" defaultRowHeight="15" outlineLevelRow="1" outlineLevelCol="1" x14ac:dyDescent="0.25"/>
  <cols>
    <col min="1" max="1" width="100.5703125" hidden="1" customWidth="1" outlineLevel="1"/>
    <col min="2" max="2" width="10.5703125" style="5" customWidth="1" collapsed="1"/>
    <col min="3" max="6" width="25.5703125" customWidth="1"/>
    <col min="7" max="7" width="27.42578125" bestFit="1" customWidth="1"/>
    <col min="8" max="17" width="25.5703125" customWidth="1"/>
    <col min="18" max="18" width="5.5703125" customWidth="1"/>
  </cols>
  <sheetData>
    <row r="1" spans="1:18" ht="15" customHeight="1" x14ac:dyDescent="0.25">
      <c r="A1" s="1" t="s">
        <v>33</v>
      </c>
      <c r="B1" s="249" t="s">
        <v>576</v>
      </c>
      <c r="C1" s="13"/>
      <c r="D1" s="13"/>
      <c r="E1" s="13"/>
      <c r="F1" s="85" t="s">
        <v>58</v>
      </c>
      <c r="G1" s="70"/>
      <c r="H1" s="13"/>
      <c r="I1" s="13"/>
      <c r="J1" s="13"/>
      <c r="K1" s="13"/>
      <c r="L1" s="13"/>
      <c r="M1" s="13"/>
      <c r="N1" s="13"/>
      <c r="O1" s="13"/>
      <c r="P1" s="13"/>
      <c r="Q1" s="13"/>
      <c r="R1" s="13"/>
    </row>
    <row r="2" spans="1:18" s="3" customFormat="1" ht="50.1" customHeight="1" x14ac:dyDescent="0.25">
      <c r="A2" s="253" t="s">
        <v>34</v>
      </c>
      <c r="B2" s="16"/>
      <c r="C2" s="16" t="str">
        <f>Disclaimer!$B$1</f>
        <v>VDO calculation model</v>
      </c>
      <c r="D2" s="16"/>
      <c r="E2" s="16"/>
      <c r="F2" s="124" t="str">
        <f>Calc_Rates!$D$5</f>
        <v>VDO 2024-25 - Final</v>
      </c>
      <c r="G2" s="124" t="str">
        <f>Calc_Rates!$D$267</f>
        <v>VDO 2023-24 - Final</v>
      </c>
      <c r="H2" s="16"/>
      <c r="I2" s="16"/>
      <c r="J2" s="16"/>
      <c r="K2" s="16"/>
      <c r="L2" s="16"/>
      <c r="M2" s="16"/>
      <c r="N2" s="16"/>
      <c r="O2" s="16"/>
      <c r="P2" s="16"/>
      <c r="Q2" s="16"/>
      <c r="R2" s="16"/>
    </row>
    <row r="3" spans="1:18" s="3" customFormat="1" ht="30" customHeight="1" x14ac:dyDescent="0.25">
      <c r="A3" s="254"/>
      <c r="B3" s="18">
        <f ca="1">_xlfn.SHEET()</f>
        <v>8</v>
      </c>
      <c r="C3" s="17" t="s">
        <v>512</v>
      </c>
      <c r="D3" s="17"/>
      <c r="E3" s="17"/>
      <c r="F3" s="69">
        <f>SUM(D68:H68,M35)</f>
        <v>0</v>
      </c>
      <c r="G3" s="69">
        <f>SUM(L68:P68,M36)</f>
        <v>0</v>
      </c>
      <c r="H3" s="17"/>
      <c r="I3" s="17"/>
      <c r="J3" s="17"/>
      <c r="K3" s="17"/>
      <c r="L3" s="17"/>
      <c r="M3" s="17"/>
      <c r="N3" s="17"/>
      <c r="O3" s="17"/>
      <c r="P3" s="17"/>
      <c r="Q3" s="17"/>
      <c r="R3" s="17"/>
    </row>
    <row r="4" spans="1:18" x14ac:dyDescent="0.25">
      <c r="B4"/>
    </row>
    <row r="5" spans="1:18" ht="16.5" thickBot="1" x14ac:dyDescent="0.3">
      <c r="A5" s="1" t="s">
        <v>36</v>
      </c>
      <c r="B5" s="155">
        <f ca="1">MAX(B$3:B4)+0.01</f>
        <v>8.01</v>
      </c>
      <c r="C5" s="19" t="str">
        <f>"VDO cost stack chart - Flat VDO - "&amp;IF(ISNUMBER(SEARCH("Residential",$C$48)),"Residential","Small business")</f>
        <v>VDO cost stack chart - Flat VDO - Small business</v>
      </c>
      <c r="D5" s="19"/>
      <c r="E5" s="19"/>
      <c r="F5" s="19"/>
      <c r="G5" s="19"/>
      <c r="H5" s="19"/>
      <c r="I5" s="19"/>
      <c r="J5" s="19"/>
      <c r="K5" s="19"/>
      <c r="L5" s="19"/>
      <c r="M5" s="19"/>
      <c r="N5" s="19"/>
      <c r="O5" s="19"/>
      <c r="P5" s="19"/>
      <c r="Q5" s="19"/>
      <c r="R5" s="19"/>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c r="K10" t="s">
        <v>382</v>
      </c>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16" outlineLevel="1" x14ac:dyDescent="0.25">
      <c r="B17"/>
    </row>
    <row r="18" spans="2:16" outlineLevel="1" x14ac:dyDescent="0.25">
      <c r="B18"/>
    </row>
    <row r="19" spans="2:16" outlineLevel="1" x14ac:dyDescent="0.25">
      <c r="B19"/>
    </row>
    <row r="20" spans="2:16" outlineLevel="1" x14ac:dyDescent="0.25">
      <c r="B20"/>
    </row>
    <row r="21" spans="2:16" outlineLevel="1" x14ac:dyDescent="0.25">
      <c r="B21"/>
    </row>
    <row r="22" spans="2:16" outlineLevel="1" x14ac:dyDescent="0.25">
      <c r="B22"/>
    </row>
    <row r="23" spans="2:16" outlineLevel="1" x14ac:dyDescent="0.25">
      <c r="B23"/>
    </row>
    <row r="24" spans="2:16" outlineLevel="1" x14ac:dyDescent="0.25">
      <c r="B24"/>
    </row>
    <row r="25" spans="2:16" outlineLevel="1" x14ac:dyDescent="0.25">
      <c r="B25"/>
    </row>
    <row r="26" spans="2:16" outlineLevel="1" x14ac:dyDescent="0.25">
      <c r="B26"/>
    </row>
    <row r="27" spans="2:16" outlineLevel="1" x14ac:dyDescent="0.25">
      <c r="B27"/>
    </row>
    <row r="28" spans="2:16" outlineLevel="1" x14ac:dyDescent="0.25">
      <c r="B28"/>
    </row>
    <row r="29" spans="2:16" outlineLevel="1" x14ac:dyDescent="0.25">
      <c r="B29"/>
    </row>
    <row r="30" spans="2:16" outlineLevel="1" x14ac:dyDescent="0.25">
      <c r="B30"/>
    </row>
    <row r="31" spans="2:16" ht="15.75" outlineLevel="1" x14ac:dyDescent="0.25">
      <c r="B31"/>
      <c r="C31" s="29" t="s">
        <v>513</v>
      </c>
      <c r="D31" s="180" t="s">
        <v>514</v>
      </c>
    </row>
    <row r="32" spans="2:16" ht="15.75" outlineLevel="1" x14ac:dyDescent="0.25">
      <c r="B32"/>
      <c r="C32" s="29" t="s">
        <v>515</v>
      </c>
      <c r="D32" s="75" t="s">
        <v>73</v>
      </c>
      <c r="P32" s="61"/>
    </row>
    <row r="33" spans="1:18" outlineLevel="1" x14ac:dyDescent="0.25">
      <c r="B33"/>
    </row>
    <row r="34" spans="1:18" ht="15.75" outlineLevel="1" x14ac:dyDescent="0.25">
      <c r="B34"/>
      <c r="C34" s="29" t="s">
        <v>516</v>
      </c>
      <c r="D34" s="29" t="s">
        <v>182</v>
      </c>
      <c r="E34" s="29" t="s">
        <v>87</v>
      </c>
      <c r="F34" s="29" t="s">
        <v>136</v>
      </c>
      <c r="G34" s="29" t="s">
        <v>89</v>
      </c>
      <c r="H34" s="29" t="s">
        <v>147</v>
      </c>
      <c r="I34" s="29" t="s">
        <v>262</v>
      </c>
      <c r="J34" s="29" t="s">
        <v>366</v>
      </c>
      <c r="K34" s="29" t="s">
        <v>517</v>
      </c>
    </row>
    <row r="35" spans="1:18" ht="15.75" outlineLevel="1" x14ac:dyDescent="0.25">
      <c r="B35"/>
      <c r="C35" s="58" t="str">
        <f>$L$45</f>
        <v>VDO 2023-24 - Final</v>
      </c>
      <c r="D35" s="76">
        <f>INDEX(CostStackCalcs_SME_2[[Ausnet]:[Average]],MATCH(D$34,CostStackCalcs_SME_2[Labels],0),MATCH($D$31,CostStackCalcs_SME_2[[#Headers],[Ausnet]:[Average]],0))</f>
        <v>2715.1030692508061</v>
      </c>
      <c r="E35" s="76">
        <f>INDEX(CostStackCalcs_SME_2[[Ausnet]:[Average]],MATCH(E$34,CostStackCalcs_SME_2[[Labels]:[Labels]],0),MATCH($D$31,CostStackCalcs_SME_2[[#Headers],[Ausnet]:[Average]],0))</f>
        <v>2591.2946225901419</v>
      </c>
      <c r="F35" s="76">
        <f>INDEX(CostStackCalcs_SME_2[[Ausnet]:[Average]],MATCH(F$34,CostStackCalcs_SME_2[[Labels]:[Labels]],0),MATCH($D$31,CostStackCalcs_SME_2[[#Headers],[Ausnet]:[Average]],0))</f>
        <v>175.92415101117138</v>
      </c>
      <c r="G35" s="76">
        <f>INDEX(CostStackCalcs_SME_2[[Ausnet]:[Average]],MATCH("Environmental schemes",CostStackCalcs_SME_2[[Labels]:[Labels]],0),MATCH($D$31,CostStackCalcs_SME_2[[#Headers],[Ausnet]:[Average]],0))+
INDEX(CostStackCalcs_SME_2[[Ausnet]:[Average]],MATCH("FiT",CostStackCalcs_SME_2[[Labels]:[Labels]],0),MATCH($D$31,CostStackCalcs_SME_2[[#Headers],[Ausnet]:[Average]],0))+
IF(INDEX(CostStackCalcs_SME_2[[Ausnet]:[Average]],MATCH("Environmental true up",CostStackCalcs_SME_2[[Labels]:[Labels]],0),MATCH($D$31,CostStackCalcs_SME_2[[#Headers],[Ausnet]:[Average]],0))="-",0,
INDEX(CostStackCalcs_SME_2[[Ausnet]:[Average]],MATCH("Environmental true up",CostStackCalcs_SME_2[[Labels]:[Labels]],0),MATCH($D$31,CostStackCalcs_SME_2[[#Headers],[Ausnet]:[Average]],0)))</f>
        <v>590.77608257548331</v>
      </c>
      <c r="H35" s="76">
        <f>INDEX(CostStackCalcs_SME_2[[Ausnet]:[Average]],MATCH(H$34,CostStackCalcs_SME_2[[Labels]:[Labels]],0),MATCH($D$31,CostStackCalcs_SME_2[[#Headers],[Ausnet]:[Average]],0))</f>
        <v>46.223038179639317</v>
      </c>
      <c r="I35" s="76">
        <f>INDEX(CostStackCalcs_SME_2[[Ausnet]:[Average]],MATCH(I$34,CostStackCalcs_SME_2[[Labels]:[Labels]],0),MATCH($D$31,CostStackCalcs_SME_2[[#Headers],[Ausnet]:[Average]],0))</f>
        <v>344.26486474355988</v>
      </c>
      <c r="J35" s="76">
        <f>INDEX(CostStackCalcs_SME_2[[Ausnet]:[Average]],MATCH(J$34,CostStackCalcs_SME_2[[Labels]:[Labels]],0),MATCH($D$31,CostStackCalcs_SME_2[[#Headers],[Ausnet]:[Average]],0))</f>
        <v>649.1851735164272</v>
      </c>
      <c r="K35" s="76">
        <f>INDEX(CostStackCalcs_SME_2[[Ausnet]:[Average]],MATCH(K$34,CostStackCalcs_SME_2[[Labels]:[Labels]],0),MATCH($D$31,CostStackCalcs_SME_2[[#Headers],[Ausnet]:[Average]],0))</f>
        <v>7113</v>
      </c>
      <c r="M35" s="15">
        <f>IF(OR(ROUNDUP(SUM(D35:J35),0)-K35&lt;1,ROUNDUP(SUM(D35:J35),0)-K35&gt;-1),0,1)</f>
        <v>0</v>
      </c>
    </row>
    <row r="36" spans="1:18" ht="15.75" outlineLevel="1" x14ac:dyDescent="0.25">
      <c r="B36"/>
      <c r="C36" s="58" t="str">
        <f>$D$45</f>
        <v>VDO 2024-25 - Final</v>
      </c>
      <c r="D36" s="76">
        <f>INDEX(CostStackCalcs_SME_1[[Ausnet]:[Average]],MATCH(D$34,CostStackCalcs_SME_1[[Labels]:[Labels]],0),MATCH($D$31,CostStackCalcs_SME_1[[#Headers],[Ausnet]:[Average]],0))</f>
        <v>1974.5262391567001</v>
      </c>
      <c r="E36" s="76">
        <f>INDEX(CostStackCalcs_SME_1[[Ausnet]:[Average]],MATCH(E$34,CostStackCalcs_SME_1[[Labels]:[Labels]],0),MATCH($D$31,CostStackCalcs_SME_1[[#Headers],[Ausnet]:[Average]],0))</f>
        <v>2784.7323026191434</v>
      </c>
      <c r="F36" s="76">
        <f>INDEX(CostStackCalcs_SME_1[[Ausnet]:[Average]],MATCH(F$34,CostStackCalcs_SME_1[[Labels]:[Labels]],0),MATCH($D$31,CostStackCalcs_SME_1[[#Headers],[Ausnet]:[Average]],0))</f>
        <v>185.86772433721131</v>
      </c>
      <c r="G36" s="76">
        <f>INDEX(CostStackCalcs_SME_1[[Ausnet]:[Average]],MATCH("Environmental schemes",CostStackCalcs_SME_1[[Labels]:[Labels]],0),MATCH($D$31,CostStackCalcs_SME_1[[#Headers],[Ausnet]:[Average]],0))+
INDEX(CostStackCalcs_SME_1[[Ausnet]:[Average]],MATCH("FiT",CostStackCalcs_SME_1[[Labels]:[Labels]],0),MATCH($D$31,CostStackCalcs_SME_1[[#Headers],[Ausnet]:[Average]],0))+
IF(INDEX(CostStackCalcs_SME_1[[Ausnet]:[Average]],MATCH("Environmental true up",CostStackCalcs_SME_1[[Labels]:[Labels]],0),MATCH($D$31,CostStackCalcs_SME_1[[#Headers],[Ausnet]:[Average]],0))="-",0,
INDEX(CostStackCalcs_SME_1[[Ausnet]:[Average]],MATCH("Environmental true up",CostStackCalcs_SME_1[[Labels]:[Labels]],0),MATCH($D$31,CostStackCalcs_SME_1[[#Headers],[Ausnet]:[Average]],0)))</f>
        <v>676.08379059124923</v>
      </c>
      <c r="H36" s="76">
        <f>INDEX(CostStackCalcs_SME_1[[Ausnet]:[Average]],MATCH(H$34,CostStackCalcs_SME_1[[Labels]:[Labels]],0),MATCH($D$31,CostStackCalcs_SME_1[[#Headers],[Ausnet]:[Average]],0))</f>
        <v>35.398620301314772</v>
      </c>
      <c r="I36" s="76">
        <f>INDEX(CostStackCalcs_SME_1[[Ausnet]:[Average]],MATCH(I$34,CostStackCalcs_SME_1[[Labels]:[Labels]],0),MATCH($D$31,CostStackCalcs_SME_1[[#Headers],[Ausnet]:[Average]],0))</f>
        <v>316.04848331394174</v>
      </c>
      <c r="J36" s="76">
        <f>INDEX(CostStackCalcs_SME_1[[Ausnet]:[Average]],MATCH(J$34,CostStackCalcs_SME_1[[Labels]:[Labels]],0),MATCH($D$31,CostStackCalcs_SME_1[[#Headers],[Ausnet]:[Average]],0))</f>
        <v>595.97713996343305</v>
      </c>
      <c r="K36" s="76">
        <f>INDEX(CostStackCalcs_SME_1[[Ausnet]:[Average]],MATCH(K$34,CostStackCalcs_SME_1[[Labels]:[Labels]],0),MATCH($D$31,CostStackCalcs_SME_1[[#Headers],[Ausnet]:[Average]],0))</f>
        <v>6569.2</v>
      </c>
      <c r="M36" s="15">
        <f>IF(OR(ROUNDUP(SUM(D36:J36),0)-K36&lt;1,ROUNDUP(SUM(D36:J36),0)-K36&gt;-1),0,1)</f>
        <v>0</v>
      </c>
    </row>
    <row r="37" spans="1:18" outlineLevel="1" x14ac:dyDescent="0.25">
      <c r="B37"/>
      <c r="K37" s="83">
        <f>K35-K36</f>
        <v>543.80000000000018</v>
      </c>
      <c r="M37" s="84"/>
      <c r="N37" s="83"/>
    </row>
    <row r="38" spans="1:18" outlineLevel="1" x14ac:dyDescent="0.25">
      <c r="B38"/>
      <c r="C38" s="58" t="str">
        <f>$L$45</f>
        <v>VDO 2023-24 - Final</v>
      </c>
      <c r="D38" s="81">
        <f>D35/$K35</f>
        <v>0.38170997740064755</v>
      </c>
      <c r="E38" s="81">
        <f t="shared" ref="E38:K39" si="0">E35/$K35</f>
        <v>0.36430403804163392</v>
      </c>
      <c r="F38" s="81">
        <f t="shared" si="0"/>
        <v>2.4732764095483112E-2</v>
      </c>
      <c r="G38" s="81">
        <f t="shared" si="0"/>
        <v>8.3055824908685974E-2</v>
      </c>
      <c r="H38" s="81">
        <f t="shared" si="0"/>
        <v>6.498388609537371E-3</v>
      </c>
      <c r="I38" s="81">
        <f t="shared" si="0"/>
        <v>4.8399390516457176E-2</v>
      </c>
      <c r="J38" s="81">
        <f t="shared" si="0"/>
        <v>9.1267422116747821E-2</v>
      </c>
      <c r="K38" s="81">
        <f t="shared" si="0"/>
        <v>1</v>
      </c>
    </row>
    <row r="39" spans="1:18" outlineLevel="1" x14ac:dyDescent="0.25">
      <c r="B39"/>
      <c r="C39" s="58" t="str">
        <f>$D$45</f>
        <v>VDO 2024-25 - Final</v>
      </c>
      <c r="D39" s="81">
        <f>D36/$K36</f>
        <v>0.30057331777944046</v>
      </c>
      <c r="E39" s="81">
        <f>E36/$K36</f>
        <v>0.42390737115921934</v>
      </c>
      <c r="F39" s="81">
        <f t="shared" si="0"/>
        <v>2.8293814214396171E-2</v>
      </c>
      <c r="G39" s="81">
        <f>G36/$K36</f>
        <v>0.10291721832053359</v>
      </c>
      <c r="H39" s="81">
        <f t="shared" si="0"/>
        <v>5.3885739970338511E-3</v>
      </c>
      <c r="I39" s="81">
        <f t="shared" si="0"/>
        <v>4.8110650203059997E-2</v>
      </c>
      <c r="J39" s="81">
        <f t="shared" si="0"/>
        <v>9.0722940382913148E-2</v>
      </c>
      <c r="K39" s="81">
        <f t="shared" si="0"/>
        <v>1</v>
      </c>
    </row>
    <row r="40" spans="1:18" ht="15.75" outlineLevel="1" x14ac:dyDescent="0.25">
      <c r="B40"/>
      <c r="C40" s="20" t="s">
        <v>518</v>
      </c>
      <c r="D40" s="81">
        <f>(D36-D35)/D35</f>
        <v>-0.27276195827750205</v>
      </c>
      <c r="E40" s="81">
        <f t="shared" ref="E40:K40" si="1">(E36-E35)/E35</f>
        <v>7.4649049298628145E-2</v>
      </c>
      <c r="F40" s="81">
        <f t="shared" si="1"/>
        <v>5.6521934418251145E-2</v>
      </c>
      <c r="G40" s="81">
        <f>(G36-G35)/G35</f>
        <v>0.14439939349587019</v>
      </c>
      <c r="H40" s="81">
        <f t="shared" si="1"/>
        <v>-0.23417798363355027</v>
      </c>
      <c r="I40" s="81">
        <f t="shared" si="1"/>
        <v>-8.1961258087247135E-2</v>
      </c>
      <c r="J40" s="81">
        <f t="shared" si="1"/>
        <v>-8.1961258087247052E-2</v>
      </c>
      <c r="K40" s="81">
        <f t="shared" si="1"/>
        <v>-7.6451567552368926E-2</v>
      </c>
    </row>
    <row r="41" spans="1:18" ht="15.75" outlineLevel="1" x14ac:dyDescent="0.25">
      <c r="B41"/>
      <c r="C41" s="20" t="s">
        <v>519</v>
      </c>
      <c r="D41" s="81">
        <f t="shared" ref="D41:J41" si="2">D38*D40</f>
        <v>-0.10411596092986168</v>
      </c>
      <c r="E41" s="81">
        <f t="shared" si="2"/>
        <v>2.7194950095459233E-2</v>
      </c>
      <c r="F41" s="81">
        <f t="shared" si="2"/>
        <v>1.397943670186973E-3</v>
      </c>
      <c r="G41" s="81">
        <f t="shared" si="2"/>
        <v>1.1993210743113443E-2</v>
      </c>
      <c r="H41" s="81">
        <f t="shared" si="2"/>
        <v>-1.5217795414486919E-3</v>
      </c>
      <c r="I41" s="81">
        <f t="shared" si="2"/>
        <v>-3.9668749373848082E-3</v>
      </c>
      <c r="J41" s="81">
        <f t="shared" si="2"/>
        <v>-7.4803927390684876E-3</v>
      </c>
      <c r="K41" s="81">
        <f>SUM(D41:J41)</f>
        <v>-7.6498903639004023E-2</v>
      </c>
      <c r="M41" s="15">
        <f>IF(ROUND(K41,2)=ROUND(K40,2),0,1)</f>
        <v>0</v>
      </c>
    </row>
    <row r="42" spans="1:18" x14ac:dyDescent="0.25">
      <c r="B42"/>
      <c r="K42" s="83"/>
      <c r="L42" s="84"/>
    </row>
    <row r="43" spans="1:18" ht="16.5" thickBot="1" x14ac:dyDescent="0.3">
      <c r="A43" s="1" t="s">
        <v>36</v>
      </c>
      <c r="B43" s="155">
        <f ca="1">MAX(B$3:B42)+0.01</f>
        <v>8.02</v>
      </c>
      <c r="C43" s="19" t="str">
        <f>"VDO cost stack calcs - Flat VDO - "&amp;IF(ISNUMBER(SEARCH("Residential",$C$48)),"Residential","Small business")</f>
        <v>VDO cost stack calcs - Flat VDO - Small business</v>
      </c>
      <c r="D43" s="19"/>
      <c r="E43" s="19"/>
      <c r="F43" s="19"/>
      <c r="G43" s="19"/>
      <c r="H43" s="19"/>
      <c r="I43" s="19"/>
      <c r="J43" s="19"/>
      <c r="K43" s="19"/>
      <c r="L43" s="19"/>
      <c r="M43" s="19"/>
      <c r="N43" s="19"/>
      <c r="O43" s="19"/>
      <c r="P43" s="19"/>
      <c r="Q43" s="19"/>
      <c r="R43" s="19"/>
    </row>
    <row r="44" spans="1:18" outlineLevel="1" x14ac:dyDescent="0.25"/>
    <row r="45" spans="1:18" ht="15.75" outlineLevel="1" x14ac:dyDescent="0.25">
      <c r="C45" s="36" t="s">
        <v>49</v>
      </c>
      <c r="D45" s="28" t="str">
        <f>FY</f>
        <v>VDO 2024-25 - Final</v>
      </c>
      <c r="K45" s="36" t="s">
        <v>49</v>
      </c>
      <c r="L45" s="28" t="str">
        <f>PY</f>
        <v>VDO 2023-24 - Final</v>
      </c>
    </row>
    <row r="46" spans="1:18" ht="15.75" outlineLevel="1" x14ac:dyDescent="0.25">
      <c r="C46" s="20"/>
      <c r="K46" s="20"/>
    </row>
    <row r="47" spans="1:18" ht="15.75" outlineLevel="1" x14ac:dyDescent="0.25">
      <c r="C47" s="29" t="s">
        <v>91</v>
      </c>
      <c r="D47" s="32" t="s">
        <v>520</v>
      </c>
      <c r="F47" s="20"/>
      <c r="K47" s="29" t="s">
        <v>91</v>
      </c>
      <c r="L47" s="32" t="s">
        <v>520</v>
      </c>
    </row>
    <row r="48" spans="1:18" outlineLevel="1" x14ac:dyDescent="0.25">
      <c r="C48" s="147" t="s">
        <v>95</v>
      </c>
      <c r="D48" s="146">
        <f>INDEX(Input_Usage[],MATCH(C48&amp;" - Annual",Input_Usage[Ref],0),MATCH($D$45,Inputs!$C$147:$BA$147,0))</f>
        <v>20000</v>
      </c>
      <c r="K48" s="58" t="str">
        <f>$C$48</f>
        <v>Small business - medium</v>
      </c>
      <c r="L48" s="146">
        <f>INDEX(Input_Usage[],MATCH(K48&amp;" - Annual",Input_Usage[Ref],0),MATCH($L$45,Inputs!$C$147:$BA$147,0))</f>
        <v>20000</v>
      </c>
    </row>
    <row r="49" spans="3:17" ht="15.75" outlineLevel="1" x14ac:dyDescent="0.25">
      <c r="C49" s="20"/>
      <c r="K49" s="20"/>
    </row>
    <row r="50" spans="3:17" ht="15.75" outlineLevel="1" x14ac:dyDescent="0.25">
      <c r="C50" s="29" t="s">
        <v>74</v>
      </c>
      <c r="D50" s="146">
        <f>INDEX(Input_Usage[],MATCH(C$48&amp;" - "&amp;C50,Input_Usage[Ref],0),MATCH(D$45,Inputs!$C$147:$BA$147,0))</f>
        <v>4080</v>
      </c>
      <c r="G50" s="36" t="s">
        <v>305</v>
      </c>
      <c r="I50" s="52">
        <f>Standard_regulatory_period</f>
        <v>365</v>
      </c>
      <c r="K50" s="29" t="s">
        <v>74</v>
      </c>
      <c r="L50" s="146">
        <f>INDEX(Input_Usage[],MATCH(K$48&amp;" - "&amp;K50,Input_Usage[Ref],0),MATCH(L$45,Inputs!$C$147:$BA$147,0))</f>
        <v>4080</v>
      </c>
      <c r="O50" s="36" t="s">
        <v>305</v>
      </c>
      <c r="Q50" s="52">
        <f>Standard_regulatory_period</f>
        <v>365</v>
      </c>
    </row>
    <row r="51" spans="3:17" ht="15.75" outlineLevel="1" x14ac:dyDescent="0.25">
      <c r="C51" s="29" t="s">
        <v>76</v>
      </c>
      <c r="D51" s="146">
        <f>INDEX(Input_Usage[],MATCH(C$48&amp;" - "&amp;C51,Input_Usage[Ref],0),MATCH(D$45,Inputs!$C$147:$BA$147,0))</f>
        <v>15920</v>
      </c>
      <c r="G51" s="36" t="s">
        <v>108</v>
      </c>
      <c r="H51" s="58" t="str">
        <f>D45</f>
        <v>VDO 2024-25 - Final</v>
      </c>
      <c r="I51" s="52">
        <f>INDEX(Input_TU_Periods[],2,MATCH(H51,Inputs!$C$203:$BM$203,0))</f>
        <v>365</v>
      </c>
      <c r="K51" s="29" t="s">
        <v>76</v>
      </c>
      <c r="L51" s="146">
        <f>INDEX(Input_Usage[],MATCH(K$48&amp;" - "&amp;K51,Input_Usage[Ref],0),MATCH(L$45,Inputs!$C$147:$BA$147,0))</f>
        <v>15920</v>
      </c>
      <c r="O51" s="36" t="s">
        <v>108</v>
      </c>
      <c r="P51" s="58" t="str">
        <f>L45</f>
        <v>VDO 2023-24 - Final</v>
      </c>
      <c r="Q51" s="52">
        <f>INDEX(Input_TU_Periods[],2,MATCH(P51,Inputs!$C$203:$BM$203,0))</f>
        <v>366</v>
      </c>
    </row>
    <row r="52" spans="3:17" ht="15.75" outlineLevel="1" x14ac:dyDescent="0.25">
      <c r="C52" s="20"/>
      <c r="D52" s="80"/>
      <c r="K52" s="20"/>
    </row>
    <row r="53" spans="3:17" ht="15.75" outlineLevel="1" x14ac:dyDescent="0.25">
      <c r="C53" s="20"/>
      <c r="D53" s="80"/>
      <c r="K53" s="20"/>
    </row>
    <row r="54" spans="3:17" ht="15.75" outlineLevel="1" x14ac:dyDescent="0.25">
      <c r="C54" s="30" t="s">
        <v>521</v>
      </c>
      <c r="D54" s="40" t="s">
        <v>65</v>
      </c>
      <c r="E54" s="40" t="s">
        <v>66</v>
      </c>
      <c r="F54" s="40" t="s">
        <v>67</v>
      </c>
      <c r="G54" s="40" t="s">
        <v>68</v>
      </c>
      <c r="H54" s="40" t="s">
        <v>69</v>
      </c>
      <c r="I54" s="40" t="s">
        <v>514</v>
      </c>
      <c r="K54" s="30" t="s">
        <v>521</v>
      </c>
      <c r="L54" s="40" t="s">
        <v>65</v>
      </c>
      <c r="M54" s="40" t="s">
        <v>66</v>
      </c>
      <c r="N54" s="40" t="s">
        <v>67</v>
      </c>
      <c r="O54" s="40" t="s">
        <v>68</v>
      </c>
      <c r="P54" s="40" t="s">
        <v>69</v>
      </c>
      <c r="Q54" s="40" t="s">
        <v>514</v>
      </c>
    </row>
    <row r="55" spans="3:17" outlineLevel="1" x14ac:dyDescent="0.25">
      <c r="C55" s="14" t="s">
        <v>182</v>
      </c>
      <c r="D55" s="73">
        <f>D$86*($D$48*(1+D$72))</f>
        <v>2032.9520941785188</v>
      </c>
      <c r="E55" s="73">
        <f>E$86*($D$48*(1+E$72))</f>
        <v>1877.3834305512003</v>
      </c>
      <c r="F55" s="73">
        <f>F$86*($D$48*(1+F$72))</f>
        <v>1996.8866818680003</v>
      </c>
      <c r="G55" s="73">
        <f>G$86*($D$48*(1+G$72))</f>
        <v>1990.9178671341454</v>
      </c>
      <c r="H55" s="73">
        <f>H$86*($D$48*(1+H$72))</f>
        <v>1974.4911220516367</v>
      </c>
      <c r="I55" s="74">
        <f>AVERAGE(D55:H55)</f>
        <v>1974.5262391567001</v>
      </c>
      <c r="K55" s="14" t="s">
        <v>182</v>
      </c>
      <c r="L55" s="73">
        <f>L$86*($L$48*(1+L$72))</f>
        <v>2790.8966814754472</v>
      </c>
      <c r="M55" s="73">
        <f>M$86*($L$48*(1+M$72))</f>
        <v>2643.4975167626076</v>
      </c>
      <c r="N55" s="73">
        <f>N$86*($L$48*(1+N$72))</f>
        <v>2722.3124931869756</v>
      </c>
      <c r="O55" s="73">
        <f>O$86*($L$48*(1+O$72))</f>
        <v>2688.8836631086479</v>
      </c>
      <c r="P55" s="73">
        <f>P$86*($L$48*(1+P$72))</f>
        <v>2729.9249917203547</v>
      </c>
      <c r="Q55" s="74">
        <f>AVERAGE(L55:P55)</f>
        <v>2715.1030692508061</v>
      </c>
    </row>
    <row r="56" spans="3:17" outlineLevel="1" x14ac:dyDescent="0.25">
      <c r="C56" s="14" t="s">
        <v>87</v>
      </c>
      <c r="D56" s="73">
        <f>D$77+(D$93*$D$50)+(D$94*$D$51)+(D$95*$D$48)</f>
        <v>4229.1937065009852</v>
      </c>
      <c r="E56" s="73">
        <f>E$77+(E$93*$D$50)+(E$94*$D$51)+(E$95*$D$48)</f>
        <v>2016.850142246419</v>
      </c>
      <c r="F56" s="73">
        <f>F$77+(F$93*$D$50)+(F$94*$D$51)+(F$95*$D$48)</f>
        <v>3032.7011445777985</v>
      </c>
      <c r="G56" s="73">
        <f>G$77+(G$93*$D$50)+(G$94*$D$51)+(G$95*$D$48)</f>
        <v>2382.6255092485803</v>
      </c>
      <c r="H56" s="73">
        <f>H$77+(H$93*$D$50)+(H$94*$D$51)+(H$95*$D$48)</f>
        <v>2262.2910105219335</v>
      </c>
      <c r="I56" s="74">
        <f t="shared" ref="I56:I63" si="3">AVERAGE(D56:H56)</f>
        <v>2784.7323026191434</v>
      </c>
      <c r="K56" s="14" t="s">
        <v>87</v>
      </c>
      <c r="L56" s="73">
        <f>L$77+(L$93*$L$50)+(L$94*$L$51)+(L$95*$L$48)</f>
        <v>4258.48243177124</v>
      </c>
      <c r="M56" s="73">
        <f>M$77+(M$93*$L$50)+(M$94*$L$51)+(M$95*$L$48)</f>
        <v>1849.759895686956</v>
      </c>
      <c r="N56" s="73">
        <f>N$77+(N$93*$L$50)+(N$94*$L$51)+(N$95*$L$48)</f>
        <v>2574.6703427550437</v>
      </c>
      <c r="O56" s="73">
        <f>O$77+(O$93*$L$50)+(O$94*$L$51)+(O$95*$L$48)</f>
        <v>2208.2371551055203</v>
      </c>
      <c r="P56" s="73">
        <f>P$77+(P$93*$L$50)+(P$94*$L$51)+(P$95*$L$48)</f>
        <v>2065.323287631948</v>
      </c>
      <c r="Q56" s="74">
        <f t="shared" ref="Q56:Q63" si="4">AVERAGE(L56:P56)</f>
        <v>2591.2946225901419</v>
      </c>
    </row>
    <row r="57" spans="3:17" outlineLevel="1" x14ac:dyDescent="0.25">
      <c r="C57" s="14" t="s">
        <v>136</v>
      </c>
      <c r="D57" s="73">
        <f>D$75</f>
        <v>185.86772433721131</v>
      </c>
      <c r="E57" s="73">
        <f>E$75</f>
        <v>185.86772433721131</v>
      </c>
      <c r="F57" s="73">
        <f>F$75</f>
        <v>185.86772433721131</v>
      </c>
      <c r="G57" s="73">
        <f>G$75</f>
        <v>185.86772433721131</v>
      </c>
      <c r="H57" s="73">
        <f>H$75</f>
        <v>185.86772433721131</v>
      </c>
      <c r="I57" s="74">
        <f t="shared" si="3"/>
        <v>185.86772433721131</v>
      </c>
      <c r="K57" s="14" t="s">
        <v>136</v>
      </c>
      <c r="L57" s="73">
        <f>L$75</f>
        <v>175.92415101117138</v>
      </c>
      <c r="M57" s="73">
        <f>M$75</f>
        <v>175.92415101117138</v>
      </c>
      <c r="N57" s="73">
        <f>N$75</f>
        <v>175.92415101117138</v>
      </c>
      <c r="O57" s="73">
        <f>O$75</f>
        <v>175.92415101117138</v>
      </c>
      <c r="P57" s="73">
        <f>P$75</f>
        <v>175.92415101117138</v>
      </c>
      <c r="Q57" s="74">
        <f t="shared" si="4"/>
        <v>175.92415101117138</v>
      </c>
    </row>
    <row r="58" spans="3:17" outlineLevel="1" x14ac:dyDescent="0.25">
      <c r="C58" s="14" t="s">
        <v>522</v>
      </c>
      <c r="D58" s="73">
        <f>(D$84*($D$48*(1+D$72)))</f>
        <v>643.4898759283717</v>
      </c>
      <c r="E58" s="73">
        <f>(E$84*($D$48*(1+E$72)))</f>
        <v>621.85340302279803</v>
      </c>
      <c r="F58" s="73">
        <f>(F$84*($D$48*(1+F$72)))</f>
        <v>624.5786248099929</v>
      </c>
      <c r="G58" s="73">
        <f>(G$84*($D$48*(1+G$72)))</f>
        <v>634.83684555514174</v>
      </c>
      <c r="H58" s="73">
        <f>(H$84*($D$48*(1+H$72)))</f>
        <v>622.60484501863277</v>
      </c>
      <c r="I58" s="74">
        <f t="shared" si="3"/>
        <v>629.47271886698741</v>
      </c>
      <c r="K58" s="14" t="s">
        <v>522</v>
      </c>
      <c r="L58" s="73">
        <f>(L$84*($L$48*(1+L$72)))</f>
        <v>617.2176194938005</v>
      </c>
      <c r="M58" s="73">
        <f>(M$84*($L$48*(1+M$72)))</f>
        <v>594.22725547788264</v>
      </c>
      <c r="N58" s="73">
        <f>(N$84*($L$48*(1+N$72)))</f>
        <v>594.43389367517364</v>
      </c>
      <c r="O58" s="73">
        <f>(O$84*($L$48*(1+O$72)))</f>
        <v>609.26311548751096</v>
      </c>
      <c r="P58" s="73">
        <f>(P$84*($L$48*(1+P$72)))</f>
        <v>595.34020023618086</v>
      </c>
      <c r="Q58" s="74">
        <f>AVERAGE(L58:P58)</f>
        <v>602.09641687410965</v>
      </c>
    </row>
    <row r="59" spans="3:17" outlineLevel="1" x14ac:dyDescent="0.25">
      <c r="C59" s="14" t="s">
        <v>523</v>
      </c>
      <c r="D59" s="73">
        <f>(D$90*($D$48*(1+D$72)))</f>
        <v>34.476309402596684</v>
      </c>
      <c r="E59" s="73">
        <f t="shared" ref="E59:H59" si="5">(E$90*($D$48*(1+E$72)))</f>
        <v>33.317090334546435</v>
      </c>
      <c r="F59" s="73">
        <f t="shared" si="5"/>
        <v>33.463099763817532</v>
      </c>
      <c r="G59" s="73">
        <f t="shared" si="5"/>
        <v>34.01270529074155</v>
      </c>
      <c r="H59" s="73">
        <f t="shared" si="5"/>
        <v>33.357350403454475</v>
      </c>
      <c r="I59" s="74">
        <f t="shared" si="3"/>
        <v>33.725311039031325</v>
      </c>
      <c r="K59" s="14" t="s">
        <v>523</v>
      </c>
      <c r="L59" s="73">
        <f>L81</f>
        <v>16.945572514842485</v>
      </c>
      <c r="M59" s="73">
        <f>M81</f>
        <v>16.945572514842485</v>
      </c>
      <c r="N59" s="73">
        <f>N81</f>
        <v>16.945572514842485</v>
      </c>
      <c r="O59" s="73">
        <f>O81</f>
        <v>16.945572514842485</v>
      </c>
      <c r="P59" s="73">
        <f>P81</f>
        <v>16.945572514842485</v>
      </c>
      <c r="Q59" s="74">
        <f>AVERAGE(L59:P59)</f>
        <v>16.945572514842485</v>
      </c>
    </row>
    <row r="60" spans="3:17" outlineLevel="1" x14ac:dyDescent="0.25">
      <c r="C60" s="14" t="s">
        <v>147</v>
      </c>
      <c r="D60" s="73">
        <f>D$79+(D$88*($D$48*(1+D$72)))</f>
        <v>35.873421155821887</v>
      </c>
      <c r="E60" s="73">
        <f>E$79+(E$88*($D$48*(1+E$72)))</f>
        <v>35.140532469542727</v>
      </c>
      <c r="F60" s="73">
        <f>F$79+(F$88*($D$48*(1+F$72)))</f>
        <v>35.23284345868376</v>
      </c>
      <c r="G60" s="73">
        <f>G$79+(G$88*($D$48*(1+G$72)))</f>
        <v>35.580318481913494</v>
      </c>
      <c r="H60" s="73">
        <f>H$79+(H$88*($D$48*(1+H$72)))</f>
        <v>35.165985940611961</v>
      </c>
      <c r="I60" s="74">
        <f t="shared" si="3"/>
        <v>35.398620301314772</v>
      </c>
      <c r="K60" s="14" t="s">
        <v>147</v>
      </c>
      <c r="L60" s="73">
        <f>L$79+(L$88*($L$48*(1+L$72)))</f>
        <v>47.116078798908916</v>
      </c>
      <c r="M60" s="73">
        <f>M$79+(M$88*($L$48*(1+M$72)))</f>
        <v>45.758294670596726</v>
      </c>
      <c r="N60" s="73">
        <f>N$79+(N$88*($L$48*(1+N$72)))</f>
        <v>45.770498481914842</v>
      </c>
      <c r="O60" s="73">
        <f>O$79+(O$88*($L$48*(1+O$72)))</f>
        <v>46.646295054690796</v>
      </c>
      <c r="P60" s="73">
        <f>P$79+(P$88*($L$48*(1+P$72)))</f>
        <v>45.824023892085322</v>
      </c>
      <c r="Q60" s="74">
        <f t="shared" si="4"/>
        <v>46.223038179639317</v>
      </c>
    </row>
    <row r="61" spans="3:17" outlineLevel="1" x14ac:dyDescent="0.25">
      <c r="C61" s="14" t="s">
        <v>262</v>
      </c>
      <c r="D61" s="73">
        <f>SUM(D55:D60)*D$70</f>
        <v>401.06377536419632</v>
      </c>
      <c r="E61" s="73">
        <f>SUM(E55:E60)*E$70</f>
        <v>267.14309008585616</v>
      </c>
      <c r="F61" s="73">
        <f>SUM(F55:F60)*F$70</f>
        <v>330.88888665366824</v>
      </c>
      <c r="G61" s="73">
        <f>SUM(G55:G60)*G$70</f>
        <v>294.77509432267311</v>
      </c>
      <c r="H61" s="73">
        <f>SUM(H55:H60)*H$70</f>
        <v>286.37157014331495</v>
      </c>
      <c r="I61" s="74">
        <f t="shared" si="3"/>
        <v>316.04848331394174</v>
      </c>
      <c r="K61" s="14" t="s">
        <v>262</v>
      </c>
      <c r="L61" s="73">
        <f>SUM(L55:L60)*L$70</f>
        <v>442.76862196366301</v>
      </c>
      <c r="M61" s="73">
        <f>SUM(M55:M60)*M$70</f>
        <v>298.26231042294728</v>
      </c>
      <c r="N61" s="73">
        <f>SUM(N55:N60)*N$70</f>
        <v>343.28318929100681</v>
      </c>
      <c r="O61" s="73">
        <f>SUM(O55:O60)*O$70</f>
        <v>321.7703973278135</v>
      </c>
      <c r="P61" s="73">
        <f>SUM(P55:P60)*P$70</f>
        <v>315.23980471236871</v>
      </c>
      <c r="Q61" s="74">
        <f t="shared" si="4"/>
        <v>344.26486474355988</v>
      </c>
    </row>
    <row r="62" spans="3:17" outlineLevel="1" x14ac:dyDescent="0.25">
      <c r="C62" s="14" t="s">
        <v>366</v>
      </c>
      <c r="D62" s="73">
        <f>SUM(D55:D61)*GST</f>
        <v>756.29169068677027</v>
      </c>
      <c r="E62" s="73">
        <f>SUM(E55:E61)*GST</f>
        <v>503.75554130475734</v>
      </c>
      <c r="F62" s="73">
        <f>SUM(F55:F61)*GST</f>
        <v>623.96190054691726</v>
      </c>
      <c r="G62" s="73">
        <f>SUM(G55:G61)*GST</f>
        <v>555.86160643704068</v>
      </c>
      <c r="H62" s="73">
        <f>SUM(H55:H61)*GST</f>
        <v>540.01496084167957</v>
      </c>
      <c r="I62" s="74">
        <f t="shared" si="3"/>
        <v>595.97713996343305</v>
      </c>
      <c r="K62" s="14" t="s">
        <v>366</v>
      </c>
      <c r="L62" s="73">
        <f>SUM(L55:L61)*GST</f>
        <v>834.93511570290741</v>
      </c>
      <c r="M62" s="73">
        <f>SUM(M55:M61)*GST</f>
        <v>562.43749965470056</v>
      </c>
      <c r="N62" s="73">
        <f>SUM(N55:N61)*GST</f>
        <v>647.33401409161297</v>
      </c>
      <c r="O62" s="73">
        <f>SUM(O55:O61)*GST</f>
        <v>606.76703496101982</v>
      </c>
      <c r="P62" s="73">
        <f>SUM(P55:P61)*GST</f>
        <v>594.45220317189523</v>
      </c>
      <c r="Q62" s="74">
        <f t="shared" si="4"/>
        <v>649.1851735164272</v>
      </c>
    </row>
    <row r="63" spans="3:17" outlineLevel="1" x14ac:dyDescent="0.25">
      <c r="C63" s="14" t="s">
        <v>524</v>
      </c>
      <c r="D63" s="88">
        <f>(D$101*($D$50))+(D$102*($D$51))+(D$103*($D$48))</f>
        <v>13.209376957922798</v>
      </c>
      <c r="E63" s="88">
        <f>(E$101*($D$50))+(E$102*($D$51))+(E$103*($D$48))</f>
        <v>12.717348903157953</v>
      </c>
      <c r="F63" s="88">
        <f>(F$101*($D$50))+(F$102*($D$51))+(F$103*($D$48))</f>
        <v>12.721771268553423</v>
      </c>
      <c r="G63" s="88">
        <f>(G$101*($D$50))+(G$102*($D$51))+(G$103*($D$48))</f>
        <v>13.039138716800386</v>
      </c>
      <c r="H63" s="88">
        <f>(H$101*($D$50))+(H$102*($D$51))+(H$103*($D$48))</f>
        <v>12.741167579717709</v>
      </c>
      <c r="I63" s="74">
        <f t="shared" si="3"/>
        <v>12.885760685230455</v>
      </c>
      <c r="K63" s="14" t="s">
        <v>524</v>
      </c>
      <c r="L63" s="88">
        <f>(L$101*($L$50))+(L$102*($L$51))+(L$103*($L$48))</f>
        <v>-28.902040818542996</v>
      </c>
      <c r="M63" s="88">
        <f>(M$101*($L$50))+(M$102*($L$51))+(M$103*($L$48))</f>
        <v>-28.03202376294978</v>
      </c>
      <c r="N63" s="88">
        <f>(N$101*($L$50))+(N$102*($L$51))+(N$103*($L$48))</f>
        <v>-27.793440971667405</v>
      </c>
      <c r="O63" s="88">
        <f>(O$101*($L$50))+(O$102*($L$51))+(O$103*($L$48))</f>
        <v>-28.646266704102519</v>
      </c>
      <c r="P63" s="88">
        <f>(P$101*($L$50))+(P$102*($L$51))+(P$103*($L$48))</f>
        <v>-27.955761810081825</v>
      </c>
      <c r="Q63" s="74">
        <f t="shared" si="4"/>
        <v>-28.265906813468906</v>
      </c>
    </row>
    <row r="64" spans="3:17" outlineLevel="1" x14ac:dyDescent="0.25">
      <c r="C64" s="31" t="s">
        <v>525</v>
      </c>
      <c r="D64" s="130">
        <f>ROUNDUP(SUM(D55:D63),0)</f>
        <v>8333</v>
      </c>
      <c r="E64" s="130">
        <f>ROUNDUP(SUM(E55:E63),0)</f>
        <v>5555</v>
      </c>
      <c r="F64" s="130">
        <f>ROUNDUP(SUM(F55:F63),0)</f>
        <v>6877</v>
      </c>
      <c r="G64" s="130">
        <f>ROUNDUP(SUM(G55:G63),0)</f>
        <v>6128</v>
      </c>
      <c r="H64" s="130">
        <f>ROUNDUP(SUM(H55:H63),0)</f>
        <v>5953</v>
      </c>
      <c r="I64" s="74">
        <f>AVERAGE(D64:H64)</f>
        <v>6569.2</v>
      </c>
      <c r="K64" s="31" t="s">
        <v>525</v>
      </c>
      <c r="L64" s="130">
        <f>ROUNDUP(SUM(L55:L63),0)</f>
        <v>9156</v>
      </c>
      <c r="M64" s="130">
        <f>ROUNDUP(SUM(M55:M63),0)</f>
        <v>6159</v>
      </c>
      <c r="N64" s="130">
        <f>ROUNDUP(SUM(N55:N63),0)</f>
        <v>7093</v>
      </c>
      <c r="O64" s="130">
        <f>ROUNDUP(SUM(O55:O63),0)</f>
        <v>6646</v>
      </c>
      <c r="P64" s="130">
        <f>ROUNDUP(SUM(P55:P63),0)</f>
        <v>6512</v>
      </c>
      <c r="Q64" s="74">
        <f>AVERAGE(L64:P64)</f>
        <v>7113.2</v>
      </c>
    </row>
    <row r="65" spans="3:17" outlineLevel="1" x14ac:dyDescent="0.25">
      <c r="C65" s="14"/>
      <c r="D65" s="73"/>
      <c r="E65" s="73"/>
      <c r="F65" s="73"/>
      <c r="G65" s="73"/>
      <c r="H65" s="73"/>
      <c r="I65" s="74"/>
      <c r="K65" s="14"/>
      <c r="L65" s="73"/>
      <c r="M65" s="73"/>
      <c r="N65" s="73"/>
      <c r="O65" s="73"/>
      <c r="P65" s="73"/>
      <c r="Q65" s="74"/>
    </row>
    <row r="66" spans="3:17" outlineLevel="1" x14ac:dyDescent="0.25">
      <c r="C66" s="14" t="s">
        <v>517</v>
      </c>
      <c r="D66" s="74">
        <f>IF($D$32="Residential",
ROUNDUP(
(INDEX(OP_Rates_RES_1[[Ausnet]:[United Energy]],MATCH("Anytime - supply",OP_Rates_RES_1[Rate name],0),MATCH(CostStackCalcs_RES_1[[#Headers],[Ausnet]],OP_Rates_RES_1[[#Headers],[Ausnet]:[United Energy]],0))*DiY)+
(IFERROR((INDEX(OP_Rates_RES_1[[Ausnet]:[United Energy]],MATCH("Block 1",OP_Rates_RES_1[Rate name],0),MATCH(CostStackCalcs_RES_1[[#Headers],[Ausnet]],OP_Rates_RES_1[[#Headers],[Ausnet]:[United Energy]],0))*$D$50),0)+
IFERROR((INDEX(OP_Rates_RES_1[[Ausnet]:[United Energy]],MATCH("Balance",OP_Rates_RES_1[Rate name],0),MATCH(CostStackCalcs_RES_1[[#Headers],[Ausnet]],OP_Rates_RES_1[[#Headers],[Ausnet]:[United Energy]],0))*$D$51),0)+
IFERROR((INDEX(OP_Rates_RES_1[[Ausnet]:[United Energy]],MATCH("Single rate",OP_Rates_RES_1[Rate name],0),MATCH(CostStackCalcs_RES_1[[#Headers],[Ausnet]],OP_Rates_RES_1[[#Headers],[Ausnet]:[United Energy]],0))*$D$48),0))
+
(IFERROR((INDEX(OP_RatesTU_RES_1[[Ausnet]:[United Energy]],MATCH("Block 1",OP_RatesTU_RES_1[Rate name],0),MATCH(CostStackCalcs_RES_1[[#Headers],[Ausnet]],OP_RatesTU_RES_1[[#Headers],[Ausnet]:[United Energy]],0))*($D$50)),0)+
IFERROR((INDEX(OP_RatesTU_RES_1[[Ausnet]:[United Energy]],MATCH("Balance",OP_RatesTU_RES_1[Rate name],0),MATCH(CostStackCalcs_RES_1[[#Headers],[Ausnet]],OP_RatesTU_RES_1[[#Headers],[Ausnet]:[United Energy]],0))*($D$51)),0)+
IFERROR((INDEX(OP_RatesTU_RES_1[[Ausnet]:[United Energy]],MATCH("Single rate",OP_RatesTU_RES_1[Rate name],0),MATCH(CostStackCalcs_RES_1[[#Headers],[Ausnet]],OP_RatesTU_RES_1[[#Headers],[Ausnet]:[United Energy]],0))*($D$48)),0)),0),
ROUNDUP(
(INDEX(OP_Rates_SME_1[[Ausnet]:[United Energy]],MATCH("Anytime - supply",OP_Rates_SME_1[Rate name],0),MATCH(CostStackCalcs_SME_1[[#Headers],[Ausnet]],OP_Rates_SME_1[[#Headers],[Ausnet]:[United Energy]],0))*DiY)+
(IFERROR((INDEX(OP_Rates_SME_1[[Ausnet]:[United Energy]],MATCH("Block 1",OP_Rates_SME_1[Rate name],0),MATCH(CostStackCalcs_SME_1[[#Headers],[Ausnet]],OP_Rates_SME_1[[#Headers],[Ausnet]:[United Energy]],0))*$D$50),0)+
IFERROR((INDEX(OP_Rates_SME_1[[Ausnet]:[United Energy]],MATCH("Balance",OP_Rates_SME_1[Rate name],0),MATCH(CostStackCalcs_SME_1[[#Headers],[Ausnet]],OP_Rates_SME_1[[#Headers],[Ausnet]:[United Energy]],0))*$D$51),0)+
IFERROR((INDEX(OP_Rates_SME_1[[Ausnet]:[United Energy]],MATCH("Single rate",OP_Rates_SME_1[Rate name],0),MATCH(CostStackCalcs_SME_1[[#Headers],[Ausnet]],OP_Rates_SME_1[[#Headers],[Ausnet]:[United Energy]],0))*$D$48),0))
+
(IFERROR((INDEX(OP_RatesTU_SME_1[[Ausnet]:[United Energy]],MATCH("Block 1",OP_RatesTU_SME_1[Rate name],0),MATCH(CostStackCalcs_SME_1[[#Headers],[Ausnet]],OP_RatesTU_SME_1[[#Headers],[Ausnet]:[United Energy]],0))*($D$50)),0)+
IFERROR((INDEX(OP_RatesTU_SME_1[[Ausnet]:[United Energy]],MATCH("Balance",OP_RatesTU_SME_1[Rate name],0),MATCH(CostStackCalcs_SME_1[[#Headers],[Ausnet]],OP_RatesTU_SME_1[[#Headers],[Ausnet]:[United Energy]],0))*($D$51)),0)+
IFERROR((INDEX(OP_RatesTU_SME_1[[Ausnet]:[United Energy]],MATCH("Single rate",OP_RatesTU_SME_1[Rate name],0),MATCH(CostStackCalcs_SME_1[[#Headers],[Ausnet]],OP_RatesTU_SME_1[[#Headers],[Ausnet]:[United Energy]],0))*($D$48)),0)),0))</f>
        <v>8333</v>
      </c>
      <c r="E66" s="74">
        <f>IF($D$32="Residential",
ROUNDUP(
(INDEX(OP_Rates_RES_1[[Ausnet]:[United Energy]],MATCH("Anytime - supply",OP_Rates_RES_1[Rate name],0),MATCH(CostStackCalcs_RES_1[[#Headers],[Citipower]],OP_Rates_RES_1[[#Headers],[Ausnet]:[United Energy]],0))*DiY)+
(IFERROR((INDEX(OP_Rates_RES_1[[Ausnet]:[United Energy]],MATCH("Block 1",OP_Rates_RES_1[Rate name],0),MATCH(CostStackCalcs_RES_1[[#Headers],[Citipower]],OP_Rates_RES_1[[#Headers],[Ausnet]:[United Energy]],0))*$D$50),0)+
IFERROR((INDEX(OP_Rates_RES_1[[Ausnet]:[United Energy]],MATCH("Balance",OP_Rates_RES_1[Rate name],0),MATCH(CostStackCalcs_RES_1[[#Headers],[Citipower]],OP_Rates_RES_1[[#Headers],[Ausnet]:[United Energy]],0))*$D$51),0)+
IFERROR((INDEX(OP_Rates_RES_1[[Ausnet]:[United Energy]],MATCH("Single rate",OP_Rates_RES_1[Rate name],0),MATCH(CostStackCalcs_RES_1[[#Headers],[Citipower]],OP_Rates_RES_1[[#Headers],[Ausnet]:[United Energy]],0))*$D$48),0))
+
(IFERROR((INDEX(OP_RatesTU_RES_1[[Ausnet]:[United Energy]],MATCH("Block 1",OP_RatesTU_RES_1[Rate name],0),MATCH(CostStackCalcs_RES_1[[#Headers],[Citipower]],OP_RatesTU_RES_1[[#Headers],[Ausnet]:[United Energy]],0))*($D$50)),0)+
IFERROR((INDEX(OP_RatesTU_RES_1[[Ausnet]:[United Energy]],MATCH("Balance",OP_RatesTU_RES_1[Rate name],0),MATCH(CostStackCalcs_RES_1[[#Headers],[Citipower]],OP_RatesTU_RES_1[[#Headers],[Ausnet]:[United Energy]],0))*($D$51)),0)+
IFERROR((INDEX(OP_RatesTU_RES_1[[Ausnet]:[United Energy]],MATCH("Single rate",OP_RatesTU_RES_1[Rate name],0),MATCH(CostStackCalcs_RES_1[[#Headers],[Citipower]],OP_RatesTU_RES_1[[#Headers],[Ausnet]:[United Energy]],0))*($D$48)),0)),0),
ROUNDUP(
(INDEX(OP_Rates_SME_1[[Ausnet]:[United Energy]],MATCH("Anytime - supply",OP_Rates_SME_1[Rate name],0),MATCH(CostStackCalcs_SME_1[[#Headers],[Citipower]],OP_Rates_SME_1[[#Headers],[Ausnet]:[United Energy]],0))*DiY)+
(IFERROR((INDEX(OP_Rates_SME_1[[Ausnet]:[United Energy]],MATCH("Block 1",OP_Rates_SME_1[Rate name],0),MATCH(CostStackCalcs_SME_1[[#Headers],[Citipower]],OP_Rates_SME_1[[#Headers],[Ausnet]:[United Energy]],0))*$D$50),0)+
IFERROR((INDEX(OP_Rates_SME_1[[Ausnet]:[United Energy]],MATCH("Balance",OP_Rates_SME_1[Rate name],0),MATCH(CostStackCalcs_SME_1[[#Headers],[Citipower]],OP_Rates_SME_1[[#Headers],[Ausnet]:[United Energy]],0))*$D$51),0)+
IFERROR((INDEX(OP_Rates_SME_1[[Ausnet]:[United Energy]],MATCH("Single rate",OP_Rates_SME_1[Rate name],0),MATCH(CostStackCalcs_SME_1[[#Headers],[Citipower]],OP_Rates_SME_1[[#Headers],[Ausnet]:[United Energy]],0))*$D$48),0))
+
(IFERROR((INDEX(OP_RatesTU_SME_1[[Ausnet]:[United Energy]],MATCH("Block 1",OP_RatesTU_SME_1[Rate name],0),MATCH(CostStackCalcs_SME_1[[#Headers],[Citipower]],OP_RatesTU_SME_1[[#Headers],[Ausnet]:[United Energy]],0))*($D$50)),0)+
IFERROR((INDEX(OP_RatesTU_SME_1[[Ausnet]:[United Energy]],MATCH("Balance",OP_RatesTU_SME_1[Rate name],0),MATCH(CostStackCalcs_SME_1[[#Headers],[Citipower]],OP_RatesTU_SME_1[[#Headers],[Ausnet]:[United Energy]],0))*($D$51)),0)+
IFERROR((INDEX(OP_RatesTU_SME_1[[Ausnet]:[United Energy]],MATCH("Single rate",OP_RatesTU_SME_1[Rate name],0),MATCH(CostStackCalcs_SME_1[[#Headers],[Citipower]],OP_RatesTU_SME_1[[#Headers],[Ausnet]:[United Energy]],0))*($D$48)),0)),0))</f>
        <v>5555</v>
      </c>
      <c r="F66" s="74">
        <f>IF($D$32="Residential",
ROUNDUP(
(INDEX(OP_Rates_RES_1[[Ausnet]:[United Energy]],MATCH("Anytime - supply",OP_Rates_RES_1[Rate name],0),MATCH(CostStackCalcs_RES_1[[#Headers],[Jemena]],OP_Rates_RES_1[[#Headers],[Ausnet]:[United Energy]],0))*DiY)+
(IFERROR((INDEX(OP_Rates_RES_1[[Ausnet]:[United Energy]],MATCH("Block 1",OP_Rates_RES_1[Rate name],0),MATCH(CostStackCalcs_RES_1[[#Headers],[Jemena]],OP_Rates_RES_1[[#Headers],[Ausnet]:[United Energy]],0))*$D$50),0)+
IFERROR((INDEX(OP_Rates_RES_1[[Ausnet]:[United Energy]],MATCH("Balance",OP_Rates_RES_1[Rate name],0),MATCH(CostStackCalcs_RES_1[[#Headers],[Jemena]],OP_Rates_RES_1[[#Headers],[Ausnet]:[United Energy]],0))*$D$51),0)+
IFERROR((INDEX(OP_Rates_RES_1[[Ausnet]:[United Energy]],MATCH("Single rate",OP_Rates_RES_1[Rate name],0),MATCH(CostStackCalcs_RES_1[[#Headers],[Jemena]],OP_Rates_RES_1[[#Headers],[Ausnet]:[United Energy]],0))*$D$48),0))
+
(IFERROR((INDEX(OP_RatesTU_RES_1[[Ausnet]:[United Energy]],MATCH("Block 1",OP_RatesTU_RES_1[Rate name],0),MATCH(CostStackCalcs_RES_1[[#Headers],[Jemena]],OP_RatesTU_RES_1[[#Headers],[Ausnet]:[United Energy]],0))*($D$50)),0)+
IFERROR((INDEX(OP_RatesTU_RES_1[[Ausnet]:[United Energy]],MATCH("Balance",OP_RatesTU_RES_1[Rate name],0),MATCH(CostStackCalcs_RES_1[[#Headers],[Jemena]],OP_RatesTU_RES_1[[#Headers],[Ausnet]:[United Energy]],0))*($D$51)),0)+
IFERROR((INDEX(OP_RatesTU_RES_1[[Ausnet]:[United Energy]],MATCH("Single rate",OP_RatesTU_RES_1[Rate name],0),MATCH(CostStackCalcs_RES_1[[#Headers],[Jemena]],OP_RatesTU_RES_1[[#Headers],[Ausnet]:[United Energy]],0))*($D$48)),0)),0),
ROUNDUP(
(INDEX(OP_Rates_SME_1[[Ausnet]:[United Energy]],MATCH("Anytime - supply",OP_Rates_SME_1[Rate name],0),MATCH(CostStackCalcs_SME_1[[#Headers],[Jemena]],OP_Rates_SME_1[[#Headers],[Ausnet]:[United Energy]],0))*DiY)+
(IFERROR((INDEX(OP_Rates_SME_1[[Ausnet]:[United Energy]],MATCH("Block 1",OP_Rates_SME_1[Rate name],0),MATCH(CostStackCalcs_SME_1[[#Headers],[Jemena]],OP_Rates_SME_1[[#Headers],[Ausnet]:[United Energy]],0))*$D$50),0)+
IFERROR((INDEX(OP_Rates_SME_1[[Ausnet]:[United Energy]],MATCH("Balance",OP_Rates_SME_1[Rate name],0),MATCH(CostStackCalcs_SME_1[[#Headers],[Jemena]],OP_Rates_SME_1[[#Headers],[Ausnet]:[United Energy]],0))*$D$51),0)+
IFERROR((INDEX(OP_Rates_SME_1[[Ausnet]:[United Energy]],MATCH("Single rate",OP_Rates_SME_1[Rate name],0),MATCH(CostStackCalcs_SME_1[[#Headers],[Jemena]],OP_Rates_SME_1[[#Headers],[Ausnet]:[United Energy]],0))*$D$48),0))
+
(IFERROR((INDEX(OP_RatesTU_SME_1[[Ausnet]:[United Energy]],MATCH("Block 1",OP_RatesTU_SME_1[Rate name],0),MATCH(CostStackCalcs_SME_1[[#Headers],[Jemena]],OP_RatesTU_SME_1[[#Headers],[Ausnet]:[United Energy]],0))*($D$50)),0)+
IFERROR((INDEX(OP_RatesTU_SME_1[[Ausnet]:[United Energy]],MATCH("Balance",OP_RatesTU_SME_1[Rate name],0),MATCH(CostStackCalcs_SME_1[[#Headers],[Jemena]],OP_RatesTU_SME_1[[#Headers],[Ausnet]:[United Energy]],0))*($D$51)),0)+
IFERROR((INDEX(OP_RatesTU_SME_1[[Ausnet]:[United Energy]],MATCH("Single rate",OP_RatesTU_SME_1[Rate name],0),MATCH(CostStackCalcs_SME_1[[#Headers],[Jemena]],OP_RatesTU_SME_1[[#Headers],[Ausnet]:[United Energy]],0))*($D$48)),0)),0))</f>
        <v>6877</v>
      </c>
      <c r="G66" s="74">
        <f>IF($D$32="Residential",
ROUNDUP(
(INDEX(OP_Rates_RES_1[[Ausnet]:[United Energy]],MATCH("Anytime - supply",OP_Rates_RES_1[Rate name],0),MATCH(CostStackCalcs_RES_1[[#Headers],[Powercor]],OP_Rates_RES_1[[#Headers],[Ausnet]:[United Energy]],0))*DiY)+
(IFERROR((INDEX(OP_Rates_RES_1[[Ausnet]:[United Energy]],MATCH("Block 1",OP_Rates_RES_1[Rate name],0),MATCH(CostStackCalcs_RES_1[[#Headers],[Powercor]],OP_Rates_RES_1[[#Headers],[Ausnet]:[United Energy]],0))*$D$50),0)+
IFERROR((INDEX(OP_Rates_RES_1[[Ausnet]:[United Energy]],MATCH("Balance",OP_Rates_RES_1[Rate name],0),MATCH(CostStackCalcs_RES_1[[#Headers],[Powercor]],OP_Rates_RES_1[[#Headers],[Ausnet]:[United Energy]],0))*$D$51),0)+
IFERROR((INDEX(OP_Rates_RES_1[[Ausnet]:[United Energy]],MATCH("Single rate",OP_Rates_RES_1[Rate name],0),MATCH(CostStackCalcs_RES_1[[#Headers],[Powercor]],OP_Rates_RES_1[[#Headers],[Ausnet]:[United Energy]],0))*$D$48),0))
+
(IFERROR((INDEX(OP_RatesTU_RES_1[[Ausnet]:[United Energy]],MATCH("Block 1",OP_RatesTU_RES_1[Rate name],0),MATCH(CostStackCalcs_RES_1[[#Headers],[Powercor]],OP_RatesTU_RES_1[[#Headers],[Ausnet]:[United Energy]],0))*($D$50)),0)+
IFERROR((INDEX(OP_RatesTU_RES_1[[Ausnet]:[United Energy]],MATCH("Balance",OP_RatesTU_RES_1[Rate name],0),MATCH(CostStackCalcs_RES_1[[#Headers],[Powercor]],OP_RatesTU_RES_1[[#Headers],[Ausnet]:[United Energy]],0))*($D$51)),0)+
IFERROR((INDEX(OP_RatesTU_RES_1[[Ausnet]:[United Energy]],MATCH("Single rate",OP_RatesTU_RES_1[Rate name],0),MATCH(CostStackCalcs_RES_1[[#Headers],[Powercor]],OP_RatesTU_RES_1[[#Headers],[Ausnet]:[United Energy]],0))*($D$48)),0)),0),
ROUNDUP(
(INDEX(OP_Rates_SME_1[[Ausnet]:[United Energy]],MATCH("Anytime - supply",OP_Rates_SME_1[Rate name],0),MATCH(CostStackCalcs_SME_1[[#Headers],[Powercor]],OP_Rates_SME_1[[#Headers],[Ausnet]:[United Energy]],0))*DiY)+
(IFERROR((INDEX(OP_Rates_SME_1[[Ausnet]:[United Energy]],MATCH("Block 1",OP_Rates_SME_1[Rate name],0),MATCH(CostStackCalcs_SME_1[[#Headers],[Powercor]],OP_Rates_SME_1[[#Headers],[Ausnet]:[United Energy]],0))*$D$50),0)+
IFERROR((INDEX(OP_Rates_SME_1[[Ausnet]:[United Energy]],MATCH("Balance",OP_Rates_SME_1[Rate name],0),MATCH(CostStackCalcs_SME_1[[#Headers],[Powercor]],OP_Rates_SME_1[[#Headers],[Ausnet]:[United Energy]],0))*$D$51),0)+
IFERROR((INDEX(OP_Rates_SME_1[[Ausnet]:[United Energy]],MATCH("Single rate",OP_Rates_SME_1[Rate name],0),MATCH(CostStackCalcs_SME_1[[#Headers],[Powercor]],OP_Rates_SME_1[[#Headers],[Ausnet]:[United Energy]],0))*$D$48),0))
+
(IFERROR((INDEX(OP_RatesTU_SME_1[[Ausnet]:[United Energy]],MATCH("Block 1",OP_RatesTU_SME_1[Rate name],0),MATCH(CostStackCalcs_SME_1[[#Headers],[Powercor]],OP_RatesTU_SME_1[[#Headers],[Ausnet]:[United Energy]],0))*($D$50)),0)+
IFERROR((INDEX(OP_RatesTU_SME_1[[Ausnet]:[United Energy]],MATCH("Balance",OP_RatesTU_SME_1[Rate name],0),MATCH(CostStackCalcs_SME_1[[#Headers],[Powercor]],OP_RatesTU_SME_1[[#Headers],[Ausnet]:[United Energy]],0))*($D$51)),0)+
IFERROR((INDEX(OP_RatesTU_SME_1[[Ausnet]:[United Energy]],MATCH("Single rate",OP_RatesTU_SME_1[Rate name],0),MATCH(CostStackCalcs_SME_1[[#Headers],[Powercor]],OP_RatesTU_SME_1[[#Headers],[Ausnet]:[United Energy]],0))*($D$48)),0)),0))</f>
        <v>6128</v>
      </c>
      <c r="H66" s="74">
        <f>IF($D$32="Residential",
ROUNDUP(
(INDEX(OP_Rates_RES_1[[Ausnet]:[United Energy]],MATCH("Anytime - supply",OP_Rates_RES_1[Rate name],0),MATCH(CostStackCalcs_RES_1[[#Headers],[United Energy]],OP_Rates_RES_1[[#Headers],[Ausnet]:[United Energy]],0))*DiY)+
(IFERROR((INDEX(OP_Rates_RES_1[[Ausnet]:[United Energy]],MATCH("Block 1",OP_Rates_RES_1[Rate name],0),MATCH(CostStackCalcs_RES_1[[#Headers],[United Energy]],OP_Rates_RES_1[[#Headers],[Ausnet]:[United Energy]],0))*$D$50),0)+
IFERROR((INDEX(OP_Rates_RES_1[[Ausnet]:[United Energy]],MATCH("Balance",OP_Rates_RES_1[Rate name],0),MATCH(CostStackCalcs_RES_1[[#Headers],[United Energy]],OP_Rates_RES_1[[#Headers],[Ausnet]:[United Energy]],0))*$D$51),0)+
IFERROR((INDEX(OP_Rates_RES_1[[Ausnet]:[United Energy]],MATCH("Single rate",OP_Rates_RES_1[Rate name],0),MATCH(CostStackCalcs_RES_1[[#Headers],[United Energy]],OP_Rates_RES_1[[#Headers],[Ausnet]:[United Energy]],0))*$D$48),0))
+
(IFERROR((INDEX(OP_RatesTU_RES_1[[Ausnet]:[United Energy]],MATCH("Block 1",OP_RatesTU_RES_1[Rate name],0),MATCH(CostStackCalcs_RES_1[[#Headers],[United Energy]],OP_RatesTU_RES_1[[#Headers],[Ausnet]:[United Energy]],0))*($D$50)),0)+
IFERROR((INDEX(OP_RatesTU_RES_1[[Ausnet]:[United Energy]],MATCH("Balance",OP_RatesTU_RES_1[Rate name],0),MATCH(CostStackCalcs_RES_1[[#Headers],[United Energy]],OP_RatesTU_RES_1[[#Headers],[Ausnet]:[United Energy]],0))*($D$51)),0)+
IFERROR((INDEX(OP_RatesTU_RES_1[[Ausnet]:[United Energy]],MATCH("Single rate",OP_RatesTU_RES_1[Rate name],0),MATCH(CostStackCalcs_RES_1[[#Headers],[United Energy]],OP_RatesTU_RES_1[[#Headers],[Ausnet]:[United Energy]],0))*($D$48)),0)),0),
ROUNDUP(
(INDEX(OP_Rates_SME_1[[Ausnet]:[United Energy]],MATCH("Anytime - supply",OP_Rates_SME_1[Rate name],0),MATCH(CostStackCalcs_SME_1[[#Headers],[United Energy]],OP_Rates_SME_1[[#Headers],[Ausnet]:[United Energy]],0))*DiY)+
(IFERROR((INDEX(OP_Rates_SME_1[[Ausnet]:[United Energy]],MATCH("Block 1",OP_Rates_SME_1[Rate name],0),MATCH(CostStackCalcs_SME_1[[#Headers],[United Energy]],OP_Rates_SME_1[[#Headers],[Ausnet]:[United Energy]],0))*$D$50),0)+
IFERROR((INDEX(OP_Rates_SME_1[[Ausnet]:[United Energy]],MATCH("Balance",OP_Rates_SME_1[Rate name],0),MATCH(CostStackCalcs_SME_1[[#Headers],[United Energy]],OP_Rates_SME_1[[#Headers],[Ausnet]:[United Energy]],0))*$D$51),0)+
IFERROR((INDEX(OP_Rates_SME_1[[Ausnet]:[United Energy]],MATCH("Single rate",OP_Rates_SME_1[Rate name],0),MATCH(CostStackCalcs_SME_1[[#Headers],[United Energy]],OP_Rates_SME_1[[#Headers],[Ausnet]:[United Energy]],0))*$D$48),0))
+
(IFERROR((INDEX(OP_RatesTU_SME_1[[Ausnet]:[United Energy]],MATCH("Block 1",OP_RatesTU_SME_1[Rate name],0),MATCH(CostStackCalcs_SME_1[[#Headers],[United Energy]],OP_RatesTU_SME_1[[#Headers],[Ausnet]:[United Energy]],0))*($D$50)),0)+
IFERROR((INDEX(OP_RatesTU_SME_1[[Ausnet]:[United Energy]],MATCH("Balance",OP_RatesTU_SME_1[Rate name],0),MATCH(CostStackCalcs_SME_1[[#Headers],[United Energy]],OP_RatesTU_SME_1[[#Headers],[Ausnet]:[United Energy]],0))*($D$51)),0)+
IFERROR((INDEX(OP_RatesTU_SME_1[[Ausnet]:[United Energy]],MATCH("Single rate",OP_RatesTU_SME_1[Rate name],0),MATCH(CostStackCalcs_SME_1[[#Headers],[United Energy]],OP_RatesTU_SME_1[[#Headers],[Ausnet]:[United Energy]],0))*($D$48)),0)),0))</f>
        <v>5953</v>
      </c>
      <c r="I66" s="74">
        <f>AVERAGE(D66:H66)</f>
        <v>6569.2</v>
      </c>
      <c r="K66" s="14" t="s">
        <v>517</v>
      </c>
      <c r="L66" s="74">
        <f>IF($D$32="Residential",
ROUNDUP(
(INDEX(OP_Rates_RES_2[[Ausnet]:[United Energy]],MATCH("Anytime - supply",OP_Rates_RES_2[Rate name],0),MATCH(CostStackCalcs_RES_2[[#Headers],[Ausnet]],OP_Rates_RES_2[[#Headers],[Ausnet]:[United Energy]],0))*DiPY)+
(IFERROR((INDEX(OP_Rates_RES_2[[Ausnet]:[United Energy]],MATCH("Block 1",OP_Rates_RES_2[Rate name],0),MATCH(CostStackCalcs_RES_2[[#Headers],[Ausnet]],OP_Rates_RES_2[[#Headers],[Ausnet]:[United Energy]],0))*$L$50),0)+
IFERROR((INDEX(OP_Rates_RES_2[[Ausnet]:[United Energy]],MATCH("Balance",OP_Rates_RES_2[Rate name],0),MATCH(CostStackCalcs_RES_2[[#Headers],[Ausnet]],OP_Rates_RES_2[[#Headers],[Ausnet]:[United Energy]],0))*$L$51),0)+
IFERROR((INDEX(OP_Rates_RES_2[[Ausnet]:[United Energy]],MATCH("Single rate",OP_Rates_RES_2[Rate name],0),MATCH(CostStackCalcs_RES_2[[#Headers],[Ausnet]],OP_Rates_RES_2[[#Headers],[Ausnet]:[United Energy]],0))*$L$48),0))
+
(IFERROR((INDEX(OP_RatesTU_RES_2[[Ausnet]:[United Energy]],MATCH("Block 1",OP_RatesTU_RES_2[Rate name],0),MATCH(CostStackCalcs_RES_2[[#Headers],[Ausnet]],OP_RatesTU_RES_2[[#Headers],[Ausnet]:[United Energy]],0))*($L$50)),0)+
IFERROR((INDEX(OP_RatesTU_RES_2[[Ausnet]:[United Energy]],MATCH("Balance",OP_RatesTU_RES_2[Rate name],0),MATCH(CostStackCalcs_RES_2[[#Headers],[Ausnet]],OP_RatesTU_RES_2[[#Headers],[Ausnet]:[United Energy]],0))*($L$51)),0)+
IFERROR((INDEX(OP_RatesTU_RES_2[[Ausnet]:[United Energy]],MATCH("Single rate",OP_RatesTU_RES_2[Rate name],0),MATCH(CostStackCalcs_RES_2[[#Headers],[Ausnet]],OP_RatesTU_RES_2[[#Headers],[Ausnet]:[United Energy]],0))*($L$48)),0)),0),ROUNDUP(
(INDEX(OP_Rates_SME_2[[Ausnet]:[United Energy]],MATCH("Anytime - supply",OP_Rates_SME_2[Rate name],0),MATCH(CostStackCalcs_SME_2[[#Headers],[Ausnet]],OP_Rates_SME_2[[#Headers],[Ausnet]:[United Energy]],0))*DiPY)+
(IFERROR((INDEX(OP_Rates_SME_2[[Ausnet]:[United Energy]],MATCH("Block 1",OP_Rates_SME_2[Rate name],0),MATCH(CostStackCalcs_SME_2[[#Headers],[Ausnet]],OP_Rates_SME_2[[#Headers],[Ausnet]:[United Energy]],0))*$L$50),0)+
IFERROR((INDEX(OP_Rates_SME_2[[Ausnet]:[United Energy]],MATCH("Balance",OP_Rates_SME_2[Rate name],0),MATCH(CostStackCalcs_SME_2[[#Headers],[Ausnet]],OP_Rates_SME_2[[#Headers],[Ausnet]:[United Energy]],0))*$L$51),0)+
IFERROR((INDEX(OP_Rates_SME_2[[Ausnet]:[United Energy]],MATCH("Single rate",OP_Rates_SME_2[Rate name],0),MATCH(CostStackCalcs_SME_2[[#Headers],[Ausnet]],OP_Rates_SME_2[[#Headers],[Ausnet]:[United Energy]],0))*$L$48),0))
+
(IFERROR((INDEX(OP_RatesTU_SME_2[[Ausnet]:[United Energy]],MATCH("Block 1",OP_RatesTU_SME_2[Rate name],0),MATCH(CostStackCalcs_SME_2[[#Headers],[Ausnet]],OP_RatesTU_SME_2[[#Headers],[Ausnet]:[United Energy]],0))*($L$50)),0)+
IFERROR((INDEX(OP_RatesTU_SME_2[[Ausnet]:[United Energy]],MATCH("Balance",OP_RatesTU_SME_2[Rate name],0),MATCH(CostStackCalcs_SME_2[[#Headers],[Ausnet]],OP_RatesTU_SME_2[[#Headers],[Ausnet]:[United Energy]],0))*($L$51)),0)+
IFERROR((INDEX(OP_RatesTU_SME_2[[Ausnet]:[United Energy]],MATCH("Single rate",OP_RatesTU_SME_2[Rate name],0),MATCH(CostStackCalcs_SME_2[[#Headers],[Ausnet]],OP_RatesTU_SME_2[[#Headers],[Ausnet]:[United Energy]],0))*($L$48)),0)),0))</f>
        <v>9156</v>
      </c>
      <c r="M66" s="74">
        <f>IF($D$32="Residential",
ROUNDUP(
(INDEX(OP_Rates_RES_2[[Ausnet]:[United Energy]],MATCH("Anytime - supply",OP_Rates_RES_2[Rate name],0),MATCH(CostStackCalcs_RES_2[[#Headers],[Citipower]],OP_Rates_RES_2[[#Headers],[Ausnet]:[United Energy]],0))*DiPY)+
(IFERROR((INDEX(OP_Rates_RES_2[[Ausnet]:[United Energy]],MATCH("Block 1",OP_Rates_RES_2[Rate name],0),MATCH(CostStackCalcs_RES_2[[#Headers],[Citipower]],OP_Rates_RES_2[[#Headers],[Ausnet]:[United Energy]],0))*$L$50),0)+
IFERROR((INDEX(OP_Rates_RES_2[[Ausnet]:[United Energy]],MATCH("Balance",OP_Rates_RES_2[Rate name],0),MATCH(CostStackCalcs_RES_2[[#Headers],[Citipower]],OP_Rates_RES_2[[#Headers],[Ausnet]:[United Energy]],0))*$L$51),0)+
IFERROR((INDEX(OP_Rates_RES_2[[Ausnet]:[United Energy]],MATCH("Single rate",OP_Rates_RES_2[Rate name],0),MATCH(CostStackCalcs_RES_2[[#Headers],[Citipower]],OP_Rates_RES_2[[#Headers],[Ausnet]:[United Energy]],0))*$L$48),0))
+
(IFERROR((INDEX(OP_RatesTU_RES_2[[Ausnet]:[United Energy]],MATCH("Block 1",OP_RatesTU_RES_2[Rate name],0),MATCH(CostStackCalcs_RES_2[[#Headers],[Citipower]],OP_RatesTU_RES_2[[#Headers],[Ausnet]:[United Energy]],0))*($L$50)),0)+
IFERROR((INDEX(OP_RatesTU_RES_2[[Ausnet]:[United Energy]],MATCH("Balance",OP_RatesTU_RES_2[Rate name],0),MATCH(CostStackCalcs_RES_2[[#Headers],[Citipower]],OP_RatesTU_RES_2[[#Headers],[Ausnet]:[United Energy]],0))*($L$51)),0)+
IFERROR((INDEX(OP_RatesTU_RES_2[[Ausnet]:[United Energy]],MATCH("Single rate",OP_RatesTU_RES_2[Rate name],0),MATCH(CostStackCalcs_RES_2[[#Headers],[Citipower]],OP_RatesTU_RES_2[[#Headers],[Ausnet]:[United Energy]],0))*($L$48)),0)),0),ROUNDUP(
(INDEX(OP_Rates_SME_2[[Ausnet]:[United Energy]],MATCH("Anytime - supply",OP_Rates_SME_2[Rate name],0),MATCH(CostStackCalcs_SME_2[[#Headers],[Citipower]],OP_Rates_SME_2[[#Headers],[Ausnet]:[United Energy]],0))*DiPY)+
(IFERROR((INDEX(OP_Rates_SME_2[[Ausnet]:[United Energy]],MATCH("Block 1",OP_Rates_SME_2[Rate name],0),MATCH(CostStackCalcs_SME_2[[#Headers],[Citipower]],OP_Rates_SME_2[[#Headers],[Ausnet]:[United Energy]],0))*$L$50),0)+
IFERROR((INDEX(OP_Rates_SME_2[[Ausnet]:[United Energy]],MATCH("Balance",OP_Rates_SME_2[Rate name],0),MATCH(CostStackCalcs_SME_2[[#Headers],[Citipower]],OP_Rates_SME_2[[#Headers],[Ausnet]:[United Energy]],0))*$L$51),0)+
IFERROR((INDEX(OP_Rates_SME_2[[Ausnet]:[United Energy]],MATCH("Single rate",OP_Rates_SME_2[Rate name],0),MATCH(CostStackCalcs_SME_2[[#Headers],[Citipower]],OP_Rates_SME_2[[#Headers],[Ausnet]:[United Energy]],0))*$L$48),0))
+
(IFERROR((INDEX(OP_RatesTU_SME_2[[Ausnet]:[United Energy]],MATCH("Block 1",OP_RatesTU_SME_2[Rate name],0),MATCH(CostStackCalcs_SME_2[[#Headers],[Citipower]],OP_RatesTU_SME_2[[#Headers],[Ausnet]:[United Energy]],0))*($L$50)),0)+
IFERROR((INDEX(OP_RatesTU_SME_2[[Ausnet]:[United Energy]],MATCH("Balance",OP_RatesTU_SME_2[Rate name],0),MATCH(CostStackCalcs_SME_2[[#Headers],[Citipower]],OP_RatesTU_SME_2[[#Headers],[Ausnet]:[United Energy]],0))*($L$51)),0)+
IFERROR((INDEX(OP_RatesTU_SME_2[[Ausnet]:[United Energy]],MATCH("Single rate",OP_RatesTU_SME_2[Rate name],0),MATCH(CostStackCalcs_SME_2[[#Headers],[Citipower]],OP_RatesTU_SME_2[[#Headers],[Ausnet]:[United Energy]],0))*($L$48)),0)),0))</f>
        <v>6159</v>
      </c>
      <c r="N66" s="74">
        <f>IF($D$32="Residential",
ROUNDUP(
(INDEX(OP_Rates_RES_2[[Ausnet]:[United Energy]],MATCH("Anytime - supply",OP_Rates_RES_2[Rate name],0),MATCH(CostStackCalcs_RES_2[[#Headers],[Jemena]],OP_Rates_RES_2[[#Headers],[Ausnet]:[United Energy]],0))*DiPY)+
(IFERROR((INDEX(OP_Rates_RES_2[[Ausnet]:[United Energy]],MATCH("Block 1",OP_Rates_RES_2[Rate name],0),MATCH(CostStackCalcs_RES_2[[#Headers],[Jemena]],OP_Rates_RES_2[[#Headers],[Ausnet]:[United Energy]],0))*$L$50),0)+
IFERROR((INDEX(OP_Rates_RES_2[[Ausnet]:[United Energy]],MATCH("Balance",OP_Rates_RES_2[Rate name],0),MATCH(CostStackCalcs_RES_2[[#Headers],[Jemena]],OP_Rates_RES_2[[#Headers],[Ausnet]:[United Energy]],0))*$L$51),0)+
IFERROR((INDEX(OP_Rates_RES_2[[Ausnet]:[United Energy]],MATCH("Single rate",OP_Rates_RES_2[Rate name],0),MATCH(CostStackCalcs_RES_2[[#Headers],[Jemena]],OP_Rates_RES_2[[#Headers],[Ausnet]:[United Energy]],0))*$L$48),0))
+
(IFERROR((INDEX(OP_RatesTU_RES_2[[Ausnet]:[United Energy]],MATCH("Block 1",OP_RatesTU_RES_2[Rate name],0),MATCH(CostStackCalcs_RES_2[[#Headers],[Jemena]],OP_RatesTU_RES_2[[#Headers],[Ausnet]:[United Energy]],0))*($L$50)),0)+
IFERROR((INDEX(OP_RatesTU_RES_2[[Ausnet]:[United Energy]],MATCH("Balance",OP_RatesTU_RES_2[Rate name],0),MATCH(CostStackCalcs_RES_2[[#Headers],[Jemena]],OP_RatesTU_RES_2[[#Headers],[Ausnet]:[United Energy]],0))*($L$51)),0)+
IFERROR((INDEX(OP_RatesTU_RES_2[[Ausnet]:[United Energy]],MATCH("Single rate",OP_RatesTU_RES_2[Rate name],0),MATCH(CostStackCalcs_RES_2[[#Headers],[Jemena]],OP_RatesTU_RES_2[[#Headers],[Ausnet]:[United Energy]],0))*($L$48)),0)),0),ROUNDUP(
(INDEX(OP_Rates_SME_2[[Ausnet]:[United Energy]],MATCH("Anytime - supply",OP_Rates_SME_2[Rate name],0),MATCH(CostStackCalcs_SME_2[[#Headers],[Jemena]],OP_Rates_SME_2[[#Headers],[Ausnet]:[United Energy]],0))*DiPY)+
(IFERROR((INDEX(OP_Rates_SME_2[[Ausnet]:[United Energy]],MATCH("Block 1",OP_Rates_SME_2[Rate name],0),MATCH(CostStackCalcs_SME_2[[#Headers],[Jemena]],OP_Rates_SME_2[[#Headers],[Ausnet]:[United Energy]],0))*$L$50),0)+
IFERROR((INDEX(OP_Rates_SME_2[[Ausnet]:[United Energy]],MATCH("Balance",OP_Rates_SME_2[Rate name],0),MATCH(CostStackCalcs_SME_2[[#Headers],[Jemena]],OP_Rates_SME_2[[#Headers],[Ausnet]:[United Energy]],0))*$L$51),0)+
IFERROR((INDEX(OP_Rates_SME_2[[Ausnet]:[United Energy]],MATCH("Single rate",OP_Rates_SME_2[Rate name],0),MATCH(CostStackCalcs_SME_2[[#Headers],[Jemena]],OP_Rates_SME_2[[#Headers],[Ausnet]:[United Energy]],0))*$L$48),0))
+
(IFERROR((INDEX(OP_RatesTU_SME_2[[Ausnet]:[United Energy]],MATCH("Block 1",OP_RatesTU_SME_2[Rate name],0),MATCH(CostStackCalcs_SME_2[[#Headers],[Jemena]],OP_RatesTU_SME_2[[#Headers],[Ausnet]:[United Energy]],0))*($L$50)),0)+
IFERROR((INDEX(OP_RatesTU_SME_2[[Ausnet]:[United Energy]],MATCH("Balance",OP_RatesTU_SME_2[Rate name],0),MATCH(CostStackCalcs_SME_2[[#Headers],[Jemena]],OP_RatesTU_SME_2[[#Headers],[Ausnet]:[United Energy]],0))*($L$51)),0)+
IFERROR((INDEX(OP_RatesTU_SME_2[[Ausnet]:[United Energy]],MATCH("Single rate",OP_RatesTU_SME_2[Rate name],0),MATCH(CostStackCalcs_SME_2[[#Headers],[Jemena]],OP_RatesTU_SME_2[[#Headers],[Ausnet]:[United Energy]],0))*($L$48)),0)),0))</f>
        <v>7093</v>
      </c>
      <c r="O66" s="74">
        <f>IF($D$32="Residential",
ROUNDUP(
(INDEX(OP_Rates_RES_2[[Ausnet]:[United Energy]],MATCH("Anytime - supply",OP_Rates_RES_2[Rate name],0),MATCH(CostStackCalcs_RES_2[[#Headers],[Powercor]],OP_Rates_RES_2[[#Headers],[Ausnet]:[United Energy]],0))*DiPY)+
(IFERROR((INDEX(OP_Rates_RES_2[[Ausnet]:[United Energy]],MATCH("Block 1",OP_Rates_RES_2[Rate name],0),MATCH(CostStackCalcs_RES_2[[#Headers],[Powercor]],OP_Rates_RES_2[[#Headers],[Ausnet]:[United Energy]],0))*$L$50),0)+
IFERROR((INDEX(OP_Rates_RES_2[[Ausnet]:[United Energy]],MATCH("Balance",OP_Rates_RES_2[Rate name],0),MATCH(CostStackCalcs_RES_2[[#Headers],[Powercor]],OP_Rates_RES_2[[#Headers],[Ausnet]:[United Energy]],0))*$L$51),0)+
IFERROR((INDEX(OP_Rates_RES_2[[Ausnet]:[United Energy]],MATCH("Single rate",OP_Rates_RES_2[Rate name],0),MATCH(CostStackCalcs_RES_2[[#Headers],[Powercor]],OP_Rates_RES_2[[#Headers],[Ausnet]:[United Energy]],0))*$L$48),0))
+
(IFERROR((INDEX(OP_RatesTU_RES_2[[Ausnet]:[United Energy]],MATCH("Block 1",OP_RatesTU_RES_2[Rate name],0),MATCH(CostStackCalcs_RES_2[[#Headers],[Powercor]],OP_RatesTU_RES_2[[#Headers],[Ausnet]:[United Energy]],0))*($L$50)),0)+
IFERROR((INDEX(OP_RatesTU_RES_2[[Ausnet]:[United Energy]],MATCH("Balance",OP_RatesTU_RES_2[Rate name],0),MATCH(CostStackCalcs_RES_2[[#Headers],[Powercor]],OP_RatesTU_RES_2[[#Headers],[Ausnet]:[United Energy]],0))*($L$51)),0)+
IFERROR((INDEX(OP_RatesTU_RES_2[[Ausnet]:[United Energy]],MATCH("Single rate",OP_RatesTU_RES_2[Rate name],0),MATCH(CostStackCalcs_RES_2[[#Headers],[Powercor]],OP_RatesTU_RES_2[[#Headers],[Ausnet]:[United Energy]],0))*($L$48)),0)),0),ROUNDUP(
(INDEX(OP_Rates_SME_2[[Ausnet]:[United Energy]],MATCH("Anytime - supply",OP_Rates_SME_2[Rate name],0),MATCH(CostStackCalcs_SME_2[[#Headers],[Powercor]],OP_Rates_SME_2[[#Headers],[Ausnet]:[United Energy]],0))*DiPY)+
(IFERROR((INDEX(OP_Rates_SME_2[[Ausnet]:[United Energy]],MATCH("Block 1",OP_Rates_SME_2[Rate name],0),MATCH(CostStackCalcs_SME_2[[#Headers],[Powercor]],OP_Rates_SME_2[[#Headers],[Ausnet]:[United Energy]],0))*$L$50),0)+
IFERROR((INDEX(OP_Rates_SME_2[[Ausnet]:[United Energy]],MATCH("Balance",OP_Rates_SME_2[Rate name],0),MATCH(CostStackCalcs_SME_2[[#Headers],[Powercor]],OP_Rates_SME_2[[#Headers],[Ausnet]:[United Energy]],0))*$L$51),0)+
IFERROR((INDEX(OP_Rates_SME_2[[Ausnet]:[United Energy]],MATCH("Single rate",OP_Rates_SME_2[Rate name],0),MATCH(CostStackCalcs_SME_2[[#Headers],[Powercor]],OP_Rates_SME_2[[#Headers],[Ausnet]:[United Energy]],0))*$L$48),0))
+
(IFERROR((INDEX(OP_RatesTU_SME_2[[Ausnet]:[United Energy]],MATCH("Block 1",OP_RatesTU_SME_2[Rate name],0),MATCH(CostStackCalcs_SME_2[[#Headers],[Powercor]],OP_RatesTU_SME_2[[#Headers],[Ausnet]:[United Energy]],0))*($L$50)),0)+
IFERROR((INDEX(OP_RatesTU_SME_2[[Ausnet]:[United Energy]],MATCH("Balance",OP_RatesTU_SME_2[Rate name],0),MATCH(CostStackCalcs_SME_2[[#Headers],[Powercor]],OP_RatesTU_SME_2[[#Headers],[Ausnet]:[United Energy]],0))*($L$51)),0)+
IFERROR((INDEX(OP_RatesTU_SME_2[[Ausnet]:[United Energy]],MATCH("Single rate",OP_RatesTU_SME_2[Rate name],0),MATCH(CostStackCalcs_SME_2[[#Headers],[Powercor]],OP_RatesTU_SME_2[[#Headers],[Ausnet]:[United Energy]],0))*($L$48)),0)),0))</f>
        <v>6646</v>
      </c>
      <c r="P66" s="74">
        <f>IF($D$32="Residential",
ROUNDUP(
(INDEX(OP_Rates_RES_2[[Ausnet]:[United Energy]],MATCH("Anytime - supply",OP_Rates_RES_2[Rate name],0),MATCH(CostStackCalcs_RES_2[[#Headers],[United Energy]],OP_Rates_RES_2[[#Headers],[Ausnet]:[United Energy]],0))*DiPY)+
(IFERROR((INDEX(OP_Rates_RES_2[[Ausnet]:[United Energy]],MATCH("Block 1",OP_Rates_RES_2[Rate name],0),MATCH(CostStackCalcs_RES_2[[#Headers],[United Energy]],OP_Rates_RES_2[[#Headers],[Ausnet]:[United Energy]],0))*$L$50),0)+
IFERROR((INDEX(OP_Rates_RES_2[[Ausnet]:[United Energy]],MATCH("Balance",OP_Rates_RES_2[Rate name],0),MATCH(CostStackCalcs_RES_2[[#Headers],[United Energy]],OP_Rates_RES_2[[#Headers],[Ausnet]:[United Energy]],0))*$L$51),0)+
IFERROR((INDEX(OP_Rates_RES_2[[Ausnet]:[United Energy]],MATCH("Single rate",OP_Rates_RES_2[Rate name],0),MATCH(CostStackCalcs_RES_2[[#Headers],[United Energy]],OP_Rates_RES_2[[#Headers],[Ausnet]:[United Energy]],0))*$L$48),0))
+
(IFERROR((INDEX(OP_RatesTU_RES_2[[Ausnet]:[United Energy]],MATCH("Block 1",OP_RatesTU_RES_2[Rate name],0),MATCH(CostStackCalcs_RES_2[[#Headers],[United Energy]],OP_RatesTU_RES_2[[#Headers],[Ausnet]:[United Energy]],0))*($L$50)),0)+
IFERROR((INDEX(OP_RatesTU_RES_2[[Ausnet]:[United Energy]],MATCH("Balance",OP_RatesTU_RES_2[Rate name],0),MATCH(CostStackCalcs_RES_2[[#Headers],[United Energy]],OP_RatesTU_RES_2[[#Headers],[Ausnet]:[United Energy]],0))*($L$51)),0)+
IFERROR((INDEX(OP_RatesTU_RES_2[[Ausnet]:[United Energy]],MATCH("Single rate",OP_RatesTU_RES_2[Rate name],0),MATCH(CostStackCalcs_RES_2[[#Headers],[United Energy]],OP_RatesTU_RES_2[[#Headers],[Ausnet]:[United Energy]],0))*($L$48)),0)),0),ROUNDUP(
(INDEX(OP_Rates_SME_2[[Ausnet]:[United Energy]],MATCH("Anytime - supply",OP_Rates_SME_2[Rate name],0),MATCH(CostStackCalcs_SME_2[[#Headers],[United Energy]],OP_Rates_SME_2[[#Headers],[Ausnet]:[United Energy]],0))*DiPY)+
(IFERROR((INDEX(OP_Rates_SME_2[[Ausnet]:[United Energy]],MATCH("Block 1",OP_Rates_SME_2[Rate name],0),MATCH(CostStackCalcs_SME_2[[#Headers],[United Energy]],OP_Rates_SME_2[[#Headers],[Ausnet]:[United Energy]],0))*$L$50),0)+
IFERROR((INDEX(OP_Rates_SME_2[[Ausnet]:[United Energy]],MATCH("Balance",OP_Rates_SME_2[Rate name],0),MATCH(CostStackCalcs_SME_2[[#Headers],[United Energy]],OP_Rates_SME_2[[#Headers],[Ausnet]:[United Energy]],0))*$L$51),0)+
IFERROR((INDEX(OP_Rates_SME_2[[Ausnet]:[United Energy]],MATCH("Single rate",OP_Rates_SME_2[Rate name],0),MATCH(CostStackCalcs_SME_2[[#Headers],[United Energy]],OP_Rates_SME_2[[#Headers],[Ausnet]:[United Energy]],0))*$L$48),0))
+
(IFERROR((INDEX(OP_RatesTU_SME_2[[Ausnet]:[United Energy]],MATCH("Block 1",OP_RatesTU_SME_2[Rate name],0),MATCH(CostStackCalcs_SME_2[[#Headers],[United Energy]],OP_RatesTU_SME_2[[#Headers],[Ausnet]:[United Energy]],0))*($L$50)),0)+
IFERROR((INDEX(OP_RatesTU_SME_2[[Ausnet]:[United Energy]],MATCH("Balance",OP_RatesTU_SME_2[Rate name],0),MATCH(CostStackCalcs_SME_2[[#Headers],[United Energy]],OP_RatesTU_SME_2[[#Headers],[Ausnet]:[United Energy]],0))*($L$51)),0)+
IFERROR((INDEX(OP_RatesTU_SME_2[[Ausnet]:[United Energy]],MATCH("Single rate",OP_RatesTU_SME_2[Rate name],0),MATCH(CostStackCalcs_SME_2[[#Headers],[United Energy]],OP_RatesTU_SME_2[[#Headers],[Ausnet]:[United Energy]],0))*($L$48)),0)),0))</f>
        <v>6512</v>
      </c>
      <c r="Q66" s="74">
        <f>ROUND(AVERAGE(L66:P66),0)</f>
        <v>7113</v>
      </c>
    </row>
    <row r="67" spans="3:17" outlineLevel="1" x14ac:dyDescent="0.25"/>
    <row r="68" spans="3:17" ht="15.75" outlineLevel="1" x14ac:dyDescent="0.25">
      <c r="C68" s="77" t="s">
        <v>16</v>
      </c>
      <c r="D68" s="67">
        <f t="shared" ref="D68:I68" si="6">IF(AND(D66-D64&lt;=1,D66-D64&gt;=-1),0,1)</f>
        <v>0</v>
      </c>
      <c r="E68" s="67">
        <f t="shared" si="6"/>
        <v>0</v>
      </c>
      <c r="F68" s="67">
        <f t="shared" si="6"/>
        <v>0</v>
      </c>
      <c r="G68" s="67">
        <f t="shared" si="6"/>
        <v>0</v>
      </c>
      <c r="H68" s="67">
        <f t="shared" si="6"/>
        <v>0</v>
      </c>
      <c r="I68" s="67">
        <f t="shared" si="6"/>
        <v>0</v>
      </c>
      <c r="K68" s="77" t="s">
        <v>16</v>
      </c>
      <c r="L68" s="67">
        <f t="shared" ref="L68:Q68" si="7">IF(AND(L66-L64&lt;=1,L66-L64&gt;=-1),0,1)</f>
        <v>0</v>
      </c>
      <c r="M68" s="67">
        <f t="shared" si="7"/>
        <v>0</v>
      </c>
      <c r="N68" s="67">
        <f t="shared" si="7"/>
        <v>0</v>
      </c>
      <c r="O68" s="67">
        <f t="shared" si="7"/>
        <v>0</v>
      </c>
      <c r="P68" s="67">
        <f t="shared" si="7"/>
        <v>0</v>
      </c>
      <c r="Q68" s="67">
        <f t="shared" si="7"/>
        <v>0</v>
      </c>
    </row>
    <row r="69" spans="3:17" outlineLevel="1" x14ac:dyDescent="0.25"/>
    <row r="70" spans="3:17" ht="15.75" outlineLevel="1" x14ac:dyDescent="0.25">
      <c r="C70" s="29" t="s">
        <v>263</v>
      </c>
      <c r="D70" s="182">
        <f>INDEX(Input_ForRateCalc[],MATCH($C70,Input_ForRateCalc[[Cost item]:[Cost item]],0),MATCH($D$45,Inputs!$C$15:$AZ$15,0))</f>
        <v>5.6000000000000001E-2</v>
      </c>
      <c r="E70" s="182">
        <f>INDEX(Input_ForRateCalc[],MATCH($C70,Input_ForRateCalc[[Cost item]:[Cost item]],0),MATCH($D$45,Inputs!$C$15:$AZ$15,0))</f>
        <v>5.6000000000000001E-2</v>
      </c>
      <c r="F70" s="182">
        <f>INDEX(Input_ForRateCalc[],MATCH($C70,Input_ForRateCalc[[Cost item]:[Cost item]],0),MATCH($D$45,Inputs!$C$15:$AZ$15,0))</f>
        <v>5.6000000000000001E-2</v>
      </c>
      <c r="G70" s="182">
        <f>INDEX(Input_ForRateCalc[],MATCH($C70,Input_ForRateCalc[[Cost item]:[Cost item]],0),MATCH($D$45,Inputs!$C$15:$AZ$15,0))</f>
        <v>5.6000000000000001E-2</v>
      </c>
      <c r="H70" s="182">
        <f>INDEX(Input_ForRateCalc[],MATCH($C70,Input_ForRateCalc[[Cost item]:[Cost item]],0),MATCH($D$45,Inputs!$C$15:$AZ$15,0))</f>
        <v>5.6000000000000001E-2</v>
      </c>
      <c r="K70" s="29" t="s">
        <v>263</v>
      </c>
      <c r="L70" s="71">
        <f>INDEX(Input_ForRateCalc[],MATCH($K70,Input_ForRateCalc[[Cost item]:[Cost item]],0),MATCH($L$45,Inputs!$C$15:$AZ$15,0))</f>
        <v>5.6000000000000001E-2</v>
      </c>
      <c r="M70" s="71">
        <f>INDEX(Input_ForRateCalc[],MATCH($K70,Input_ForRateCalc[[Cost item]:[Cost item]],0),MATCH($L$45,Inputs!$C$15:$AZ$15,0))</f>
        <v>5.6000000000000001E-2</v>
      </c>
      <c r="N70" s="71">
        <f>INDEX(Input_ForRateCalc[],MATCH($K70,Input_ForRateCalc[[Cost item]:[Cost item]],0),MATCH($L$45,Inputs!$C$15:$AZ$15,0))</f>
        <v>5.6000000000000001E-2</v>
      </c>
      <c r="O70" s="71">
        <f>INDEX(Input_ForRateCalc[],MATCH($K70,Input_ForRateCalc[[Cost item]:[Cost item]],0),MATCH($L$45,Inputs!$C$15:$AZ$15,0))</f>
        <v>5.6000000000000001E-2</v>
      </c>
      <c r="P70" s="71">
        <f>INDEX(Input_ForRateCalc[],MATCH($K70,Input_ForRateCalc[[Cost item]:[Cost item]],0),MATCH($L$45,Inputs!$C$15:$AZ$15,0))</f>
        <v>5.6000000000000001E-2</v>
      </c>
    </row>
    <row r="71" spans="3:17" outlineLevel="1" x14ac:dyDescent="0.25">
      <c r="D71" s="84"/>
      <c r="E71" s="84"/>
      <c r="F71" s="84"/>
      <c r="G71" s="84"/>
      <c r="H71" s="84"/>
    </row>
    <row r="72" spans="3:17" ht="15.75" outlineLevel="1" x14ac:dyDescent="0.25">
      <c r="C72" s="29" t="s">
        <v>372</v>
      </c>
      <c r="D72" s="182">
        <f>INDEX(Calc_Losses_1[[Ausnet]:[United Energy]],MATCH("Total loss factor",Calc_Losses_1[Cost item],0),MATCH(D$54,Calc_Losses_1[[#Headers],[Ausnet]:[United Energy]],0))</f>
        <v>7.9520016025126816E-2</v>
      </c>
      <c r="E72" s="182">
        <f>INDEX(Calc_Losses_1[[Ausnet]:[United Energy]],MATCH("Total loss factor",Calc_Losses_1[Cost item],0),MATCH(E$54,Calc_Losses_1[[#Headers],[Ausnet]:[United Energy]],0))</f>
        <v>4.3222622000000044E-2</v>
      </c>
      <c r="F72" s="182">
        <f>INDEX(Calc_Losses_1[[Ausnet]:[United Energy]],MATCH("Total loss factor",Calc_Losses_1[Cost item],0),MATCH(F$54,Calc_Losses_1[[#Headers],[Ausnet]:[United Energy]],0))</f>
        <v>4.7794459999999983E-2</v>
      </c>
      <c r="G72" s="182">
        <f>INDEX(Calc_Losses_1[[Ausnet]:[United Energy]],MATCH("Total loss factor",Calc_Losses_1[Cost item],0),MATCH(G$54,Calc_Losses_1[[#Headers],[Ausnet]:[United Energy]],0))</f>
        <v>6.5003673442893595E-2</v>
      </c>
      <c r="H72" s="182">
        <f>INDEX(Calc_Losses_1[[Ausnet]:[United Energy]],MATCH("Total loss factor",Calc_Losses_1[Cost item],0),MATCH(H$54,Calc_Losses_1[[#Headers],[Ausnet]:[United Energy]],0))</f>
        <v>4.4483242727272776E-2</v>
      </c>
      <c r="K72" s="29" t="s">
        <v>372</v>
      </c>
      <c r="L72" s="182">
        <f>INDEX(Calc_Losses_2[[Ausnet]:[United Energy]],MATCH("Total loss factor",Calc_Losses_2[Cost item],0),MATCH(L$54,Calc_Losses_2[[#Headers],[Ausnet]:[United Energy]],0))</f>
        <v>8.5419688344982481E-2</v>
      </c>
      <c r="M72" s="182">
        <f>INDEX(Calc_Losses_2[[Ausnet]:[United Energy]],MATCH("Total loss factor",Calc_Losses_2[Cost item],0),MATCH(M$54,Calc_Losses_2[[#Headers],[Ausnet]:[United Energy]],0))</f>
        <v>4.4989549999999934E-2</v>
      </c>
      <c r="N72" s="182">
        <f>INDEX(Calc_Losses_2[[Ausnet]:[United Energy]],MATCH("Total loss factor",Calc_Losses_2[Cost item],0),MATCH(N$54,Calc_Losses_2[[#Headers],[Ausnet]:[United Energy]],0))</f>
        <v>4.5352937499999912E-2</v>
      </c>
      <c r="O72" s="182">
        <f>INDEX(Calc_Losses_2[[Ausnet]:[United Energy]],MATCH("Total loss factor",Calc_Losses_2[Cost item],0),MATCH(O$54,Calc_Losses_2[[#Headers],[Ausnet]:[United Energy]],0))</f>
        <v>7.1431145265919538E-2</v>
      </c>
      <c r="P72" s="182">
        <f>INDEX(Calc_Losses_2[[Ausnet]:[United Energy]],MATCH("Total loss factor",Calc_Losses_2[Cost item],0),MATCH(P$54,Calc_Losses_2[[#Headers],[Ausnet]:[United Energy]],0))</f>
        <v>4.6946740000000098E-2</v>
      </c>
    </row>
    <row r="73" spans="3:17" outlineLevel="1" x14ac:dyDescent="0.25"/>
    <row r="74" spans="3:17" ht="15.75" outlineLevel="1" x14ac:dyDescent="0.25">
      <c r="C74" s="20" t="s">
        <v>526</v>
      </c>
      <c r="K74" s="20" t="s">
        <v>526</v>
      </c>
    </row>
    <row r="75" spans="3:17" ht="15.75" outlineLevel="1" x14ac:dyDescent="0.25">
      <c r="C75" s="29" t="s">
        <v>527</v>
      </c>
      <c r="D75" s="181">
        <f>SUM(Calc_Retail_1[Ausnet])</f>
        <v>185.86772433721131</v>
      </c>
      <c r="E75" s="181">
        <f>SUM(Calc_Retail_1[Citipower])</f>
        <v>185.86772433721131</v>
      </c>
      <c r="F75" s="181">
        <f>SUM(Calc_Retail_1[Jemena])</f>
        <v>185.86772433721131</v>
      </c>
      <c r="G75" s="181">
        <f>SUM(Calc_Retail_1[Powercor])</f>
        <v>185.86772433721131</v>
      </c>
      <c r="H75" s="181">
        <f>SUM(Calc_Retail_1[United Energy])</f>
        <v>185.86772433721131</v>
      </c>
      <c r="K75" s="29" t="s">
        <v>527</v>
      </c>
      <c r="L75" s="181">
        <f>SUM(Calc_Retail_2[Ausnet])</f>
        <v>175.92415101117138</v>
      </c>
      <c r="M75" s="181">
        <f>SUM(Calc_Retail_2[Citipower])</f>
        <v>175.92415101117138</v>
      </c>
      <c r="N75" s="181">
        <f>SUM(Calc_Retail_2[Jemena])</f>
        <v>175.92415101117138</v>
      </c>
      <c r="O75" s="181">
        <f>SUM(Calc_Retail_2[Powercor])</f>
        <v>175.92415101117138</v>
      </c>
      <c r="P75" s="181">
        <f>SUM(Calc_Retail_2[United Energy])</f>
        <v>175.92415101117138</v>
      </c>
    </row>
    <row r="76" spans="3:17" outlineLevel="1" x14ac:dyDescent="0.25">
      <c r="D76" s="178"/>
      <c r="E76" s="178"/>
      <c r="F76" s="178"/>
      <c r="G76" s="178"/>
      <c r="H76" s="178"/>
      <c r="L76" s="178"/>
      <c r="M76" s="178"/>
      <c r="N76" s="178"/>
      <c r="O76" s="178"/>
      <c r="P76" s="178"/>
    </row>
    <row r="77" spans="3:17" ht="15.75" outlineLevel="1" x14ac:dyDescent="0.25">
      <c r="C77" s="29" t="s">
        <v>528</v>
      </c>
      <c r="D77" s="181">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219.66849011598811</v>
      </c>
      <c r="E77" s="181">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226.85014224641867</v>
      </c>
      <c r="F77" s="181">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241.70114457779835</v>
      </c>
      <c r="G77" s="181">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258.62550924858039</v>
      </c>
      <c r="H77" s="181">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204.29101052193329</v>
      </c>
      <c r="K77" s="29" t="s">
        <v>528</v>
      </c>
      <c r="L77" s="181">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213.97054227419011</v>
      </c>
      <c r="M77" s="181">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219.75989568695607</v>
      </c>
      <c r="N77" s="181">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207.87034275504374</v>
      </c>
      <c r="O77" s="181">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246.23715510552023</v>
      </c>
      <c r="P77" s="181">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187.32328763194758</v>
      </c>
    </row>
    <row r="78" spans="3:17" outlineLevel="1" x14ac:dyDescent="0.25">
      <c r="D78" s="178"/>
      <c r="E78" s="178"/>
      <c r="F78" s="178"/>
      <c r="G78" s="178"/>
      <c r="H78" s="178"/>
      <c r="L78" s="178"/>
      <c r="M78" s="178"/>
      <c r="N78" s="178"/>
      <c r="O78" s="178"/>
      <c r="P78" s="178"/>
    </row>
    <row r="79" spans="3:17" ht="15.75" outlineLevel="1" x14ac:dyDescent="0.25">
      <c r="C79" s="29" t="s">
        <v>147</v>
      </c>
      <c r="D79" s="181">
        <f>SUMIFS(Calc_OtherCosts_1[Ausnet],Calc_OtherCosts_1[[Fixed/Variable]:[Fixed/Variable]],"Fixed")</f>
        <v>14.076594479806786</v>
      </c>
      <c r="E79" s="181">
        <f>SUMIFS(Calc_OtherCosts_1[Citipower],Calc_OtherCosts_1[[Fixed/Variable]:[Fixed/Variable]],"Fixed")</f>
        <v>14.076594479806786</v>
      </c>
      <c r="F79" s="181">
        <f>SUMIFS(Calc_OtherCosts_1[Jemena],Calc_OtherCosts_1[[Fixed/Variable]:[Fixed/Variable]],"Fixed")</f>
        <v>14.076594479806786</v>
      </c>
      <c r="G79" s="181">
        <f>SUMIFS(Calc_OtherCosts_1[Powercor],Calc_OtherCosts_1[[Fixed/Variable]:[Fixed/Variable]],"Fixed")</f>
        <v>14.076594479806786</v>
      </c>
      <c r="H79" s="181">
        <f>SUMIFS(Calc_OtherCosts_1[United Energy],Calc_OtherCosts_1[[Fixed/Variable]:[Fixed/Variable]],"Fixed")</f>
        <v>14.076594479806786</v>
      </c>
      <c r="K79" s="29" t="s">
        <v>147</v>
      </c>
      <c r="L79" s="181">
        <f>SUMIFS(Calc_OtherCosts_2[Ausnet],Calc_OtherCosts_2[[Fixed/Variable]:[Fixed/Variable]],"Fixed")</f>
        <v>10.663924892904003</v>
      </c>
      <c r="M79" s="181">
        <f>SUMIFS(Calc_OtherCosts_2[Citipower],Calc_OtherCosts_2[[Fixed/Variable]:[Fixed/Variable]],"Fixed")</f>
        <v>10.663924892904003</v>
      </c>
      <c r="N79" s="181">
        <f>SUMIFS(Calc_OtherCosts_2[Jemena],Calc_OtherCosts_2[[Fixed/Variable]:[Fixed/Variable]],"Fixed")</f>
        <v>10.663924892904003</v>
      </c>
      <c r="O79" s="181">
        <f>SUMIFS(Calc_OtherCosts_2[Powercor],Calc_OtherCosts_2[[Fixed/Variable]:[Fixed/Variable]],"Fixed")</f>
        <v>10.663924892904003</v>
      </c>
      <c r="P79" s="181">
        <f>SUMIFS(Calc_OtherCosts_2[United Energy],Calc_OtherCosts_2[[Fixed/Variable]:[Fixed/Variable]],"Fixed")</f>
        <v>10.663924892904003</v>
      </c>
    </row>
    <row r="80" spans="3:17" outlineLevel="1" x14ac:dyDescent="0.25">
      <c r="L80" s="178"/>
      <c r="M80" s="178"/>
      <c r="N80" s="178"/>
      <c r="O80" s="178"/>
      <c r="P80" s="178"/>
    </row>
    <row r="81" spans="2:16" s="172" customFormat="1" ht="15.75" outlineLevel="1" x14ac:dyDescent="0.25">
      <c r="B81" s="171"/>
      <c r="C81"/>
      <c r="D81"/>
      <c r="E81"/>
      <c r="F81"/>
      <c r="G81"/>
      <c r="H81"/>
      <c r="K81" s="29" t="s">
        <v>529</v>
      </c>
      <c r="L81" s="181">
        <f>INDEX(Calc_FiT_2[[Ausnet]:[United Energy]],1,MATCH(L$54,Calc_FiT_2[[#Headers],[Ausnet]:[United Energy]],0))</f>
        <v>16.945572514842485</v>
      </c>
      <c r="M81" s="181">
        <f>INDEX(Calc_FiT_2[[Ausnet]:[United Energy]],1,MATCH(M$54,Calc_FiT_2[[#Headers],[Ausnet]:[United Energy]],0))</f>
        <v>16.945572514842485</v>
      </c>
      <c r="N81" s="181">
        <f>INDEX(Calc_FiT_2[[Ausnet]:[United Energy]],1,MATCH(N$54,Calc_FiT_2[[#Headers],[Ausnet]:[United Energy]],0))</f>
        <v>16.945572514842485</v>
      </c>
      <c r="O81" s="181">
        <f>INDEX(Calc_FiT_2[[Ausnet]:[United Energy]],1,MATCH(O$54,Calc_FiT_2[[#Headers],[Ausnet]:[United Energy]],0))</f>
        <v>16.945572514842485</v>
      </c>
      <c r="P81" s="181">
        <f>INDEX(Calc_FiT_2[[Ausnet]:[United Energy]],1,MATCH(P$54,Calc_FiT_2[[#Headers],[Ausnet]:[United Energy]],0))</f>
        <v>16.945572514842485</v>
      </c>
    </row>
    <row r="82" spans="2:16" outlineLevel="1" x14ac:dyDescent="0.25"/>
    <row r="83" spans="2:16" ht="15.75" outlineLevel="1" x14ac:dyDescent="0.25">
      <c r="C83" s="20" t="s">
        <v>530</v>
      </c>
      <c r="K83" s="20" t="s">
        <v>530</v>
      </c>
    </row>
    <row r="84" spans="2:16" ht="15.75" outlineLevel="1" x14ac:dyDescent="0.25">
      <c r="C84" s="29" t="s">
        <v>89</v>
      </c>
      <c r="D84" s="72">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2.9804443936933628E-2</v>
      </c>
      <c r="E84" s="72">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2.9804443936933628E-2</v>
      </c>
      <c r="F84" s="72">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2.9804443936933628E-2</v>
      </c>
      <c r="G84" s="72">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2.9804443936933628E-2</v>
      </c>
      <c r="H84" s="72">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2.9804443936933628E-2</v>
      </c>
      <c r="K84" s="29" t="s">
        <v>89</v>
      </c>
      <c r="L84" s="72">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2.843221042152444E-2</v>
      </c>
      <c r="M84" s="72">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2.843221042152444E-2</v>
      </c>
      <c r="N84" s="72">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2.843221042152444E-2</v>
      </c>
      <c r="O84" s="72">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2.843221042152444E-2</v>
      </c>
      <c r="P84" s="72">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2.843221042152444E-2</v>
      </c>
    </row>
    <row r="85" spans="2:16" outlineLevel="1" x14ac:dyDescent="0.25"/>
    <row r="86" spans="2:16" ht="15.75" outlineLevel="1" x14ac:dyDescent="0.25">
      <c r="C86" s="29" t="s">
        <v>182</v>
      </c>
      <c r="D86" s="72">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9.4159999999999994E-2</v>
      </c>
      <c r="E86" s="72">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8.9980000000000004E-2</v>
      </c>
      <c r="F86" s="72">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9.5290000000000014E-2</v>
      </c>
      <c r="G86" s="72">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9.3470000000000011E-2</v>
      </c>
      <c r="H86" s="72">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9.4520000000000007E-2</v>
      </c>
      <c r="K86" s="29" t="s">
        <v>182</v>
      </c>
      <c r="L86" s="72">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0.12856302089613503</v>
      </c>
      <c r="M86" s="72">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0.12648439961732669</v>
      </c>
      <c r="N86" s="72">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0.13021020918052265</v>
      </c>
      <c r="O86" s="72">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0.12548093617538489</v>
      </c>
      <c r="P86" s="72">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0.13037554287242703</v>
      </c>
    </row>
    <row r="87" spans="2:16" outlineLevel="1" x14ac:dyDescent="0.25"/>
    <row r="88" spans="2:16" s="172" customFormat="1" ht="15.75" outlineLevel="1" x14ac:dyDescent="0.25">
      <c r="B88" s="171"/>
      <c r="C88" s="29" t="s">
        <v>147</v>
      </c>
      <c r="D88" s="72">
        <f>SUMIFS(Calc_OtherCosts_1[Ausnet],Calc_OtherCosts_1[[Fixed/Variable]:[Fixed/Variable]],"Variable")</f>
        <v>1.0095610249207163E-3</v>
      </c>
      <c r="E88" s="72">
        <f>SUMIFS(Calc_OtherCosts_1[Citipower],Calc_OtherCosts_1[[Fixed/Variable]:[Fixed/Variable]],"Variable")</f>
        <v>1.0095610249207163E-3</v>
      </c>
      <c r="F88" s="72">
        <f>SUMIFS(Calc_OtherCosts_1[Jemena],Calc_OtherCosts_1[[Fixed/Variable]:[Fixed/Variable]],"Variable")</f>
        <v>1.0095610249207163E-3</v>
      </c>
      <c r="G88" s="72">
        <f>SUMIFS(Calc_OtherCosts_1[Powercor],Calc_OtherCosts_1[[Fixed/Variable]:[Fixed/Variable]],"Variable")</f>
        <v>1.0095610249207163E-3</v>
      </c>
      <c r="H88" s="72">
        <f>SUMIFS(Calc_OtherCosts_1[United Energy],Calc_OtherCosts_1[[Fixed/Variable]:[Fixed/Variable]],"Variable")</f>
        <v>1.0095610249207163E-3</v>
      </c>
      <c r="K88" s="29" t="s">
        <v>147</v>
      </c>
      <c r="L88" s="72">
        <f>SUMIFS(Calc_OtherCosts_2[Ausnet],Calc_OtherCosts_2[[Fixed/Variable]:[Fixed/Variable]],"Variable")</f>
        <v>1.6791732404258365E-3</v>
      </c>
      <c r="M88" s="72">
        <f>SUMIFS(Calc_OtherCosts_2[Citipower],Calc_OtherCosts_2[[Fixed/Variable]:[Fixed/Variable]],"Variable")</f>
        <v>1.6791732404258365E-3</v>
      </c>
      <c r="N88" s="72">
        <f>SUMIFS(Calc_OtherCosts_2[Jemena],Calc_OtherCosts_2[[Fixed/Variable]:[Fixed/Variable]],"Variable")</f>
        <v>1.6791732404258365E-3</v>
      </c>
      <c r="O88" s="72">
        <f>SUMIFS(Calc_OtherCosts_2[Powercor],Calc_OtherCosts_2[[Fixed/Variable]:[Fixed/Variable]],"Variable")</f>
        <v>1.6791732404258365E-3</v>
      </c>
      <c r="P88" s="72">
        <f>SUMIFS(Calc_OtherCosts_2[United Energy],Calc_OtherCosts_2[[Fixed/Variable]:[Fixed/Variable]],"Variable")</f>
        <v>1.6791732404258365E-3</v>
      </c>
    </row>
    <row r="89" spans="2:16" outlineLevel="1" x14ac:dyDescent="0.25"/>
    <row r="90" spans="2:16" ht="15.75" outlineLevel="1" x14ac:dyDescent="0.25">
      <c r="C90" s="29" t="s">
        <v>529</v>
      </c>
      <c r="D90" s="72">
        <f>INDEX(Calc_FiT_1[[Ausnet]:[United Energy]],1,MATCH(D$54,Calc_FiT_1[[#Headers],[Ausnet]:[United Energy]],0))</f>
        <v>1.5968351161074819E-3</v>
      </c>
      <c r="E90" s="72">
        <f>INDEX(Calc_FiT_1[[Ausnet]:[United Energy]],1,MATCH(E$54,Calc_FiT_1[[#Headers],[Ausnet]:[United Energy]],0))</f>
        <v>1.5968351161074819E-3</v>
      </c>
      <c r="F90" s="72">
        <f>INDEX(Calc_FiT_1[[Ausnet]:[United Energy]],1,MATCH(F$54,Calc_FiT_1[[#Headers],[Ausnet]:[United Energy]],0))</f>
        <v>1.5968351161074819E-3</v>
      </c>
      <c r="G90" s="72">
        <f>INDEX(Calc_FiT_1[[Ausnet]:[United Energy]],1,MATCH(G$54,Calc_FiT_1[[#Headers],[Ausnet]:[United Energy]],0))</f>
        <v>1.5968351161074819E-3</v>
      </c>
      <c r="H90" s="72">
        <f>INDEX(Calc_FiT_1[[Ausnet]:[United Energy]],1,MATCH(H$54,Calc_FiT_1[[#Headers],[Ausnet]:[United Energy]],0))</f>
        <v>1.5968351161074819E-3</v>
      </c>
    </row>
    <row r="91" spans="2:16" outlineLevel="1" x14ac:dyDescent="0.25"/>
    <row r="92" spans="2:16" ht="15.75" outlineLevel="1" x14ac:dyDescent="0.25">
      <c r="C92" s="29" t="s">
        <v>531</v>
      </c>
      <c r="K92" s="29" t="s">
        <v>531</v>
      </c>
    </row>
    <row r="93" spans="2:16" outlineLevel="1" x14ac:dyDescent="0.25">
      <c r="C93" t="s">
        <v>74</v>
      </c>
      <c r="D93" s="72">
        <f>SUMIFS(Calc_NetworkV_1[Ausnet],Calc_NetworkV_1[[Cost item]:[Cost item]],$C93,Calc_NetworkV_1[[Customer type]:[Customer type]],IF(ISNUMBER(SEARCH("Residential",$C$48)),"Residential","Small business"))</f>
        <v>0.19308159653482593</v>
      </c>
      <c r="E93" s="72">
        <f>SUMIFS(Calc_NetworkV_1[Citipower],Calc_NetworkV_1[[Cost item]:[Cost item]],$C93,Calc_NetworkV_1[[Customer type]:[Customer type]],IF(ISNUMBER(SEARCH("Residential",$C$48)),"Residential","Small business"))</f>
        <v>0</v>
      </c>
      <c r="F93" s="72">
        <f>SUMIFS(Calc_NetworkV_1[Jemena],Calc_NetworkV_1[[Cost item]:[Cost item]],$C93,Calc_NetworkV_1[[Customer type]:[Customer type]],IF(ISNUMBER(SEARCH("Residential",$C$48)),"Residential","Small business"))</f>
        <v>0</v>
      </c>
      <c r="G93" s="72">
        <f>SUMIFS(Calc_NetworkV_1[Powercor],Calc_NetworkV_1[Cost item],$C93,Calc_NetworkV_1[Customer type],IF(ISNUMBER(SEARCH("Residential",$C$48)),"Residential","Small business"))</f>
        <v>0</v>
      </c>
      <c r="H93" s="72">
        <f>SUMIFS(Calc_NetworkV_1[United Energy],Calc_NetworkV_1[[Cost item]:[Cost item]],$C93,Calc_NetworkV_1[[Customer type]:[Customer type]],IF(ISNUMBER(SEARCH("Residential",$C$48)),"Residential","Small business"))</f>
        <v>0</v>
      </c>
      <c r="K93" t="s">
        <v>74</v>
      </c>
      <c r="L93" s="72">
        <f>SUMIFS(Calc_NetworkV_2[Ausnet],Calc_NetworkV_2[Cost item],$K93,Calc_NetworkV_2[Customer type],IF(ISNUMBER(SEARCH("Residential",$K$48)),"Residential","Small business"))</f>
        <v>0.18668411930490375</v>
      </c>
      <c r="M93" s="72">
        <f>SUMIFS(Calc_NetworkV_2[Citipower],Calc_NetworkV_2[[Cost item]:[Cost item]],$K93,Calc_NetworkV_2[[Customer type]:[Customer type]],IF(ISNUMBER(SEARCH("Residential",$K$48)),"Residential","Small business"))</f>
        <v>0</v>
      </c>
      <c r="N93" s="72">
        <f>SUMIFS(Calc_NetworkV_2[Jemena],Calc_NetworkV_2[[Cost item]:[Cost item]],$K93,Calc_NetworkV_2[[Customer type]:[Customer type]],IF(ISNUMBER(SEARCH("Residential",$K$48)),"Residential","Small business"))</f>
        <v>0</v>
      </c>
      <c r="O93" s="72">
        <f>SUMIFS(Calc_NetworkV_2[Powercor],Calc_NetworkV_2[[Cost item]:[Cost item]],$K93,Calc_NetworkV_2[[Customer type]:[Customer type]],IF(ISNUMBER(SEARCH("Residential",$K$48)),"Residential","Small business"))</f>
        <v>0</v>
      </c>
      <c r="P93" s="72">
        <f>SUMIFS(Calc_NetworkV_2[United Energy],Calc_NetworkV_2[[Cost item]:[Cost item]],$K93,Calc_NetworkV_2[[Customer type]:[Customer type]],IF(ISNUMBER(SEARCH("Residential",$K$48)),"Residential","Small business"))</f>
        <v>0</v>
      </c>
    </row>
    <row r="94" spans="2:16" outlineLevel="1" x14ac:dyDescent="0.25">
      <c r="C94" t="s">
        <v>76</v>
      </c>
      <c r="D94" s="72">
        <f>SUMIFS(Calc_NetworkV_1[Ausnet],Calc_NetworkV_1[Cost item],$C94,Calc_NetworkV_1[Customer type],IF(ISNUMBER(SEARCH("Residential",$C$48)),"Residential","Small business"))</f>
        <v>0.20237137578661479</v>
      </c>
      <c r="E94" s="72">
        <f>SUMIFS(Calc_NetworkV_1[Citipower],Calc_NetworkV_1[[Cost item]:[Cost item]],$C94,Calc_NetworkV_1[[Customer type]:[Customer type]],IF(ISNUMBER(SEARCH("Residential",$C$48)),"Residential","Small business"))</f>
        <v>0</v>
      </c>
      <c r="F94" s="72">
        <f>SUMIFS(Calc_NetworkV_1[Jemena],Calc_NetworkV_1[[Cost item]:[Cost item]],$C94,Calc_NetworkV_1[[Customer type]:[Customer type]],IF(ISNUMBER(SEARCH("Residential",$C$48)),"Residential","Small business"))</f>
        <v>0</v>
      </c>
      <c r="G94" s="72">
        <f>SUMIFS(Calc_NetworkV_1[Powercor],Calc_NetworkV_1[[Cost item]:[Cost item]],$C94,Calc_NetworkV_1[[Customer type]:[Customer type]],IF(ISNUMBER(SEARCH("Residential",$C$48)),"Residential","Small business"))</f>
        <v>0</v>
      </c>
      <c r="H94" s="72">
        <f>SUMIFS(Calc_NetworkV_1[United Energy],Calc_NetworkV_1[[Cost item]:[Cost item]],$C94,Calc_NetworkV_1[[Customer type]:[Customer type]],IF(ISNUMBER(SEARCH("Residential",$C$48)),"Residential","Small business"))</f>
        <v>0</v>
      </c>
      <c r="K94" t="s">
        <v>76</v>
      </c>
      <c r="L94" s="72">
        <f>SUMIFS(Calc_NetworkV_2[Ausnet],Calc_NetworkV_2[[Cost item]:[Cost item]],$K94,Calc_NetworkV_2[[Customer type]:[Customer type]],IF(ISNUMBER(SEARCH("Residential",$K$48)),"Residential","Small business"))</f>
        <v>0.20620858559880922</v>
      </c>
      <c r="M94" s="72">
        <f>SUMIFS(Calc_NetworkV_2[Citipower],Calc_NetworkV_2[[Cost item]:[Cost item]],$K94,Calc_NetworkV_2[[Customer type]:[Customer type]],IF(ISNUMBER(SEARCH("Residential",$K$48)),"Residential","Small business"))</f>
        <v>0</v>
      </c>
      <c r="N94" s="72">
        <f>SUMIFS(Calc_NetworkV_2[Jemena],Calc_NetworkV_2[[Cost item]:[Cost item]],$K94,Calc_NetworkV_2[[Customer type]:[Customer type]],IF(ISNUMBER(SEARCH("Residential",$K$48)),"Residential","Small business"))</f>
        <v>0</v>
      </c>
      <c r="O94" s="72">
        <f>SUMIFS(Calc_NetworkV_2[Powercor],Calc_NetworkV_2[[Cost item]:[Cost item]],$K94,Calc_NetworkV_2[[Customer type]:[Customer type]],IF(ISNUMBER(SEARCH("Residential",$K$48)),"Residential","Small business"))</f>
        <v>0</v>
      </c>
      <c r="P94" s="72">
        <f>SUMIFS(Calc_NetworkV_2[United Energy],Calc_NetworkV_2[[Cost item]:[Cost item]],$K94,Calc_NetworkV_2[[Customer type]:[Customer type]],IF(ISNUMBER(SEARCH("Residential",$K$48)),"Residential","Small business"))</f>
        <v>0</v>
      </c>
    </row>
    <row r="95" spans="2:16" outlineLevel="1" x14ac:dyDescent="0.25">
      <c r="C95" t="s">
        <v>77</v>
      </c>
      <c r="D95" s="72">
        <f>SUMIFS(Calc_NetworkV_1[Ausnet],Calc_NetworkV_1[[Cost item]:[Cost item]],$C95,Calc_NetworkV_1[[Customer type]:[Customer type]],IF(ISNUMBER(SEARCH("Residential",$C$48)),"Residential","Small business"))</f>
        <v>0</v>
      </c>
      <c r="E95" s="72">
        <f>SUMIFS(Calc_NetworkV_1[Citipower],Calc_NetworkV_1[[Cost item]:[Cost item]],$C95,Calc_NetworkV_1[[Customer type]:[Customer type]],IF(ISNUMBER(SEARCH("Residential",$C$48)),"Residential","Small business"))</f>
        <v>8.950000000000001E-2</v>
      </c>
      <c r="F95" s="72">
        <f>SUMIFS(Calc_NetworkV_1[Jemena],Calc_NetworkV_1[[Cost item]:[Cost item]],$C95,Calc_NetworkV_1[[Customer type]:[Customer type]],IF(ISNUMBER(SEARCH("Residential",$C$48)),"Residential","Small business"))</f>
        <v>0.13955000000000001</v>
      </c>
      <c r="G95" s="72">
        <f>SUMIFS(Calc_NetworkV_1[Powercor],Calc_NetworkV_1[[Cost item]:[Cost item]],$C95,Calc_NetworkV_1[[Customer type]:[Customer type]],IF(ISNUMBER(SEARCH("Residential",$C$48)),"Residential","Small business"))</f>
        <v>0.10619999999999999</v>
      </c>
      <c r="H95" s="72">
        <f>SUMIFS(Calc_NetworkV_1[United Energy],Calc_NetworkV_1[[Cost item]:[Cost item]],$C95,Calc_NetworkV_1[[Customer type]:[Customer type]],IF(ISNUMBER(SEARCH("Residential",$C$48)),"Residential","Small business"))</f>
        <v>0.10289999999999999</v>
      </c>
      <c r="K95" t="s">
        <v>77</v>
      </c>
      <c r="L95" s="72">
        <f>SUMIFS(Calc_NetworkV_2[Ausnet],Calc_NetworkV_2[[Cost item]:[Cost item]],$K95,Calc_NetworkV_2[[Customer type]:[Customer type]],IF(ISNUMBER(SEARCH("Residential",$K$48)),"Residential","Small business"))</f>
        <v>0</v>
      </c>
      <c r="M95" s="72">
        <f>SUMIFS(Calc_NetworkV_2[Citipower],Calc_NetworkV_2[[Cost item]:[Cost item]],$K95,Calc_NetworkV_2[[Customer type]:[Customer type]],IF(ISNUMBER(SEARCH("Residential",$K$48)),"Residential","Small business"))</f>
        <v>8.1500000000000003E-2</v>
      </c>
      <c r="N95" s="72">
        <f>SUMIFS(Calc_NetworkV_2[Jemena],Calc_NetworkV_2[[Cost item]:[Cost item]],$K95,Calc_NetworkV_2[[Customer type]:[Customer type]],IF(ISNUMBER(SEARCH("Residential",$K$48)),"Residential","Small business"))</f>
        <v>0.11834</v>
      </c>
      <c r="O95" s="72">
        <f>SUMIFS(Calc_NetworkV_2[Powercor],Calc_NetworkV_2[[Cost item]:[Cost item]],$K95,Calc_NetworkV_2[[Customer type]:[Customer type]],IF(ISNUMBER(SEARCH("Residential",$K$48)),"Residential","Small business"))</f>
        <v>9.8100000000000007E-2</v>
      </c>
      <c r="P95" s="72">
        <f>SUMIFS(Calc_NetworkV_2[United Energy],Calc_NetworkV_2[[Cost item]:[Cost item]],$K95,Calc_NetworkV_2[[Customer type]:[Customer type]],IF(ISNUMBER(SEARCH("Residential",$K$48)),"Residential","Small business"))</f>
        <v>9.3900000000000011E-2</v>
      </c>
    </row>
    <row r="96" spans="2:16" outlineLevel="1" x14ac:dyDescent="0.25"/>
    <row r="97" spans="3:16" ht="15.75" outlineLevel="1" x14ac:dyDescent="0.25">
      <c r="C97" s="29" t="s">
        <v>532</v>
      </c>
      <c r="K97" s="29" t="s">
        <v>532</v>
      </c>
    </row>
    <row r="98" spans="3:16" outlineLevel="1" x14ac:dyDescent="0.25">
      <c r="C98" t="s">
        <v>86</v>
      </c>
      <c r="D98" s="72" t="str" cm="1">
        <f t="array" ref="D98">IF(ISNUMBER(SEARCH("Residential",$C$48)),
INDEX(OP_RatesTU_RES_1[Ausnet],MATCH(1,(OP_RatesTU_RES_1[Cost element]="Network")*(OP_RatesTU_RES_1[Rate name]=CH_CostStack_SME!$C98),0),1),
INDEX(OP_RatesTU_SME_1[Ausnet],MATCH(1,(OP_RatesTU_SME_1[Cost element]="Network")*(OP_RatesTU_SME_1[Rate name]=CH_CostStack_SME!$C98),0),1))</f>
        <v>-</v>
      </c>
      <c r="E98" s="72" t="str" cm="1">
        <f t="array" ref="E98">IF(ISNUMBER(SEARCH("Residential",$C$48)),
INDEX(OP_RatesTU_RES_1[Citipower],MATCH(1,(OP_RatesTU_RES_1[Cost element]="Network")*(OP_RatesTU_RES_1[Rate name]=CH_CostStack_SME!$C98),0),1),
INDEX(OP_RatesTU_SME_1[Citipower],MATCH(1,(OP_RatesTU_SME_1[Cost element]="Network")*(OP_RatesTU_SME_1[Rate name]=CH_CostStack_SME!$C98),0),1))</f>
        <v>-</v>
      </c>
      <c r="F98" s="72" t="str" cm="1">
        <f t="array" ref="F98">IF(ISNUMBER(SEARCH("Residential",$C$48)),
INDEX(OP_RatesTU_RES_1[Jemena],MATCH(1,(OP_RatesTU_RES_1[Cost element]="Network")*(OP_RatesTU_RES_1[Rate name]=CH_CostStack_SME!$C98),0),1),
INDEX(OP_RatesTU_SME_1[Jemena],MATCH(1,(OP_RatesTU_SME_1[Cost element]="Network")*(OP_RatesTU_SME_1[Rate name]=CH_CostStack_SME!$C98),0),1))</f>
        <v>-</v>
      </c>
      <c r="G98" s="72" t="str" cm="1">
        <f t="array" ref="G98">IF(ISNUMBER(SEARCH("Residential",$C$48)),
INDEX(OP_RatesTU_RES_1[Powercor],MATCH(1,(OP_RatesTU_RES_1[Cost element]="Network")*(OP_RatesTU_RES_1[Rate name]=CH_CostStack_SME!$C98),0),1),
INDEX(OP_RatesTU_SME_1[Powercor],MATCH(1,(OP_RatesTU_SME_1[Cost element]="Network")*(OP_RatesTU_SME_1[Rate name]=CH_CostStack_SME!$C98),0),1))</f>
        <v>-</v>
      </c>
      <c r="H98" s="72" t="str" cm="1">
        <f t="array" ref="H98">IF(ISNUMBER(SEARCH("Residential",$C$48)),
INDEX(OP_RatesTU_RES_1[United Energy],MATCH(1,(OP_RatesTU_RES_1[Cost element]="Network")*(OP_RatesTU_RES_1[Rate name]=CH_CostStack_SME!$C98),0),1),
INDEX(OP_RatesTU_SME_1[United Energy],MATCH(1,(OP_RatesTU_SME_1[Cost element]="Network")*(OP_RatesTU_SME_1[Rate name]=CH_CostStack_SME!$C98),0),1))</f>
        <v>-</v>
      </c>
      <c r="K98" t="s">
        <v>86</v>
      </c>
      <c r="L98" s="72" t="str" cm="1">
        <f t="array" ref="L98">IF(ISNUMBER(SEARCH("Residential",$K$48)),
INDEX(OP_RatesTU_RES_2[Ausnet],MATCH(1,(OP_RatesTU_RES_2[Cost element]="Network")*(OP_RatesTU_RES_2[Rate name]=CH_CostStack_SME!$K98),0),1),
INDEX(OP_RatesTU_SME_2[Ausnet],MATCH(1,(OP_RatesTU_SME_2[Cost element]="Network")*(OP_RatesTU_SME_2[Rate name]=CH_CostStack_SME!$K98),0),1))</f>
        <v>-</v>
      </c>
      <c r="M98" s="72" t="str" cm="1">
        <f t="array" ref="M98">IF(ISNUMBER(SEARCH("Residential",$K$48)),
INDEX(OP_RatesTU_RES_2[Citipower],MATCH(1,(OP_RatesTU_RES_2[Cost element]="Network")*(OP_RatesTU_RES_2[Rate name]=CH_CostStack_SME!$K98),0),1),
INDEX(OP_RatesTU_SME_2[Citipower],MATCH(1,(OP_RatesTU_SME_2[Cost element]="Network")*(OP_RatesTU_SME_2[Rate name]=CH_CostStack_SME!$K98),0),1))</f>
        <v>-</v>
      </c>
      <c r="N98" s="72" t="str" cm="1">
        <f t="array" ref="N98">IF(ISNUMBER(SEARCH("Residential",$K$48)),
INDEX(OP_RatesTU_RES_2[Jemena],MATCH(1,(OP_RatesTU_RES_2[Cost element]="Network")*(OP_RatesTU_RES_2[Rate name]=CH_CostStack_SME!$K98),0),1),
INDEX(OP_RatesTU_SME_2[Jemena],MATCH(1,(OP_RatesTU_SME_2[Cost element]="Network")*(OP_RatesTU_SME_2[Rate name]=CH_CostStack_SME!$K98),0),1))</f>
        <v>-</v>
      </c>
      <c r="O98" s="72" t="str" cm="1">
        <f t="array" ref="O98">IF(ISNUMBER(SEARCH("Residential",$K$48)),
INDEX(OP_RatesTU_RES_2[Powercor],MATCH(1,(OP_RatesTU_RES_2[Cost element]="Network")*(OP_RatesTU_RES_2[Rate name]=CH_CostStack_SME!$K98),0),1),
INDEX(OP_RatesTU_SME_2[Powercor],MATCH(1,(OP_RatesTU_SME_2[Cost element]="Network")*(OP_RatesTU_SME_2[Rate name]=CH_CostStack_SME!$K98),0),1))</f>
        <v>-</v>
      </c>
      <c r="P98" s="72" t="str" cm="1">
        <f t="array" ref="P98">IF(ISNUMBER(SEARCH("Residential",$K$48)),
INDEX(OP_RatesTU_RES_2[United Energy],MATCH(1,(OP_RatesTU_RES_2[Cost element]="Network")*(OP_RatesTU_RES_2[Rate name]=CH_CostStack_SME!$K98),0),1),
INDEX(OP_RatesTU_SME_2[United Energy],MATCH(1,(OP_RatesTU_SME_2[Cost element]="Network")*(OP_RatesTU_SME_2[Rate name]=CH_CostStack_SME!$K98),0),1))</f>
        <v>-</v>
      </c>
    </row>
    <row r="99" spans="3:16" outlineLevel="1" x14ac:dyDescent="0.25"/>
    <row r="100" spans="3:16" ht="15.75" outlineLevel="1" x14ac:dyDescent="0.25">
      <c r="C100" s="29" t="s">
        <v>533</v>
      </c>
      <c r="K100" s="29" t="s">
        <v>533</v>
      </c>
    </row>
    <row r="101" spans="3:16" outlineLevel="1" x14ac:dyDescent="0.25">
      <c r="C101" t="s">
        <v>74</v>
      </c>
      <c r="D101" s="72" cm="1">
        <f t="array" ref="D101">IF(ISNUMBER(SEARCH("Residential",$C$48)),
INDEX(OP_RatesTU_RES_1[Ausnet],MATCH(1,(OP_RatesTU_RES_1[Cost element]="Environmental")*(OP_RatesTU_RES_1[Rate name]=CH_CostStack_SME!$C101),0),1),
INDEX(OP_RatesTU_SME_1[Ausnet],MATCH(1,(OP_RatesTU_SME_1[Cost element]="Environmental")*(OP_RatesTU_SME_1[Rate name]=CH_CostStack_SME!$C101),0),1))</f>
        <v>6.604688478961399E-4</v>
      </c>
      <c r="E101" s="72" cm="1">
        <f t="array" ref="E101">IF(ISNUMBER(SEARCH("Residential",$C$48)),
INDEX(OP_RatesTU_RES_1[Citipower],MATCH(1,(OP_RatesTU_RES_1[Cost element]="Environmental")*(OP_RatesTU_RES_1[Rate name]=CH_CostStack_SME!$C101),0),1),
INDEX(OP_RatesTU_SME_1[Citipower],MATCH(1,(OP_RatesTU_SME_1[Cost element]="Environmental")*(OP_RatesTU_SME_1[Rate name]=CH_CostStack_SME!$C101),0),1))</f>
        <v>0</v>
      </c>
      <c r="F101" s="72" cm="1">
        <f t="array" ref="F101">IF(ISNUMBER(SEARCH("Residential",$C$48)),
INDEX(OP_RatesTU_RES_1[Jemena],MATCH(1,(OP_RatesTU_RES_1[Cost element]="Environmental")*(OP_RatesTU_RES_1[Rate name]=CH_CostStack_SME!$C101),0),1),
INDEX(OP_RatesTU_SME_1[Jemena],MATCH(1,(OP_RatesTU_SME_1[Cost element]="Environmental")*(OP_RatesTU_SME_1[Rate name]=CH_CostStack_SME!$C101),0),1))</f>
        <v>0</v>
      </c>
      <c r="G101" s="72" cm="1">
        <f t="array" ref="G101">IF(ISNUMBER(SEARCH("Residential",$C$48)),
INDEX(OP_RatesTU_RES_1[Powercor],MATCH(1,(OP_RatesTU_RES_1[Cost element]="Environmental")*(OP_RatesTU_RES_1[Rate name]=CH_CostStack_SME!$C101),0),1),
INDEX(OP_RatesTU_SME_1[Powercor],MATCH(1,(OP_RatesTU_SME_1[Cost element]="Environmental")*(OP_RatesTU_SME_1[Rate name]=CH_CostStack_SME!$C101),0),1))</f>
        <v>0</v>
      </c>
      <c r="H101" s="72" cm="1">
        <f t="array" ref="H101">IF(ISNUMBER(SEARCH("Residential",$C$48)),
INDEX(OP_RatesTU_RES_1[United Energy],MATCH(1,(OP_RatesTU_RES_1[Cost element]="Environmental")*(OP_RatesTU_RES_1[Rate name]=CH_CostStack_SME!$C101),0),1),
INDEX(OP_RatesTU_SME_1[United Energy],MATCH(1,(OP_RatesTU_SME_1[Cost element]="Environmental")*(OP_RatesTU_SME_1[Rate name]=CH_CostStack_SME!$C101),0),1))</f>
        <v>0</v>
      </c>
      <c r="K101" t="s">
        <v>74</v>
      </c>
      <c r="L101" s="72" cm="1">
        <f t="array" ref="L101">IF(ISNUMBER(SEARCH("Residential",$K$48)),
INDEX(OP_RatesTU_RES_2[Ausnet],MATCH(1,(OP_RatesTU_RES_2[Cost element]="Environmental")*(OP_RatesTU_RES_2[Rate name]=CH_CostStack_SME!$C101),0),1),
INDEX(OP_RatesTU_SME_2[Ausnet],MATCH(1,(OP_RatesTU_SME_2[Cost element]="Environmental")*(OP_RatesTU_SME_2[Rate name]=CH_CostStack_SME!$C101),0),1))</f>
        <v>-1.4451020409271499E-3</v>
      </c>
      <c r="M101" s="72" cm="1">
        <f t="array" ref="M101">IF(ISNUMBER(SEARCH("Residential",$K$48)),
INDEX(OP_RatesTU_RES_2[Citipower],MATCH(1,(OP_RatesTU_RES_2[Cost element]="Environmental")*(OP_RatesTU_RES_2[Rate name]=CH_CostStack_SME!$C101),0),1),
INDEX(OP_RatesTU_SME_2[Citipower],MATCH(1,(OP_RatesTU_SME_2[Cost element]="Environmental")*(OP_RatesTU_SME_2[Rate name]=CH_CostStack_SME!$C101),0),1))</f>
        <v>0</v>
      </c>
      <c r="N101" s="72" cm="1">
        <f t="array" ref="N101">IF(ISNUMBER(SEARCH("Residential",$K$48)),
INDEX(OP_RatesTU_RES_2[Jemena],MATCH(1,(OP_RatesTU_RES_2[Cost element]="Environmental")*(OP_RatesTU_RES_2[Rate name]=CH_CostStack_SME!$C101),0),1),
INDEX(OP_RatesTU_SME_2[Jemena],MATCH(1,(OP_RatesTU_SME_2[Cost element]="Environmental")*(OP_RatesTU_SME_2[Rate name]=CH_CostStack_SME!$C101),0),1))</f>
        <v>0</v>
      </c>
      <c r="O101" s="72" cm="1">
        <f t="array" ref="O101">IF(ISNUMBER(SEARCH("Residential",$K$48)),
INDEX(OP_RatesTU_RES_2[Powercor],MATCH(1,(OP_RatesTU_RES_2[Cost element]="Environmental")*(OP_RatesTU_RES_2[Rate name]=CH_CostStack_SME!$C101),0),1),
INDEX(OP_RatesTU_SME_2[Powercor],MATCH(1,(OP_RatesTU_SME_2[Cost element]="Environmental")*(OP_RatesTU_SME_2[Rate name]=CH_CostStack_SME!$C101),0),1))</f>
        <v>0</v>
      </c>
      <c r="P101" s="72" cm="1">
        <f t="array" ref="P101">IF(ISNUMBER(SEARCH("Residential",$K$48)),
INDEX(OP_RatesTU_RES_2[United Energy],MATCH(1,(OP_RatesTU_RES_2[Cost element]="Environmental")*(OP_RatesTU_RES_2[Rate name]=CH_CostStack_SME!$C101),0),1),
INDEX(OP_RatesTU_SME_2[United Energy],MATCH(1,(OP_RatesTU_SME_2[Cost element]="Environmental")*(OP_RatesTU_SME_2[Rate name]=CH_CostStack_SME!$C101),0),1))</f>
        <v>0</v>
      </c>
    </row>
    <row r="102" spans="3:16" outlineLevel="1" x14ac:dyDescent="0.25">
      <c r="C102" t="s">
        <v>76</v>
      </c>
      <c r="D102" s="72" cm="1">
        <f t="array" ref="D102">IF(ISNUMBER(SEARCH("Residential",$C$48)),
INDEX(OP_RatesTU_RES_1[Ausnet],MATCH(1,(OP_RatesTU_RES_1[Cost element]="Environmental")*(OP_RatesTU_RES_1[Rate name]=CH_CostStack_SME!$C102),0),1),
INDEX(OP_RatesTU_SME_1[Ausnet],MATCH(1,(OP_RatesTU_SME_1[Cost element]="Environmental")*(OP_RatesTU_SME_1[Rate name]=CH_CostStack_SME!$C102),0),1))</f>
        <v>6.604688478961399E-4</v>
      </c>
      <c r="E102" s="72" cm="1">
        <f t="array" ref="E102">IF(ISNUMBER(SEARCH("Residential",$C$48)),
INDEX(OP_RatesTU_RES_1[Citipower],MATCH(1,(OP_RatesTU_RES_1[Cost element]="Environmental")*(OP_RatesTU_RES_1[Rate name]=CH_CostStack_SME!$C102),0),1),
INDEX(OP_RatesTU_SME_1[Citipower],MATCH(1,(OP_RatesTU_SME_1[Cost element]="Environmental")*(OP_RatesTU_SME_1[Rate name]=CH_CostStack_SME!$C102),0),1))</f>
        <v>0</v>
      </c>
      <c r="F102" s="72" cm="1">
        <f t="array" ref="F102">IF(ISNUMBER(SEARCH("Residential",$C$48)),
INDEX(OP_RatesTU_RES_1[Jemena],MATCH(1,(OP_RatesTU_RES_1[Cost element]="Environmental")*(OP_RatesTU_RES_1[Rate name]=CH_CostStack_SME!$C102),0),1),
INDEX(OP_RatesTU_SME_1[Jemena],MATCH(1,(OP_RatesTU_SME_1[Cost element]="Environmental")*(OP_RatesTU_SME_1[Rate name]=CH_CostStack_SME!$C102),0),1))</f>
        <v>0</v>
      </c>
      <c r="G102" s="72" cm="1">
        <f t="array" ref="G102">IF(ISNUMBER(SEARCH("Residential",$C$48)),
INDEX(OP_RatesTU_RES_1[Powercor],MATCH(1,(OP_RatesTU_RES_1[Cost element]="Environmental")*(OP_RatesTU_RES_1[Rate name]=CH_CostStack_SME!$C102),0),1),
INDEX(OP_RatesTU_SME_1[Powercor],MATCH(1,(OP_RatesTU_SME_1[Cost element]="Environmental")*(OP_RatesTU_SME_1[Rate name]=CH_CostStack_SME!$C102),0),1))</f>
        <v>0</v>
      </c>
      <c r="H102" s="72" cm="1">
        <f t="array" ref="H102">IF(ISNUMBER(SEARCH("Residential",$C$48)),
INDEX(OP_RatesTU_RES_1[United Energy],MATCH(1,(OP_RatesTU_RES_1[Cost element]="Environmental")*(OP_RatesTU_RES_1[Rate name]=CH_CostStack_SME!$C102),0),1),
INDEX(OP_RatesTU_SME_1[United Energy],MATCH(1,(OP_RatesTU_SME_1[Cost element]="Environmental")*(OP_RatesTU_SME_1[Rate name]=CH_CostStack_SME!$C102),0),1))</f>
        <v>0</v>
      </c>
      <c r="K102" t="s">
        <v>76</v>
      </c>
      <c r="L102" s="72" cm="1">
        <f t="array" ref="L102">IF(ISNUMBER(SEARCH("Residential",$K$48)),
INDEX(OP_RatesTU_RES_2[Ausnet],MATCH(1,(OP_RatesTU_RES_2[Cost element]="Environmental")*(OP_RatesTU_RES_2[Rate name]=CH_CostStack_SME!$C102),0),1),
INDEX(OP_RatesTU_SME_2[Ausnet],MATCH(1,(OP_RatesTU_SME_2[Cost element]="Environmental")*(OP_RatesTU_SME_2[Rate name]=CH_CostStack_SME!$C102),0),1))</f>
        <v>-1.4451020409271499E-3</v>
      </c>
      <c r="M102" s="72" cm="1">
        <f t="array" ref="M102">IF(ISNUMBER(SEARCH("Residential",$K$48)),
INDEX(OP_RatesTU_RES_2[Citipower],MATCH(1,(OP_RatesTU_RES_2[Cost element]="Environmental")*(OP_RatesTU_RES_2[Rate name]=CH_CostStack_SME!$C102),0),1),
INDEX(OP_RatesTU_SME_2[Citipower],MATCH(1,(OP_RatesTU_SME_2[Cost element]="Environmental")*(OP_RatesTU_SME_2[Rate name]=CH_CostStack_SME!$C102),0),1))</f>
        <v>0</v>
      </c>
      <c r="N102" s="72" cm="1">
        <f t="array" ref="N102">IF(ISNUMBER(SEARCH("Residential",$K$48)),
INDEX(OP_RatesTU_RES_2[Jemena],MATCH(1,(OP_RatesTU_RES_2[Cost element]="Environmental")*(OP_RatesTU_RES_2[Rate name]=CH_CostStack_SME!$C102),0),1),
INDEX(OP_RatesTU_SME_2[Jemena],MATCH(1,(OP_RatesTU_SME_2[Cost element]="Environmental")*(OP_RatesTU_SME_2[Rate name]=CH_CostStack_SME!$C102),0),1))</f>
        <v>0</v>
      </c>
      <c r="O102" s="72" cm="1">
        <f t="array" ref="O102">IF(ISNUMBER(SEARCH("Residential",$K$48)),
INDEX(OP_RatesTU_RES_2[Powercor],MATCH(1,(OP_RatesTU_RES_2[Cost element]="Environmental")*(OP_RatesTU_RES_2[Rate name]=CH_CostStack_SME!$C102),0),1),
INDEX(OP_RatesTU_SME_2[Powercor],MATCH(1,(OP_RatesTU_SME_2[Cost element]="Environmental")*(OP_RatesTU_SME_2[Rate name]=CH_CostStack_SME!$C102),0),1))</f>
        <v>0</v>
      </c>
      <c r="P102" s="72" cm="1">
        <f t="array" ref="P102">IF(ISNUMBER(SEARCH("Residential",$K$48)),
INDEX(OP_RatesTU_RES_2[United Energy],MATCH(1,(OP_RatesTU_RES_2[Cost element]="Environmental")*(OP_RatesTU_RES_2[Rate name]=CH_CostStack_SME!$C102),0),1),
INDEX(OP_RatesTU_SME_2[United Energy],MATCH(1,(OP_RatesTU_SME_2[Cost element]="Environmental")*(OP_RatesTU_SME_2[Rate name]=CH_CostStack_SME!$C102),0),1))</f>
        <v>0</v>
      </c>
    </row>
    <row r="103" spans="3:16" x14ac:dyDescent="0.25">
      <c r="C103" t="s">
        <v>77</v>
      </c>
      <c r="D103" s="72" cm="1">
        <f t="array" ref="D103">IF(ISNUMBER(SEARCH("Residential",$C$48)),
INDEX(OP_RatesTU_RES_1[Ausnet],MATCH(1,(OP_RatesTU_RES_1[Cost element]="Environmental")*(OP_RatesTU_RES_1[Rate name]=CH_CostStack_SME!$C103),0),1),
INDEX(OP_RatesTU_SME_1[Ausnet],MATCH(1,(OP_RatesTU_SME_1[Cost element]="Environmental")*(OP_RatesTU_SME_1[Rate name]=CH_CostStack_SME!$C103),0),1))</f>
        <v>0</v>
      </c>
      <c r="E103" s="72" cm="1">
        <f t="array" ref="E103">IF(ISNUMBER(SEARCH("Residential",$C$48)),
INDEX(OP_RatesTU_RES_1[Citipower],MATCH(1,(OP_RatesTU_RES_1[Cost element]="Environmental")*(OP_RatesTU_RES_1[Rate name]=CH_CostStack_SME!$C103),0),1),
INDEX(OP_RatesTU_SME_1[Citipower],MATCH(1,(OP_RatesTU_SME_1[Cost element]="Environmental")*(OP_RatesTU_SME_1[Rate name]=CH_CostStack_SME!$C103),0),1))</f>
        <v>6.3586744515789766E-4</v>
      </c>
      <c r="F103" s="72" cm="1">
        <f t="array" ref="F103">IF(ISNUMBER(SEARCH("Residential",$C$48)),
INDEX(OP_RatesTU_RES_1[Jemena],MATCH(1,(OP_RatesTU_RES_1[Cost element]="Environmental")*(OP_RatesTU_RES_1[Rate name]=CH_CostStack_SME!$C103),0),1),
INDEX(OP_RatesTU_SME_1[Jemena],MATCH(1,(OP_RatesTU_SME_1[Cost element]="Environmental")*(OP_RatesTU_SME_1[Rate name]=CH_CostStack_SME!$C103),0),1))</f>
        <v>6.360885634276712E-4</v>
      </c>
      <c r="G103" s="72" cm="1">
        <f t="array" ref="G103">IF(ISNUMBER(SEARCH("Residential",$C$48)),
INDEX(OP_RatesTU_RES_1[Powercor],MATCH(1,(OP_RatesTU_RES_1[Cost element]="Environmental")*(OP_RatesTU_RES_1[Rate name]=CH_CostStack_SME!$C103),0),1),
INDEX(OP_RatesTU_SME_1[Powercor],MATCH(1,(OP_RatesTU_SME_1[Cost element]="Environmental")*(OP_RatesTU_SME_1[Rate name]=CH_CostStack_SME!$C103),0),1))</f>
        <v>6.5195693584001928E-4</v>
      </c>
      <c r="H103" s="72" cm="1">
        <f t="array" ref="H103">IF(ISNUMBER(SEARCH("Residential",$C$48)),
INDEX(OP_RatesTU_RES_1[United Energy],MATCH(1,(OP_RatesTU_RES_1[Cost element]="Environmental")*(OP_RatesTU_RES_1[Rate name]=CH_CostStack_SME!$C103),0),1),
INDEX(OP_RatesTU_SME_1[United Energy],MATCH(1,(OP_RatesTU_SME_1[Cost element]="Environmental")*(OP_RatesTU_SME_1[Rate name]=CH_CostStack_SME!$C103),0),1))</f>
        <v>6.3705837898588545E-4</v>
      </c>
      <c r="K103" t="s">
        <v>77</v>
      </c>
      <c r="L103" s="72" cm="1">
        <f t="array" ref="L103">IF(ISNUMBER(SEARCH("Residential",$K$48)),
INDEX(OP_RatesTU_RES_2[Ausnet],MATCH(1,(OP_RatesTU_RES_2[Cost element]="Environmental")*(OP_RatesTU_RES_2[Rate name]=CH_CostStack_SME!$C103),0),1),
INDEX(OP_RatesTU_SME_2[Ausnet],MATCH(1,(OP_RatesTU_SME_2[Cost element]="Environmental")*(OP_RatesTU_SME_2[Rate name]=CH_CostStack_SME!$C103),0),1))</f>
        <v>0</v>
      </c>
      <c r="M103" s="72" cm="1">
        <f t="array" ref="M103">IF(ISNUMBER(SEARCH("Residential",$K$48)),
INDEX(OP_RatesTU_RES_2[Citipower],MATCH(1,(OP_RatesTU_RES_2[Cost element]="Environmental")*(OP_RatesTU_RES_2[Rate name]=CH_CostStack_SME!$C103),0),1),
INDEX(OP_RatesTU_SME_2[Citipower],MATCH(1,(OP_RatesTU_SME_2[Cost element]="Environmental")*(OP_RatesTU_SME_2[Rate name]=CH_CostStack_SME!$C103),0),1))</f>
        <v>-1.4016011881474891E-3</v>
      </c>
      <c r="N103" s="72" cm="1">
        <f t="array" ref="N103">IF(ISNUMBER(SEARCH("Residential",$K$48)),
INDEX(OP_RatesTU_RES_2[Jemena],MATCH(1,(OP_RatesTU_RES_2[Cost element]="Environmental")*(OP_RatesTU_RES_2[Rate name]=CH_CostStack_SME!$C103),0),1),
INDEX(OP_RatesTU_SME_2[Jemena],MATCH(1,(OP_RatesTU_SME_2[Cost element]="Environmental")*(OP_RatesTU_SME_2[Rate name]=CH_CostStack_SME!$C103),0),1))</f>
        <v>-1.3896720485833702E-3</v>
      </c>
      <c r="O103" s="72" cm="1">
        <f t="array" ref="O103">IF(ISNUMBER(SEARCH("Residential",$K$48)),
INDEX(OP_RatesTU_RES_2[Powercor],MATCH(1,(OP_RatesTU_RES_2[Cost element]="Environmental")*(OP_RatesTU_RES_2[Rate name]=CH_CostStack_SME!$C103),0),1),
INDEX(OP_RatesTU_SME_2[Powercor],MATCH(1,(OP_RatesTU_SME_2[Cost element]="Environmental")*(OP_RatesTU_SME_2[Rate name]=CH_CostStack_SME!$C103),0),1))</f>
        <v>-1.432313335205126E-3</v>
      </c>
      <c r="P103" s="72" cm="1">
        <f t="array" ref="P103">IF(ISNUMBER(SEARCH("Residential",$K$48)),
INDEX(OP_RatesTU_RES_2[United Energy],MATCH(1,(OP_RatesTU_RES_2[Cost element]="Environmental")*(OP_RatesTU_RES_2[Rate name]=CH_CostStack_SME!$C103),0),1),
INDEX(OP_RatesTU_SME_2[United Energy],MATCH(1,(OP_RatesTU_SME_2[Cost element]="Environmental")*(OP_RatesTU_SME_2[Rate name]=CH_CostStack_SME!$C103),0),1))</f>
        <v>-1.3977880905040913E-3</v>
      </c>
    </row>
    <row r="109" spans="3:16" x14ac:dyDescent="0.25">
      <c r="D109" s="81"/>
    </row>
  </sheetData>
  <sheetProtection algorithmName="SHA-512" hashValue="Wb3GzkhspBqhHwO8c07jf04AGwKzuH+wqwSexj7R54Bp2w6mhOscjgoxTZcuDRU22w5/uowZ0ZEd+F+qvjP+YA==" saltValue="yqywr/5WLZjEbaV3a5b+6w==" spinCount="100000" sheet="1" objects="1" scenarios="1"/>
  <mergeCells count="1">
    <mergeCell ref="A2:A3"/>
  </mergeCells>
  <dataValidations count="2">
    <dataValidation type="list" allowBlank="1" showInputMessage="1" showErrorMessage="1" sqref="D31" xr:uid="{6BCABA61-F090-4D0F-ABD5-92940F5878BB}">
      <formula1>$D$54:$I$54</formula1>
    </dataValidation>
    <dataValidation type="list" allowBlank="1" showInputMessage="1" showErrorMessage="1" sqref="D32" xr:uid="{DF33FDCE-05AB-4550-AFC9-8592FC6562AE}">
      <formula1>"Residential,Small business"</formula1>
    </dataValidation>
  </dataValidations>
  <hyperlinks>
    <hyperlink ref="B1" location="Contents!A1" display="&lt;&lt; Back to Contents" xr:uid="{8F67173D-3138-416B-A3DD-87D3DA3E4E62}"/>
  </hyperlink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645C930-BF7B-480B-B40F-E64015FCE4AD}">
          <x14:formula1>
            <xm:f>'Lookup refs'!$I$8:$I$13</xm:f>
          </x14:formula1>
          <xm:sqref>C48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B1C72-3D7D-4B21-9A91-1CD2662F8BE7}">
  <sheetPr>
    <tabColor rgb="FFED8B00"/>
    <pageSetUpPr autoPageBreaks="0"/>
  </sheetPr>
  <dimension ref="A1:R111"/>
  <sheetViews>
    <sheetView showGridLines="0" topLeftCell="B1" zoomScale="60" zoomScaleNormal="60" workbookViewId="0">
      <pane ySplit="3" topLeftCell="A55" activePane="bottomLeft" state="frozen"/>
      <selection activeCell="B33" sqref="B33"/>
      <selection pane="bottomLeft" activeCell="D65" sqref="D65"/>
    </sheetView>
  </sheetViews>
  <sheetFormatPr defaultColWidth="9.42578125" defaultRowHeight="15" outlineLevelRow="1" outlineLevelCol="1" x14ac:dyDescent="0.25"/>
  <cols>
    <col min="1" max="1" width="100.5703125" hidden="1" customWidth="1" outlineLevel="1"/>
    <col min="2" max="2" width="10.5703125" style="5" customWidth="1" collapsed="1"/>
    <col min="3" max="10" width="25.5703125" customWidth="1"/>
    <col min="11" max="11" width="33.28515625" bestFit="1" customWidth="1"/>
    <col min="12" max="17" width="25.5703125" customWidth="1"/>
    <col min="18" max="18" width="10.140625" customWidth="1"/>
  </cols>
  <sheetData>
    <row r="1" spans="1:18" ht="15" customHeight="1" x14ac:dyDescent="0.25">
      <c r="A1" s="1" t="s">
        <v>33</v>
      </c>
      <c r="B1" s="249" t="s">
        <v>576</v>
      </c>
      <c r="C1" s="13"/>
      <c r="D1" s="13"/>
      <c r="E1" s="13"/>
      <c r="F1" s="85" t="s">
        <v>58</v>
      </c>
      <c r="G1" s="70"/>
      <c r="H1" s="13"/>
      <c r="I1" s="13"/>
      <c r="J1" s="13"/>
      <c r="K1" s="13"/>
      <c r="L1" s="13"/>
      <c r="M1" s="13"/>
      <c r="N1" s="13"/>
      <c r="O1" s="13"/>
      <c r="P1" s="13"/>
      <c r="Q1" s="13"/>
      <c r="R1" s="13"/>
    </row>
    <row r="2" spans="1:18" s="3" customFormat="1" ht="50.1" customHeight="1" x14ac:dyDescent="0.25">
      <c r="A2" s="253" t="s">
        <v>34</v>
      </c>
      <c r="B2" s="16"/>
      <c r="C2" s="16" t="str">
        <f>Disclaimer!$B$1</f>
        <v>VDO calculation model</v>
      </c>
      <c r="D2" s="16"/>
      <c r="E2" s="16"/>
      <c r="F2" s="124" t="str">
        <f>Calc_Rates!$D$5</f>
        <v>VDO 2024-25 - Final</v>
      </c>
      <c r="G2" s="124" t="str">
        <f>Calc_Rates!$D$267</f>
        <v>VDO 2023-24 - Final</v>
      </c>
      <c r="H2" s="16"/>
      <c r="I2" s="16"/>
      <c r="J2" s="16"/>
      <c r="K2" s="16"/>
      <c r="L2" s="16"/>
      <c r="M2" s="16"/>
      <c r="N2" s="16"/>
      <c r="O2" s="16"/>
      <c r="P2" s="16"/>
      <c r="Q2" s="16"/>
      <c r="R2" s="16"/>
    </row>
    <row r="3" spans="1:18" s="3" customFormat="1" ht="30" customHeight="1" x14ac:dyDescent="0.25">
      <c r="A3" s="254"/>
      <c r="B3" s="18">
        <f ca="1">_xlfn.SHEET()</f>
        <v>9</v>
      </c>
      <c r="C3" s="17" t="s">
        <v>512</v>
      </c>
      <c r="D3" s="17"/>
      <c r="E3" s="17"/>
      <c r="F3" s="69">
        <f>SUM(D70:H70,M35)</f>
        <v>0</v>
      </c>
      <c r="G3" s="69">
        <f>SUM(L70:P70,M36)</f>
        <v>0</v>
      </c>
      <c r="H3" s="17"/>
      <c r="I3" s="17"/>
      <c r="J3" s="17"/>
      <c r="K3" s="17"/>
      <c r="L3" s="17"/>
      <c r="M3" s="17"/>
      <c r="N3" s="17"/>
      <c r="O3" s="17"/>
      <c r="P3" s="17"/>
      <c r="Q3" s="17"/>
      <c r="R3" s="17"/>
    </row>
    <row r="4" spans="1:18" x14ac:dyDescent="0.25">
      <c r="B4"/>
    </row>
    <row r="5" spans="1:18" ht="16.5" thickBot="1" x14ac:dyDescent="0.3">
      <c r="A5" s="1" t="s">
        <v>36</v>
      </c>
      <c r="B5" s="155">
        <f ca="1">MAX(B$3:B4)+0.01</f>
        <v>9.01</v>
      </c>
      <c r="C5" s="19" t="str">
        <f>"VDO cost stack chart - Flat VDO - "&amp;IF(ISNUMBER(SEARCH("Residential",$C$48)),"Residential","Small business")</f>
        <v>VDO cost stack chart - Flat VDO - Small business</v>
      </c>
      <c r="D5" s="19"/>
      <c r="E5" s="19"/>
      <c r="F5" s="19"/>
      <c r="G5" s="19"/>
      <c r="H5" s="19"/>
      <c r="I5" s="19"/>
      <c r="J5" s="19"/>
      <c r="K5" s="19"/>
      <c r="L5" s="19"/>
      <c r="M5" s="19"/>
      <c r="N5" s="19"/>
      <c r="O5" s="19"/>
      <c r="P5" s="19"/>
      <c r="Q5" s="19"/>
      <c r="R5" s="19"/>
    </row>
    <row r="6" spans="1:18" outlineLevel="1" x14ac:dyDescent="0.25">
      <c r="B6"/>
    </row>
    <row r="7" spans="1:18" outlineLevel="1" x14ac:dyDescent="0.25">
      <c r="B7"/>
    </row>
    <row r="8" spans="1:18" outlineLevel="1" x14ac:dyDescent="0.25">
      <c r="B8"/>
    </row>
    <row r="9" spans="1:18" outlineLevel="1" x14ac:dyDescent="0.25">
      <c r="B9"/>
    </row>
    <row r="10" spans="1:18" outlineLevel="1" x14ac:dyDescent="0.25">
      <c r="B10"/>
      <c r="K10" t="s">
        <v>382</v>
      </c>
    </row>
    <row r="11" spans="1:18" outlineLevel="1" x14ac:dyDescent="0.25">
      <c r="B11"/>
    </row>
    <row r="12" spans="1:18" outlineLevel="1" x14ac:dyDescent="0.25">
      <c r="B12"/>
    </row>
    <row r="13" spans="1:18" outlineLevel="1" x14ac:dyDescent="0.25">
      <c r="B13"/>
    </row>
    <row r="14" spans="1:18" outlineLevel="1" x14ac:dyDescent="0.25">
      <c r="B14"/>
    </row>
    <row r="15" spans="1:18" outlineLevel="1" x14ac:dyDescent="0.25">
      <c r="B15"/>
    </row>
    <row r="16" spans="1:18" outlineLevel="1" x14ac:dyDescent="0.25">
      <c r="B16"/>
    </row>
    <row r="17" spans="2:16" outlineLevel="1" x14ac:dyDescent="0.25">
      <c r="B17"/>
    </row>
    <row r="18" spans="2:16" outlineLevel="1" x14ac:dyDescent="0.25">
      <c r="B18"/>
    </row>
    <row r="19" spans="2:16" outlineLevel="1" x14ac:dyDescent="0.25">
      <c r="B19"/>
    </row>
    <row r="20" spans="2:16" outlineLevel="1" x14ac:dyDescent="0.25">
      <c r="B20"/>
    </row>
    <row r="21" spans="2:16" outlineLevel="1" x14ac:dyDescent="0.25">
      <c r="B21"/>
    </row>
    <row r="22" spans="2:16" outlineLevel="1" x14ac:dyDescent="0.25">
      <c r="B22"/>
      <c r="L22" s="83"/>
    </row>
    <row r="23" spans="2:16" outlineLevel="1" x14ac:dyDescent="0.25">
      <c r="B23"/>
      <c r="L23" s="127"/>
    </row>
    <row r="24" spans="2:16" outlineLevel="1" x14ac:dyDescent="0.25">
      <c r="B24"/>
    </row>
    <row r="25" spans="2:16" outlineLevel="1" x14ac:dyDescent="0.25">
      <c r="B25"/>
    </row>
    <row r="26" spans="2:16" outlineLevel="1" x14ac:dyDescent="0.25">
      <c r="B26"/>
    </row>
    <row r="27" spans="2:16" outlineLevel="1" x14ac:dyDescent="0.25">
      <c r="B27"/>
    </row>
    <row r="28" spans="2:16" outlineLevel="1" x14ac:dyDescent="0.25">
      <c r="B28"/>
    </row>
    <row r="29" spans="2:16" outlineLevel="1" x14ac:dyDescent="0.25">
      <c r="B29"/>
    </row>
    <row r="30" spans="2:16" outlineLevel="1" x14ac:dyDescent="0.25">
      <c r="B30"/>
    </row>
    <row r="31" spans="2:16" ht="15.75" outlineLevel="1" x14ac:dyDescent="0.25">
      <c r="B31"/>
      <c r="C31" s="29" t="s">
        <v>513</v>
      </c>
      <c r="D31" s="180" t="s">
        <v>514</v>
      </c>
    </row>
    <row r="32" spans="2:16" ht="15.75" outlineLevel="1" x14ac:dyDescent="0.25">
      <c r="B32"/>
      <c r="C32" s="29" t="s">
        <v>515</v>
      </c>
      <c r="D32" s="75" t="s">
        <v>73</v>
      </c>
      <c r="P32" s="61"/>
    </row>
    <row r="33" spans="1:18" outlineLevel="1" x14ac:dyDescent="0.25">
      <c r="B33"/>
    </row>
    <row r="34" spans="1:18" ht="15.75" outlineLevel="1" x14ac:dyDescent="0.25">
      <c r="B34"/>
      <c r="C34" s="29" t="s">
        <v>516</v>
      </c>
      <c r="D34" s="29" t="s">
        <v>182</v>
      </c>
      <c r="E34" s="29" t="s">
        <v>87</v>
      </c>
      <c r="F34" s="29" t="s">
        <v>136</v>
      </c>
      <c r="G34" s="29" t="s">
        <v>89</v>
      </c>
      <c r="H34" s="29" t="s">
        <v>147</v>
      </c>
      <c r="I34" s="29" t="s">
        <v>262</v>
      </c>
      <c r="J34" s="29" t="s">
        <v>366</v>
      </c>
      <c r="K34" s="29" t="s">
        <v>517</v>
      </c>
    </row>
    <row r="35" spans="1:18" ht="15.75" outlineLevel="1" x14ac:dyDescent="0.25">
      <c r="B35"/>
      <c r="C35" s="58" t="str">
        <f>$L$45</f>
        <v>VDO 2023-24 - Final</v>
      </c>
      <c r="D35" s="76">
        <f>INDEX(CostStackCalcs_SME_4[[Ausnet]:[Average]],MATCH(D$34,CostStackCalcs_SME_4[Labels],0),MATCH($D$31,CostStackCalcs_SME_4[[#Headers],[Ausnet]:[Average]],0))</f>
        <v>1357.5515346254031</v>
      </c>
      <c r="E35" s="76">
        <f>INDEX(CostStackCalcs_SME_4[[Ausnet]:[Average]],MATCH(E$34,CostStackCalcs_SME_4[[Labels]:[Labels]],0),MATCH($D$31,CostStackCalcs_SME_4[[#Headers],[Ausnet]:[Average]],0))</f>
        <v>1395.1974513925231</v>
      </c>
      <c r="F35" s="76">
        <f>INDEX(CostStackCalcs_SME_4[[Ausnet]:[Average]],MATCH(F$34,CostStackCalcs_SME_4[[Labels]:[Labels]],0),MATCH($D$31,CostStackCalcs_SME_4[[#Headers],[Ausnet]:[Average]],0))</f>
        <v>175.92415101117138</v>
      </c>
      <c r="G35" s="76">
        <f>INDEX(CostStackCalcs_SME_4[[Ausnet]:[Average]],MATCH("Environmental schemes",CostStackCalcs_SME_4[[Labels]:[Labels]],0),MATCH($D$31,CostStackCalcs_SME_4[[#Headers],[Ausnet]:[Average]],0))+
INDEX(CostStackCalcs_SME_4[[Ausnet]:[Average]],MATCH("FiT",CostStackCalcs_SME_4[[Labels]:[Labels]],0),MATCH($D$31,CostStackCalcs_SME_4[[#Headers],[Ausnet]:[Average]],0))+
IF(INDEX(CostStackCalcs_SME_4[[Ausnet]:[Average]],MATCH("Environmental true up",CostStackCalcs_SME_4[[Labels]:[Labels]],0),MATCH($D$31,CostStackCalcs_SME_4[[#Headers],[Ausnet]:[Average]],0))="-",0,
INDEX(CostStackCalcs_SME_4[[Ausnet]:[Average]],MATCH("Environmental true up",CostStackCalcs_SME_4[[Labels]:[Labels]],0),MATCH($D$31,CostStackCalcs_SME_4[[#Headers],[Ausnet]:[Average]],0)))</f>
        <v>303.86082754516286</v>
      </c>
      <c r="H35" s="76">
        <f>INDEX(CostStackCalcs_SME_4[[Ausnet]:[Average]],MATCH(H$34,CostStackCalcs_SME_4[[Labels]:[Labels]],0),MATCH($D$31,CostStackCalcs_SME_4[[#Headers],[Ausnet]:[Average]],0))</f>
        <v>28.443481536271662</v>
      </c>
      <c r="I35" s="76">
        <f>INDEX(CostStackCalcs_SME_4[[Ausnet]:[Average]],MATCH(I$34,CostStackCalcs_SME_4[[Labels]:[Labels]],0),MATCH($D$31,CostStackCalcs_SME_4[[#Headers],[Ausnet]:[Average]],0))</f>
        <v>183.40618237296695</v>
      </c>
      <c r="J35" s="76">
        <f>INDEX(CostStackCalcs_SME_4[[Ausnet]:[Average]],MATCH(J$34,CostStackCalcs_SME_4[[Labels]:[Labels]],0),MATCH($D$31,CostStackCalcs_SME_4[[#Headers],[Ausnet]:[Average]],0))</f>
        <v>345.8516581890234</v>
      </c>
      <c r="K35" s="76">
        <f>INDEX(CostStackCalcs_SME_4[[Ausnet]:[Average]],MATCH(K$34,CostStackCalcs_SME_4[[Labels]:[Labels]],0),MATCH($D$31,CostStackCalcs_SME_4[[#Headers],[Ausnet]:[Average]],0))</f>
        <v>3791</v>
      </c>
      <c r="M35" s="15">
        <f>IF(OR(ROUNDUP(SUM(D35:J35),0)-K35&lt;1,ROUNDUP(SUM(D35:J35),0)-K35&gt;-1),0,1)</f>
        <v>0</v>
      </c>
      <c r="N35" s="83"/>
      <c r="O35" s="83"/>
      <c r="P35" s="83"/>
      <c r="Q35" s="83"/>
      <c r="R35" s="83"/>
    </row>
    <row r="36" spans="1:18" ht="15.75" outlineLevel="1" x14ac:dyDescent="0.25">
      <c r="B36"/>
      <c r="C36" s="58" t="str">
        <f>$D$45</f>
        <v>VDO 2024-25 - Final</v>
      </c>
      <c r="D36" s="76">
        <f>INDEX(CostStackCalcs_SME_3[[Ausnet]:[Average]],MATCH(D$34,CostStackCalcs_SME_3[[Labels]:[Labels]],0),MATCH($D$31,CostStackCalcs_SME_3[[#Headers],[Ausnet]:[Average]],0))</f>
        <v>987.26311957835003</v>
      </c>
      <c r="E36" s="76">
        <f>INDEX(CostStackCalcs_SME_3[[Ausnet]:[Average]],MATCH(E$34,CostStackCalcs_SME_3[[Labels]:[Labels]],0),MATCH($D$31,CostStackCalcs_SME_3[[#Headers],[Ausnet]:[Average]],0))</f>
        <v>1503.689551045914</v>
      </c>
      <c r="F36" s="76">
        <f>INDEX(CostStackCalcs_SME_3[[Ausnet]:[Average]],MATCH(F$34,CostStackCalcs_SME_3[[Labels]:[Labels]],0),MATCH($D$31,CostStackCalcs_SME_3[[#Headers],[Ausnet]:[Average]],0))</f>
        <v>185.86772433721131</v>
      </c>
      <c r="G36" s="76">
        <f>INDEX(CostStackCalcs_SME_3[[Ausnet]:[Average]],MATCH("Environmental schemes",CostStackCalcs_SME_3[[Labels]:[Labels]],0),MATCH($D$31,CostStackCalcs_SME_3[[#Headers],[Ausnet]:[Average]],0))+
INDEX(CostStackCalcs_SME_3[[Ausnet]:[Average]],MATCH("FiT",CostStackCalcs_SME_3[[Labels]:[Labels]],0),MATCH($D$31,CostStackCalcs_SME_3[[#Headers],[Ausnet]:[Average]],0))+
IF(INDEX(CostStackCalcs_SME_3[[Ausnet]:[Average]],MATCH("Environmental true up",CostStackCalcs_SME_3[[Labels]:[Labels]],0),MATCH($D$31,CostStackCalcs_SME_3[[#Headers],[Ausnet]:[Average]],0))="-",0,
INDEX(CostStackCalcs_SME_3[[Ausnet]:[Average]],MATCH("Environmental true up",CostStackCalcs_SME_3[[Labels]:[Labels]],0),MATCH($D$31,CostStackCalcs_SME_3[[#Headers],[Ausnet]:[Average]],0)))</f>
        <v>338.04189529562461</v>
      </c>
      <c r="H36" s="76">
        <f>INDEX(CostStackCalcs_SME_3[[Ausnet]:[Average]],MATCH(H$34,CostStackCalcs_SME_3[[Labels]:[Labels]],0),MATCH($D$31,CostStackCalcs_SME_3[[#Headers],[Ausnet]:[Average]],0))</f>
        <v>24.737607390560775</v>
      </c>
      <c r="I36" s="76">
        <f>INDEX(CostStackCalcs_SME_3[[Ausnet]:[Average]],MATCH(I$34,CostStackCalcs_SME_3[[Labels]:[Labels]],0),MATCH($D$31,CostStackCalcs_SME_3[[#Headers],[Ausnet]:[Average]],0))</f>
        <v>169.85679296908253</v>
      </c>
      <c r="J36" s="76">
        <f>INDEX(CostStackCalcs_SME_3[[Ausnet]:[Average]],MATCH(J$34,CostStackCalcs_SME_3[[Labels]:[Labels]],0),MATCH($D$31,CostStackCalcs_SME_3[[#Headers],[Ausnet]:[Average]],0))</f>
        <v>320.30138102741273</v>
      </c>
      <c r="K36" s="76">
        <f>INDEX(CostStackCalcs_SME_3[[Ausnet]:[Average]],MATCH(K$34,CostStackCalcs_SME_3[[Labels]:[Labels]],0),MATCH($D$31,CostStackCalcs_SME_3[[#Headers],[Ausnet]:[Average]],0))</f>
        <v>3530.2</v>
      </c>
      <c r="M36" s="15">
        <f>IF(OR(ROUNDUP(SUM(D36:J36),0)-K36&lt;1,ROUNDUP(SUM(D36:J36),0)-K36&gt;-1),0,1)</f>
        <v>0</v>
      </c>
      <c r="N36" s="127"/>
      <c r="O36" s="127"/>
      <c r="P36" s="127"/>
      <c r="Q36" s="127"/>
      <c r="R36" s="127"/>
    </row>
    <row r="37" spans="1:18" outlineLevel="1" x14ac:dyDescent="0.25">
      <c r="B37"/>
      <c r="D37" s="83">
        <f t="shared" ref="D37:K37" si="0">D36-D35</f>
        <v>-370.28841504705304</v>
      </c>
      <c r="E37" s="83">
        <f t="shared" si="0"/>
        <v>108.49209965339082</v>
      </c>
      <c r="F37" s="83">
        <f t="shared" si="0"/>
        <v>9.9435733260399388</v>
      </c>
      <c r="G37" s="83">
        <f t="shared" si="0"/>
        <v>34.18106775046175</v>
      </c>
      <c r="H37" s="83">
        <f t="shared" si="0"/>
        <v>-3.7058741457108866</v>
      </c>
      <c r="I37" s="83">
        <f t="shared" si="0"/>
        <v>-13.549389403884419</v>
      </c>
      <c r="J37" s="83">
        <f t="shared" si="0"/>
        <v>-25.550277161610666</v>
      </c>
      <c r="K37" s="83">
        <f t="shared" si="0"/>
        <v>-260.80000000000018</v>
      </c>
      <c r="M37" s="84"/>
      <c r="N37" s="83"/>
    </row>
    <row r="38" spans="1:18" outlineLevel="1" x14ac:dyDescent="0.25">
      <c r="B38"/>
      <c r="C38" s="58" t="str">
        <f>$L$45</f>
        <v>VDO 2023-24 - Final</v>
      </c>
      <c r="D38" s="81">
        <f>D35/$K35</f>
        <v>0.35809853195077895</v>
      </c>
      <c r="E38" s="81">
        <f t="shared" ref="E38:K39" si="1">E35/$K35</f>
        <v>0.36802887137761098</v>
      </c>
      <c r="F38" s="81">
        <f t="shared" si="1"/>
        <v>4.6405737539216931E-2</v>
      </c>
      <c r="G38" s="81">
        <f t="shared" si="1"/>
        <v>8.015321222504955E-2</v>
      </c>
      <c r="H38" s="81">
        <f t="shared" si="1"/>
        <v>7.5028967386630606E-3</v>
      </c>
      <c r="I38" s="81">
        <f t="shared" si="1"/>
        <v>4.8379367547604052E-2</v>
      </c>
      <c r="J38" s="81">
        <f t="shared" si="1"/>
        <v>9.1229664518339068E-2</v>
      </c>
      <c r="K38" s="81">
        <f t="shared" si="1"/>
        <v>1</v>
      </c>
    </row>
    <row r="39" spans="1:18" outlineLevel="1" x14ac:dyDescent="0.25">
      <c r="B39"/>
      <c r="C39" s="58" t="str">
        <f>$D$45</f>
        <v>VDO 2024-25 - Final</v>
      </c>
      <c r="D39" s="81">
        <f>D36/$K36</f>
        <v>0.27966209267983405</v>
      </c>
      <c r="E39" s="81">
        <f>E36/$K36</f>
        <v>0.42595024390853609</v>
      </c>
      <c r="F39" s="81">
        <f t="shared" si="1"/>
        <v>5.2650763225089603E-2</v>
      </c>
      <c r="G39" s="81">
        <f>G36/$K36</f>
        <v>9.5757151236650795E-2</v>
      </c>
      <c r="H39" s="81">
        <f t="shared" si="1"/>
        <v>7.0074237693503981E-3</v>
      </c>
      <c r="I39" s="81">
        <f t="shared" si="1"/>
        <v>4.8115345580727026E-2</v>
      </c>
      <c r="J39" s="81">
        <f t="shared" si="1"/>
        <v>9.0731794523656664E-2</v>
      </c>
      <c r="K39" s="81">
        <f t="shared" si="1"/>
        <v>1</v>
      </c>
    </row>
    <row r="40" spans="1:18" ht="15.75" outlineLevel="1" x14ac:dyDescent="0.25">
      <c r="B40"/>
      <c r="C40" s="20" t="s">
        <v>518</v>
      </c>
      <c r="D40" s="81">
        <f>(D36-D35)/D35</f>
        <v>-0.27276195827750205</v>
      </c>
      <c r="E40" s="81">
        <f>(E36-E35)/E35</f>
        <v>7.7761107967267776E-2</v>
      </c>
      <c r="F40" s="81">
        <f t="shared" ref="F40:J40" si="2">(F36-F35)/F35</f>
        <v>5.6521934418251145E-2</v>
      </c>
      <c r="G40" s="81">
        <f>(G36-G35)/G35</f>
        <v>0.11248922089301365</v>
      </c>
      <c r="H40" s="81">
        <f t="shared" si="2"/>
        <v>-0.13028904851134648</v>
      </c>
      <c r="I40" s="81">
        <f t="shared" si="2"/>
        <v>-7.3876404974893159E-2</v>
      </c>
      <c r="J40" s="81">
        <f t="shared" si="2"/>
        <v>-7.3876404974893298E-2</v>
      </c>
      <c r="K40" s="84">
        <f>(K36-K35)/K35</f>
        <v>-6.8794513321023529E-2</v>
      </c>
    </row>
    <row r="41" spans="1:18" ht="15.75" outlineLevel="1" x14ac:dyDescent="0.25">
      <c r="B41"/>
      <c r="C41" s="20" t="s">
        <v>519</v>
      </c>
      <c r="D41" s="81">
        <f t="shared" ref="D41:J41" si="3">D38*D40</f>
        <v>-9.76756568311931E-2</v>
      </c>
      <c r="E41" s="81">
        <f t="shared" si="3"/>
        <v>2.8618332802266111E-2</v>
      </c>
      <c r="F41" s="81">
        <f t="shared" si="3"/>
        <v>2.6229420538221946E-3</v>
      </c>
      <c r="G41" s="81">
        <f t="shared" si="3"/>
        <v>9.0163723952682018E-3</v>
      </c>
      <c r="H41" s="81">
        <f t="shared" si="3"/>
        <v>-9.7754527715929488E-4</v>
      </c>
      <c r="I41" s="81">
        <f t="shared" si="3"/>
        <v>-3.5740937493760005E-3</v>
      </c>
      <c r="J41" s="81">
        <f t="shared" si="3"/>
        <v>-6.7397196416804708E-3</v>
      </c>
      <c r="K41" s="84">
        <f>SUM(D41:J41)</f>
        <v>-6.8709368248052349E-2</v>
      </c>
      <c r="M41" s="15">
        <f>IF(ROUND(K41,2)=ROUND(K40,2),0,1)</f>
        <v>0</v>
      </c>
    </row>
    <row r="42" spans="1:18" x14ac:dyDescent="0.25">
      <c r="B42"/>
      <c r="K42" s="83"/>
      <c r="L42" s="84"/>
    </row>
    <row r="43" spans="1:18" ht="16.5" thickBot="1" x14ac:dyDescent="0.3">
      <c r="A43" s="1" t="s">
        <v>36</v>
      </c>
      <c r="B43" s="155">
        <f ca="1">MAX(B$3:B42)+0.01</f>
        <v>9.02</v>
      </c>
      <c r="C43" s="19" t="str">
        <f>"VDO cost stack calcs - Flat VDO - "&amp;IF(ISNUMBER(SEARCH("Residential",$C$48)),"Residential","Small business")</f>
        <v>VDO cost stack calcs - Flat VDO - Small business</v>
      </c>
      <c r="D43" s="19"/>
      <c r="E43" s="19"/>
      <c r="F43" s="19"/>
      <c r="G43" s="19"/>
      <c r="H43" s="19"/>
      <c r="I43" s="19"/>
      <c r="J43" s="19"/>
      <c r="K43" s="19"/>
      <c r="L43" s="19"/>
      <c r="M43" s="19"/>
      <c r="N43" s="19"/>
      <c r="O43" s="19"/>
      <c r="P43" s="19"/>
      <c r="Q43" s="19"/>
      <c r="R43" s="19"/>
    </row>
    <row r="44" spans="1:18" outlineLevel="1" x14ac:dyDescent="0.25"/>
    <row r="45" spans="1:18" ht="15.75" outlineLevel="1" x14ac:dyDescent="0.25">
      <c r="C45" s="36" t="s">
        <v>49</v>
      </c>
      <c r="D45" s="28" t="str">
        <f>FY</f>
        <v>VDO 2024-25 - Final</v>
      </c>
      <c r="K45" s="36" t="s">
        <v>49</v>
      </c>
      <c r="L45" s="28" t="str">
        <f>PY</f>
        <v>VDO 2023-24 - Final</v>
      </c>
    </row>
    <row r="46" spans="1:18" ht="15.75" outlineLevel="1" x14ac:dyDescent="0.25">
      <c r="C46" s="20"/>
      <c r="K46" s="20"/>
    </row>
    <row r="47" spans="1:18" ht="15.75" outlineLevel="1" x14ac:dyDescent="0.25">
      <c r="C47" s="29" t="s">
        <v>91</v>
      </c>
      <c r="D47" s="32" t="s">
        <v>520</v>
      </c>
      <c r="F47" s="20"/>
      <c r="K47" s="29" t="s">
        <v>91</v>
      </c>
      <c r="L47" s="32" t="s">
        <v>520</v>
      </c>
    </row>
    <row r="48" spans="1:18" outlineLevel="1" x14ac:dyDescent="0.25">
      <c r="C48" s="147" t="s">
        <v>93</v>
      </c>
      <c r="D48" s="146">
        <f>INDEX(Input_Usage[],MATCH(C48&amp;" - Annual",Input_Usage[Ref],0),MATCH($D$45,Inputs!$C$147:$BA$147,0))</f>
        <v>10000</v>
      </c>
      <c r="K48" s="58" t="str">
        <f>$C$48</f>
        <v>Small business - small</v>
      </c>
      <c r="L48" s="146">
        <f>INDEX(Input_Usage[],MATCH(K48&amp;" - Annual",Input_Usage[Ref],0),MATCH($L$45,Inputs!$C$147:$BA$147,0))</f>
        <v>10000</v>
      </c>
    </row>
    <row r="49" spans="3:17" ht="15.75" outlineLevel="1" x14ac:dyDescent="0.25">
      <c r="C49" s="20"/>
      <c r="K49" s="20"/>
    </row>
    <row r="50" spans="3:17" ht="15.75" outlineLevel="1" x14ac:dyDescent="0.25">
      <c r="C50" s="29" t="s">
        <v>74</v>
      </c>
      <c r="D50" s="146">
        <f>INDEX(Input_Usage[],MATCH(C$48&amp;" - "&amp;C50,Input_Usage[Ref],0),MATCH(D$45,Inputs!$C$147:$BA$147,0))</f>
        <v>4080</v>
      </c>
      <c r="G50" s="36" t="s">
        <v>305</v>
      </c>
      <c r="I50" s="52">
        <f>Standard_regulatory_period</f>
        <v>365</v>
      </c>
      <c r="K50" s="29" t="s">
        <v>74</v>
      </c>
      <c r="L50" s="146">
        <f>INDEX(Input_Usage[],MATCH(K$48&amp;" - "&amp;K50,Input_Usage[Ref],0),MATCH(L$45,Inputs!$C$147:$BA$147,0))</f>
        <v>4080</v>
      </c>
      <c r="O50" s="36" t="s">
        <v>305</v>
      </c>
      <c r="Q50" s="52">
        <f>Standard_regulatory_period</f>
        <v>365</v>
      </c>
    </row>
    <row r="51" spans="3:17" ht="15.75" outlineLevel="1" x14ac:dyDescent="0.25">
      <c r="C51" s="29" t="s">
        <v>76</v>
      </c>
      <c r="D51" s="146">
        <f>INDEX(Input_Usage[],MATCH(C$48&amp;" - "&amp;C51,Input_Usage[Ref],0),MATCH(D$45,Inputs!$C$147:$BA$147,0))</f>
        <v>5920</v>
      </c>
      <c r="G51" s="36" t="s">
        <v>108</v>
      </c>
      <c r="H51" s="58" t="str">
        <f>D45</f>
        <v>VDO 2024-25 - Final</v>
      </c>
      <c r="I51" s="52">
        <f>INDEX(Input_TU_Periods[],2,MATCH(H51,Inputs!$C$203:$BM$203,0))</f>
        <v>365</v>
      </c>
      <c r="K51" s="29" t="s">
        <v>76</v>
      </c>
      <c r="L51" s="146">
        <f>INDEX(Input_Usage[],MATCH(K$48&amp;" - "&amp;K51,Input_Usage[Ref],0),MATCH(L$45,Inputs!$C$147:$BA$147,0))</f>
        <v>5920</v>
      </c>
      <c r="O51" s="36" t="s">
        <v>108</v>
      </c>
      <c r="P51" s="58" t="str">
        <f>PY</f>
        <v>VDO 2023-24 - Final</v>
      </c>
      <c r="Q51" s="52">
        <f>INDEX(Input_TU_Periods[],2,MATCH(P51,Inputs!$C$203:$BM$203,0))</f>
        <v>366</v>
      </c>
    </row>
    <row r="52" spans="3:17" ht="15.75" outlineLevel="1" x14ac:dyDescent="0.25">
      <c r="C52" s="20"/>
      <c r="D52" s="80"/>
      <c r="K52" s="20"/>
    </row>
    <row r="53" spans="3:17" ht="15.75" outlineLevel="1" x14ac:dyDescent="0.25">
      <c r="C53" s="20"/>
      <c r="D53" s="80"/>
      <c r="K53" s="20"/>
    </row>
    <row r="54" spans="3:17" ht="15.75" outlineLevel="1" x14ac:dyDescent="0.25">
      <c r="C54" s="30" t="s">
        <v>521</v>
      </c>
      <c r="D54" s="40" t="s">
        <v>65</v>
      </c>
      <c r="E54" s="40" t="s">
        <v>66</v>
      </c>
      <c r="F54" s="40" t="s">
        <v>67</v>
      </c>
      <c r="G54" s="40" t="s">
        <v>68</v>
      </c>
      <c r="H54" s="40" t="s">
        <v>69</v>
      </c>
      <c r="I54" s="40" t="s">
        <v>514</v>
      </c>
      <c r="K54" s="30" t="s">
        <v>521</v>
      </c>
      <c r="L54" s="40" t="s">
        <v>65</v>
      </c>
      <c r="M54" s="40" t="s">
        <v>66</v>
      </c>
      <c r="N54" s="40" t="s">
        <v>67</v>
      </c>
      <c r="O54" s="40" t="s">
        <v>68</v>
      </c>
      <c r="P54" s="40" t="s">
        <v>69</v>
      </c>
      <c r="Q54" s="40" t="s">
        <v>514</v>
      </c>
    </row>
    <row r="55" spans="3:17" outlineLevel="1" x14ac:dyDescent="0.25">
      <c r="C55" s="14" t="s">
        <v>182</v>
      </c>
      <c r="D55" s="73">
        <f>D$88*($D$48*(1+D$74))</f>
        <v>1016.4760470892594</v>
      </c>
      <c r="E55" s="73">
        <f>E$88*($D$48*(1+E$74))</f>
        <v>938.69171527560013</v>
      </c>
      <c r="F55" s="73">
        <f>F$88*($D$48*(1+F$74))</f>
        <v>998.44334093400016</v>
      </c>
      <c r="G55" s="73">
        <f>G$88*($D$48*(1+G$74))</f>
        <v>995.45893356707268</v>
      </c>
      <c r="H55" s="73">
        <f>H$88*($D$48*(1+H$74))</f>
        <v>987.24556102581835</v>
      </c>
      <c r="I55" s="74">
        <f>AVERAGE(D55:H55)</f>
        <v>987.26311957835003</v>
      </c>
      <c r="J55" s="128"/>
      <c r="K55" s="14" t="s">
        <v>182</v>
      </c>
      <c r="L55" s="73">
        <f>L$88*($L$48*(1+L$74))</f>
        <v>1395.4483407377236</v>
      </c>
      <c r="M55" s="73">
        <f>M$88*($L$48*(1+M$74))</f>
        <v>1321.7487583813038</v>
      </c>
      <c r="N55" s="73">
        <f>N$88*($L$48*(1+N$74))</f>
        <v>1361.1562465934878</v>
      </c>
      <c r="O55" s="73">
        <f>O$88*($L$48*(1+O$74))</f>
        <v>1344.4418315543239</v>
      </c>
      <c r="P55" s="73">
        <f>P$88*($L$48*(1+P$74))</f>
        <v>1364.9624958601773</v>
      </c>
      <c r="Q55" s="74">
        <f>AVERAGE(L55:P55)</f>
        <v>1357.5515346254031</v>
      </c>
    </row>
    <row r="56" spans="3:17" outlineLevel="1" x14ac:dyDescent="0.25">
      <c r="C56" s="14" t="s">
        <v>87</v>
      </c>
      <c r="D56" s="73">
        <f>D$79+(D$95*$D$50)+(D$96*$D$51)+(D$97*$D$48)</f>
        <v>2205.4799486348375</v>
      </c>
      <c r="E56" s="73">
        <f>E$79+(E$95*$D$50)+(E$96*$D$51)+(E$97*$D$48)</f>
        <v>1121.8501422464187</v>
      </c>
      <c r="F56" s="73">
        <f>F$79+(F$95*$D$50)+(F$96*$D$51)+(F$97*$D$48)</f>
        <v>1637.2011445777985</v>
      </c>
      <c r="G56" s="73">
        <f>G$79+(G$95*$D$50)+(G$96*$D$51)+(G$97*$D$48)</f>
        <v>1320.6255092485803</v>
      </c>
      <c r="H56" s="73">
        <f>H$79+(H$95*$D$50)+(H$96*$D$51)+(H$97*$D$48)</f>
        <v>1233.2910105219332</v>
      </c>
      <c r="I56" s="74">
        <f t="shared" ref="I56:I63" si="4">AVERAGE(D56:H56)</f>
        <v>1503.689551045914</v>
      </c>
      <c r="J56" s="128"/>
      <c r="K56" s="14" t="s">
        <v>87</v>
      </c>
      <c r="L56" s="73">
        <f>L$79+(L$95*$L$50)+(L$96*$L$51)+(L$97*$L$48)</f>
        <v>2196.3965757831479</v>
      </c>
      <c r="M56" s="73">
        <f>M$79+(M$95*$L$50)+(M$96*$L$51)+(M$97*$L$48)</f>
        <v>1034.759895686956</v>
      </c>
      <c r="N56" s="73">
        <f>N$79+(N$95*$L$50)+(N$96*$L$51)+(N$97*$L$48)</f>
        <v>1391.2703427550439</v>
      </c>
      <c r="O56" s="73">
        <f>O$79+(O$95*$L$50)+(O$96*$L$51)+(O$97*$L$48)</f>
        <v>1227.2371551055203</v>
      </c>
      <c r="P56" s="73">
        <f>P$79+(P$95*$L$50)+(P$96*$L$51)+(P$97*$L$48)</f>
        <v>1126.3232876319478</v>
      </c>
      <c r="Q56" s="74">
        <f t="shared" ref="Q56:Q63" si="5">AVERAGE(L56:P56)</f>
        <v>1395.1974513925231</v>
      </c>
    </row>
    <row r="57" spans="3:17" outlineLevel="1" x14ac:dyDescent="0.25">
      <c r="C57" s="14" t="s">
        <v>136</v>
      </c>
      <c r="D57" s="73">
        <f>D$77</f>
        <v>185.86772433721131</v>
      </c>
      <c r="E57" s="73">
        <f>E$77</f>
        <v>185.86772433721131</v>
      </c>
      <c r="F57" s="73">
        <f>F$77</f>
        <v>185.86772433721131</v>
      </c>
      <c r="G57" s="73">
        <f>G$77</f>
        <v>185.86772433721131</v>
      </c>
      <c r="H57" s="73">
        <f>H$77</f>
        <v>185.86772433721131</v>
      </c>
      <c r="I57" s="74">
        <f t="shared" si="4"/>
        <v>185.86772433721131</v>
      </c>
      <c r="J57" s="128"/>
      <c r="K57" s="14" t="s">
        <v>136</v>
      </c>
      <c r="L57" s="73">
        <f>L$77</f>
        <v>175.92415101117138</v>
      </c>
      <c r="M57" s="73">
        <f>M$77</f>
        <v>175.92415101117138</v>
      </c>
      <c r="N57" s="73">
        <f>N$77</f>
        <v>175.92415101117138</v>
      </c>
      <c r="O57" s="73">
        <f>O$77</f>
        <v>175.92415101117138</v>
      </c>
      <c r="P57" s="73">
        <f>P$77</f>
        <v>175.92415101117138</v>
      </c>
      <c r="Q57" s="74">
        <f t="shared" si="5"/>
        <v>175.92415101117138</v>
      </c>
    </row>
    <row r="58" spans="3:17" outlineLevel="1" x14ac:dyDescent="0.25">
      <c r="C58" s="14" t="s">
        <v>522</v>
      </c>
      <c r="D58" s="73">
        <f>(D$86*($D$48*(1+D$74)))</f>
        <v>321.74493796418585</v>
      </c>
      <c r="E58" s="73">
        <f>(E$86*($D$48*(1+E$74)))</f>
        <v>310.92670151139902</v>
      </c>
      <c r="F58" s="73">
        <f>(F$86*($D$48*(1+F$74)))</f>
        <v>312.28931240499645</v>
      </c>
      <c r="G58" s="73">
        <f>(G$86*($D$48*(1+G$74)))</f>
        <v>317.41842277757087</v>
      </c>
      <c r="H58" s="73">
        <f>(H$86*($D$48*(1+H$74)))</f>
        <v>311.30242250931639</v>
      </c>
      <c r="I58" s="74">
        <f t="shared" si="4"/>
        <v>314.7363594334937</v>
      </c>
      <c r="J58" s="128"/>
      <c r="K58" s="14" t="s">
        <v>522</v>
      </c>
      <c r="L58" s="73">
        <f>(L$86*($L$48*(1+L$74)))</f>
        <v>308.60880974690025</v>
      </c>
      <c r="M58" s="73">
        <f>(M$86*($L$48*(1+M$74)))</f>
        <v>297.11362773894132</v>
      </c>
      <c r="N58" s="73">
        <f>(N$86*($L$48*(1+N$74)))</f>
        <v>297.21694683758682</v>
      </c>
      <c r="O58" s="73">
        <f>(O$86*($L$48*(1+O$74)))</f>
        <v>304.63155774375548</v>
      </c>
      <c r="P58" s="73">
        <f>(P$86*($L$48*(1+P$74)))</f>
        <v>297.67010011809043</v>
      </c>
      <c r="Q58" s="74">
        <f>AVERAGE(L58:P58)</f>
        <v>301.04820843705483</v>
      </c>
    </row>
    <row r="59" spans="3:17" outlineLevel="1" x14ac:dyDescent="0.25">
      <c r="C59" s="14" t="s">
        <v>523</v>
      </c>
      <c r="D59" s="73">
        <f>(D$92*($D$48*(1+D$74)))</f>
        <v>17.238154701298342</v>
      </c>
      <c r="E59" s="73">
        <f t="shared" ref="E59:H59" si="6">(E$92*($D$48*(1+E$74)))</f>
        <v>16.658545167273218</v>
      </c>
      <c r="F59" s="73">
        <f t="shared" si="6"/>
        <v>16.731549881908766</v>
      </c>
      <c r="G59" s="73">
        <f t="shared" si="6"/>
        <v>17.006352645370775</v>
      </c>
      <c r="H59" s="73">
        <f t="shared" si="6"/>
        <v>16.678675201727238</v>
      </c>
      <c r="I59" s="74">
        <f t="shared" si="4"/>
        <v>16.862655519515663</v>
      </c>
      <c r="J59" s="170"/>
      <c r="K59" s="14" t="s">
        <v>523</v>
      </c>
      <c r="L59" s="73">
        <f>L83</f>
        <v>16.945572514842485</v>
      </c>
      <c r="M59" s="73">
        <f>M83</f>
        <v>16.945572514842485</v>
      </c>
      <c r="N59" s="73">
        <f>N83</f>
        <v>16.945572514842485</v>
      </c>
      <c r="O59" s="73">
        <f>O83</f>
        <v>16.945572514842485</v>
      </c>
      <c r="P59" s="73">
        <f>P83</f>
        <v>16.945572514842485</v>
      </c>
      <c r="Q59" s="74">
        <f>AVERAGE(L59:P59)</f>
        <v>16.945572514842485</v>
      </c>
    </row>
    <row r="60" spans="3:17" outlineLevel="1" x14ac:dyDescent="0.25">
      <c r="C60" s="14" t="s">
        <v>147</v>
      </c>
      <c r="D60" s="73">
        <f>D$81+(D$90*($D$48*(1+D$74)))</f>
        <v>24.975007817814337</v>
      </c>
      <c r="E60" s="73">
        <f>E$81+(E$90*($D$48*(1+E$74)))</f>
        <v>24.608563474674757</v>
      </c>
      <c r="F60" s="73">
        <f>F$81+(F$90*($D$48*(1+F$74)))</f>
        <v>24.654718969245273</v>
      </c>
      <c r="G60" s="73">
        <f>G$81+(G$90*($D$48*(1+G$74)))</f>
        <v>24.82845648086014</v>
      </c>
      <c r="H60" s="73">
        <f>H$81+(H$90*($D$48*(1+H$74)))</f>
        <v>24.621290210209374</v>
      </c>
      <c r="I60" s="74">
        <f t="shared" si="4"/>
        <v>24.737607390560775</v>
      </c>
      <c r="J60" s="170"/>
      <c r="K60" s="14" t="s">
        <v>147</v>
      </c>
      <c r="L60" s="73">
        <f>L$81+(L$90*($L$48*(1+L$74)))</f>
        <v>28.890001845906461</v>
      </c>
      <c r="M60" s="73">
        <f>M$81+(M$90*($L$48*(1+M$74)))</f>
        <v>28.211109781750366</v>
      </c>
      <c r="N60" s="73">
        <f>N$81+(N$90*($L$48*(1+N$74)))</f>
        <v>28.217211687409421</v>
      </c>
      <c r="O60" s="73">
        <f>O$81+(O$90*($L$48*(1+O$74)))</f>
        <v>28.655109973797398</v>
      </c>
      <c r="P60" s="73">
        <f>P$81+(P$90*($L$48*(1+P$74)))</f>
        <v>28.243974392494664</v>
      </c>
      <c r="Q60" s="74">
        <f t="shared" si="5"/>
        <v>28.443481536271662</v>
      </c>
    </row>
    <row r="61" spans="3:17" outlineLevel="1" x14ac:dyDescent="0.25">
      <c r="C61" s="14" t="s">
        <v>262</v>
      </c>
      <c r="D61" s="73">
        <f>SUM(D55:D60)*D$72</f>
        <v>211.21978195049797</v>
      </c>
      <c r="E61" s="73">
        <f>SUM(E55:E60)*E$72</f>
        <v>145.52178995270432</v>
      </c>
      <c r="F61" s="73">
        <f>SUM(F55:F60)*F$72</f>
        <v>177.81051630188901</v>
      </c>
      <c r="G61" s="73">
        <f>SUM(G55:G60)*G$72</f>
        <v>160.2275023471733</v>
      </c>
      <c r="H61" s="73">
        <f>SUM(H55:H60)*H$72</f>
        <v>154.50437429314809</v>
      </c>
      <c r="I61" s="74">
        <f t="shared" si="4"/>
        <v>169.85679296908253</v>
      </c>
      <c r="J61" s="128"/>
      <c r="K61" s="14" t="s">
        <v>262</v>
      </c>
      <c r="L61" s="73">
        <f>SUM(L55:L60)*L$72</f>
        <v>230.84395329182274</v>
      </c>
      <c r="M61" s="73">
        <f>SUM(M55:M60)*M$72</f>
        <v>160.98337444643806</v>
      </c>
      <c r="N61" s="73">
        <f>SUM(N55:N60)*N$72</f>
        <v>183.16090639837435</v>
      </c>
      <c r="O61" s="73">
        <f>SUM(O55:O60)*O$72</f>
        <v>173.47878116259102</v>
      </c>
      <c r="P61" s="73">
        <f>SUM(P55:P60)*P$72</f>
        <v>168.56389656560856</v>
      </c>
      <c r="Q61" s="74">
        <f t="shared" si="5"/>
        <v>183.40618237296695</v>
      </c>
    </row>
    <row r="62" spans="3:17" outlineLevel="1" x14ac:dyDescent="0.25">
      <c r="C62" s="14" t="s">
        <v>366</v>
      </c>
      <c r="D62" s="73">
        <f>SUM(D55:D61)*GST</f>
        <v>398.3001602495105</v>
      </c>
      <c r="E62" s="73">
        <f>SUM(E55:E61)*GST</f>
        <v>274.41251819652814</v>
      </c>
      <c r="F62" s="73">
        <f>SUM(F55:F61)*GST</f>
        <v>335.29983074070498</v>
      </c>
      <c r="G62" s="73">
        <f>SUM(G55:G61)*GST</f>
        <v>302.14329014038395</v>
      </c>
      <c r="H62" s="73">
        <f>SUM(H55:H61)*GST</f>
        <v>291.35110580993637</v>
      </c>
      <c r="I62" s="74">
        <f t="shared" si="4"/>
        <v>320.30138102741273</v>
      </c>
      <c r="J62" s="128"/>
      <c r="K62" s="14" t="s">
        <v>366</v>
      </c>
      <c r="L62" s="73">
        <f>SUM(L55:L61)*GST</f>
        <v>435.30574049315146</v>
      </c>
      <c r="M62" s="73">
        <f>SUM(M55:M61)*GST</f>
        <v>303.56864895614035</v>
      </c>
      <c r="N62" s="73">
        <f>SUM(N55:N61)*GST</f>
        <v>345.38913777979161</v>
      </c>
      <c r="O62" s="73">
        <f>SUM(O55:O61)*GST</f>
        <v>327.13141590660024</v>
      </c>
      <c r="P62" s="73">
        <f>SUM(P55:P61)*GST</f>
        <v>317.86334780943326</v>
      </c>
      <c r="Q62" s="74">
        <f t="shared" si="5"/>
        <v>345.8516581890234</v>
      </c>
    </row>
    <row r="63" spans="3:17" outlineLevel="1" x14ac:dyDescent="0.25">
      <c r="C63" s="14" t="s">
        <v>524</v>
      </c>
      <c r="D63" s="88">
        <f>(D$103*($D$50))+(D$104*($D$51))+(D$105*($D$48))</f>
        <v>6.6046884789613989</v>
      </c>
      <c r="E63" s="88">
        <f>(E$103*($D$50))+(E$104*($D$51))+(E$105*($D$48))</f>
        <v>6.3586744515789766</v>
      </c>
      <c r="F63" s="88">
        <f>(F$103*($D$50))+(F$104*($D$51))+(F$105*($D$48))</f>
        <v>6.3608856342767117</v>
      </c>
      <c r="G63" s="88">
        <f>(G$103*($D$50))+(G$104*($D$51))+(G$105*($D$48))</f>
        <v>6.5195693584001928</v>
      </c>
      <c r="H63" s="88">
        <f>(H$103*($D$50))+(H$104*($D$51))+(H$105*($D$48))</f>
        <v>6.3705837898588547</v>
      </c>
      <c r="I63" s="74">
        <f t="shared" si="4"/>
        <v>6.4428803426152275</v>
      </c>
      <c r="J63" s="128"/>
      <c r="K63" s="14" t="s">
        <v>524</v>
      </c>
      <c r="L63" s="88">
        <f>(L$103*($L$50))+(L$104*($L$51))+(L$105*($L$48))</f>
        <v>-14.4510204092715</v>
      </c>
      <c r="M63" s="88">
        <f>(M$103*($L$50))+(M$104*($L$51))+(M$105*($L$48))</f>
        <v>-14.01601188147489</v>
      </c>
      <c r="N63" s="88">
        <f>(N$103*($L$50))+(N$104*($L$51))+(N$105*($L$48))</f>
        <v>-13.896720485833702</v>
      </c>
      <c r="O63" s="88">
        <f>(O$103*($L$50))+(O$104*($L$51))+(O$105*($L$48))</f>
        <v>-14.32313335205126</v>
      </c>
      <c r="P63" s="88">
        <f>(P$103*($L$50))+(P$104*($L$51))+(P$105*($L$48))</f>
        <v>-13.977880905040912</v>
      </c>
      <c r="Q63" s="74">
        <f t="shared" si="5"/>
        <v>-14.132953406734453</v>
      </c>
    </row>
    <row r="64" spans="3:17" outlineLevel="1" x14ac:dyDescent="0.25">
      <c r="C64" s="31" t="s">
        <v>525</v>
      </c>
      <c r="D64" s="130">
        <f>ROUNDUP(SUM(D55:D63),0)</f>
        <v>4388</v>
      </c>
      <c r="E64" s="130">
        <f>ROUNDUP(SUM(E55:E63),0)</f>
        <v>3025</v>
      </c>
      <c r="F64" s="130">
        <f>ROUNDUP(SUM(F55:F63),0)</f>
        <v>3695</v>
      </c>
      <c r="G64" s="130">
        <f>ROUNDUP(SUM(G55:G63),0)</f>
        <v>3331</v>
      </c>
      <c r="H64" s="130">
        <f>ROUNDUP(SUM(H55:H63),0)</f>
        <v>3212</v>
      </c>
      <c r="I64" s="74">
        <f>AVERAGE(D64:H64)</f>
        <v>3530.2</v>
      </c>
      <c r="J64" s="128"/>
      <c r="K64" s="31" t="s">
        <v>525</v>
      </c>
      <c r="L64" s="130">
        <f>ROUNDUP(SUM(L55:L63),0)</f>
        <v>4774</v>
      </c>
      <c r="M64" s="130">
        <f>ROUNDUP(SUM(M55:M63),0)</f>
        <v>3326</v>
      </c>
      <c r="N64" s="130">
        <f>ROUNDUP(SUM(N55:N63),0)</f>
        <v>3786</v>
      </c>
      <c r="O64" s="130">
        <f>ROUNDUP(SUM(O55:O63),0)</f>
        <v>3585</v>
      </c>
      <c r="P64" s="130">
        <f>ROUNDUP(SUM(P55:P63),0)</f>
        <v>3483</v>
      </c>
      <c r="Q64" s="74">
        <f>AVERAGE(L64:P64)</f>
        <v>3790.8</v>
      </c>
    </row>
    <row r="65" spans="2:17" outlineLevel="1" x14ac:dyDescent="0.25">
      <c r="C65" s="14"/>
      <c r="D65" s="73"/>
      <c r="E65" s="73"/>
      <c r="F65" s="73"/>
      <c r="G65" s="73"/>
      <c r="H65" s="73"/>
      <c r="I65" s="74"/>
      <c r="K65" s="14"/>
      <c r="L65" s="73"/>
      <c r="M65" s="73"/>
      <c r="N65" s="73"/>
      <c r="O65" s="73"/>
      <c r="P65" s="73"/>
      <c r="Q65" s="74"/>
    </row>
    <row r="66" spans="2:17" outlineLevel="1" x14ac:dyDescent="0.25">
      <c r="C66" s="14" t="s">
        <v>517</v>
      </c>
      <c r="D66" s="74">
        <f>IF($D$32="Residential",
ROUNDUP(
(INDEX(OP_Rates_RES_1[[Ausnet]:[United Energy]],MATCH("Anytime - supply",OP_Rates_RES_1[Rate name],0),MATCH(CostStackCalcs_RES_1[[#Headers],[Ausnet]],OP_Rates_RES_1[[#Headers],[Ausnet]:[United Energy]],0))*DiY)+
(IFERROR((INDEX(OP_Rates_RES_1[[Ausnet]:[United Energy]],MATCH("Block 1",OP_Rates_RES_1[Rate name],0),MATCH(CostStackCalcs_RES_1[[#Headers],[Ausnet]],OP_Rates_RES_1[[#Headers],[Ausnet]:[United Energy]],0))*$D$50),0)+
IFERROR((INDEX(OP_Rates_RES_1[[Ausnet]:[United Energy]],MATCH("Balance",OP_Rates_RES_1[Rate name],0),MATCH(CostStackCalcs_RES_1[[#Headers],[Ausnet]],OP_Rates_RES_1[[#Headers],[Ausnet]:[United Energy]],0))*$D$51),0)+
IFERROR((INDEX(OP_Rates_RES_1[[Ausnet]:[United Energy]],MATCH("Single rate",OP_Rates_RES_1[Rate name],0),MATCH(CostStackCalcs_RES_1[[#Headers],[Ausnet]],OP_Rates_RES_1[[#Headers],[Ausnet]:[United Energy]],0))*$D$48),0))
+
(IFERROR((INDEX(OP_RatesTU_RES_1[[Ausnet]:[United Energy]],MATCH("Block 1",OP_RatesTU_RES_1[Rate name],0),MATCH(CostStackCalcs_RES_1[[#Headers],[Ausnet]],OP_RatesTU_RES_1[[#Headers],[Ausnet]:[United Energy]],0))*($D$50)),0)+
IFERROR((INDEX(OP_RatesTU_RES_1[[Ausnet]:[United Energy]],MATCH("Balance",OP_RatesTU_RES_1[Rate name],0),MATCH(CostStackCalcs_RES_1[[#Headers],[Ausnet]],OP_RatesTU_RES_1[[#Headers],[Ausnet]:[United Energy]],0))*($D$51)),0)+
IFERROR((INDEX(OP_RatesTU_RES_1[[Ausnet]:[United Energy]],MATCH("Single rate",OP_RatesTU_RES_1[Rate name],0),MATCH(CostStackCalcs_RES_1[[#Headers],[Ausnet]],OP_RatesTU_RES_1[[#Headers],[Ausnet]:[United Energy]],0))*($D$48)),0)),0),ROUNDUP(
(INDEX(OP_Rates_SME_1[[Ausnet]:[United Energy]],MATCH("Anytime - supply",OP_Rates_SME_1[Rate name],0),MATCH(CostStackCalcs_SME_3[[#Headers],[Ausnet]],OP_Rates_SME_1[[#Headers],[Ausnet]:[United Energy]],0))*DiY)+
(IFERROR((INDEX(OP_Rates_SME_1[[Ausnet]:[United Energy]],MATCH("Block 1",OP_Rates_SME_1[Rate name],0),MATCH(CostStackCalcs_SME_3[[#Headers],[Ausnet]],OP_Rates_SME_1[[#Headers],[Ausnet]:[United Energy]],0))*$D$50),0)+
IFERROR((INDEX(OP_Rates_SME_1[[Ausnet]:[United Energy]],MATCH("Balance",OP_Rates_SME_1[Rate name],0),MATCH(CostStackCalcs_SME_3[[#Headers],[Ausnet]],OP_Rates_SME_1[[#Headers],[Ausnet]:[United Energy]],0))*$D$51),0)+
IFERROR((INDEX(OP_Rates_SME_1[[Ausnet]:[United Energy]],MATCH("Single rate",OP_Rates_SME_1[Rate name],0),MATCH(CostStackCalcs_SME_3[[#Headers],[Ausnet]],OP_Rates_SME_1[[#Headers],[Ausnet]:[United Energy]],0))*$D$48),0))
+
(IFERROR((INDEX(OP_RatesTU_SME_1[[Ausnet]:[United Energy]],MATCH("Block 1",OP_RatesTU_SME_1[Rate name],0),MATCH(CostStackCalcs_SME_3[[#Headers],[Ausnet]],OP_RatesTU_SME_1[[#Headers],[Ausnet]:[United Energy]],0))*($D$50)),0)+
IFERROR((INDEX(OP_RatesTU_SME_1[[Ausnet]:[United Energy]],MATCH("Balance",OP_RatesTU_SME_1[Rate name],0),MATCH(CostStackCalcs_SME_3[[#Headers],[Ausnet]],OP_RatesTU_SME_1[[#Headers],[Ausnet]:[United Energy]],0))*($D$51)),0)+
IFERROR((INDEX(OP_RatesTU_SME_1[[Ausnet]:[United Energy]],MATCH("Single rate",OP_RatesTU_SME_1[Rate name],0),MATCH(CostStackCalcs_SME_3[[#Headers],[Ausnet]],OP_RatesTU_SME_1[[#Headers],[Ausnet]:[United Energy]],0))*($D$48)),0)),0))</f>
        <v>4388</v>
      </c>
      <c r="E66" s="74">
        <f>IF($D$32="Residential",
ROUNDUP(
(INDEX(OP_Rates_RES_1[[Ausnet]:[United Energy]],MATCH("Anytime - supply",OP_Rates_RES_1[Rate name],0),MATCH(CostStackCalcs_RES_1[[#Headers],[Citipower]],OP_Rates_RES_1[[#Headers],[Ausnet]:[United Energy]],0))*DiY)+
(IFERROR((INDEX(OP_Rates_RES_1[[Ausnet]:[United Energy]],MATCH("Block 1",OP_Rates_RES_1[Rate name],0),MATCH(CostStackCalcs_RES_1[[#Headers],[Citipower]],OP_Rates_RES_1[[#Headers],[Ausnet]:[United Energy]],0))*$D$50),0)+
IFERROR((INDEX(OP_Rates_RES_1[[Ausnet]:[United Energy]],MATCH("Balance",OP_Rates_RES_1[Rate name],0),MATCH(CostStackCalcs_RES_1[[#Headers],[Citipower]],OP_Rates_RES_1[[#Headers],[Ausnet]:[United Energy]],0))*$D$51),0)+
IFERROR((INDEX(OP_Rates_RES_1[[Ausnet]:[United Energy]],MATCH("Single rate",OP_Rates_RES_1[Rate name],0),MATCH(CostStackCalcs_RES_1[[#Headers],[Citipower]],OP_Rates_RES_1[[#Headers],[Ausnet]:[United Energy]],0))*$D$48),0))
+
(IFERROR((INDEX(OP_RatesTU_RES_1[[Ausnet]:[United Energy]],MATCH("Block 1",OP_RatesTU_RES_1[Rate name],0),MATCH(CostStackCalcs_RES_1[[#Headers],[Citipower]],OP_RatesTU_RES_1[[#Headers],[Ausnet]:[United Energy]],0))*($D$50)),0)+
IFERROR((INDEX(OP_RatesTU_RES_1[[Ausnet]:[United Energy]],MATCH("Balance",OP_RatesTU_RES_1[Rate name],0),MATCH(CostStackCalcs_RES_1[[#Headers],[Citipower]],OP_RatesTU_RES_1[[#Headers],[Ausnet]:[United Energy]],0))*($D$51)),0)+
IFERROR((INDEX(OP_RatesTU_RES_1[[Ausnet]:[United Energy]],MATCH("Single rate",OP_RatesTU_RES_1[Rate name],0),MATCH(CostStackCalcs_RES_1[[#Headers],[Citipower]],OP_RatesTU_RES_1[[#Headers],[Ausnet]:[United Energy]],0))*($D$48)),0)),0),ROUNDUP(
(INDEX(OP_Rates_SME_1[[Ausnet]:[United Energy]],MATCH("Anytime - supply",OP_Rates_SME_1[Rate name],0),MATCH(CostStackCalcs_SME_3[[#Headers],[Citipower]],OP_Rates_SME_1[[#Headers],[Ausnet]:[United Energy]],0))*DiY)+
(IFERROR((INDEX(OP_Rates_SME_1[[Ausnet]:[United Energy]],MATCH("Block 1",OP_Rates_SME_1[Rate name],0),MATCH(CostStackCalcs_SME_3[[#Headers],[Citipower]],OP_Rates_SME_1[[#Headers],[Ausnet]:[United Energy]],0))*$D$50),0)+
IFERROR((INDEX(OP_Rates_SME_1[[Ausnet]:[United Energy]],MATCH("Balance",OP_Rates_SME_1[Rate name],0),MATCH(CostStackCalcs_SME_3[[#Headers],[Citipower]],OP_Rates_SME_1[[#Headers],[Ausnet]:[United Energy]],0))*$D$51),0)+
IFERROR((INDEX(OP_Rates_SME_1[[Ausnet]:[United Energy]],MATCH("Single rate",OP_Rates_SME_1[Rate name],0),MATCH(CostStackCalcs_SME_3[[#Headers],[Citipower]],OP_Rates_SME_1[[#Headers],[Ausnet]:[United Energy]],0))*$D$48),0))
+
(IFERROR((INDEX(OP_RatesTU_SME_1[[Ausnet]:[United Energy]],MATCH("Block 1",OP_RatesTU_SME_1[Rate name],0),MATCH(CostStackCalcs_SME_3[[#Headers],[Citipower]],OP_RatesTU_SME_1[[#Headers],[Ausnet]:[United Energy]],0))*($D$50)),0)+
IFERROR((INDEX(OP_RatesTU_SME_1[[Ausnet]:[United Energy]],MATCH("Balance",OP_RatesTU_SME_1[Rate name],0),MATCH(CostStackCalcs_SME_3[[#Headers],[Citipower]],OP_RatesTU_SME_1[[#Headers],[Ausnet]:[United Energy]],0))*($D$51)),0)+
IFERROR((INDEX(OP_RatesTU_SME_1[[Ausnet]:[United Energy]],MATCH("Single rate",OP_RatesTU_SME_1[Rate name],0),MATCH(CostStackCalcs_SME_3[[#Headers],[Citipower]],OP_RatesTU_SME_1[[#Headers],[Ausnet]:[United Energy]],0))*($D$48)),0)),0))</f>
        <v>3025</v>
      </c>
      <c r="F66" s="74">
        <f>IF($D$32="Residential",
ROUNDUP(
(INDEX(OP_Rates_RES_1[[Ausnet]:[United Energy]],MATCH("Anytime - supply",OP_Rates_RES_1[Rate name],0),MATCH(CostStackCalcs_RES_1[[#Headers],[Jemena]],OP_Rates_RES_1[[#Headers],[Ausnet]:[United Energy]],0))*DiY)+
(IFERROR((INDEX(OP_Rates_RES_1[[Ausnet]:[United Energy]],MATCH("Block 1",OP_Rates_RES_1[Rate name],0),MATCH(CostStackCalcs_RES_1[[#Headers],[Jemena]],OP_Rates_RES_1[[#Headers],[Ausnet]:[United Energy]],0))*$D$50),0)+
IFERROR((INDEX(OP_Rates_RES_1[[Ausnet]:[United Energy]],MATCH("Balance",OP_Rates_RES_1[Rate name],0),MATCH(CostStackCalcs_RES_1[[#Headers],[Jemena]],OP_Rates_RES_1[[#Headers],[Ausnet]:[United Energy]],0))*$D$51),0)+
IFERROR((INDEX(OP_Rates_RES_1[[Ausnet]:[United Energy]],MATCH("Single rate",OP_Rates_RES_1[Rate name],0),MATCH(CostStackCalcs_RES_1[[#Headers],[Jemena]],OP_Rates_RES_1[[#Headers],[Ausnet]:[United Energy]],0))*$D$48),0))
+
(IFERROR((INDEX(OP_RatesTU_RES_1[[Ausnet]:[United Energy]],MATCH("Block 1",OP_RatesTU_RES_1[Rate name],0),MATCH(CostStackCalcs_RES_1[[#Headers],[Jemena]],OP_RatesTU_RES_1[[#Headers],[Ausnet]:[United Energy]],0))*($D$50)),0)+
IFERROR((INDEX(OP_RatesTU_RES_1[[Ausnet]:[United Energy]],MATCH("Balance",OP_RatesTU_RES_1[Rate name],0),MATCH(CostStackCalcs_RES_1[[#Headers],[Jemena]],OP_RatesTU_RES_1[[#Headers],[Ausnet]:[United Energy]],0))*($D$51)),0)+
IFERROR((INDEX(OP_RatesTU_RES_1[[Ausnet]:[United Energy]],MATCH("Single rate",OP_RatesTU_RES_1[Rate name],0),MATCH(CostStackCalcs_RES_1[[#Headers],[Jemena]],OP_RatesTU_RES_1[[#Headers],[Ausnet]:[United Energy]],0))*($D$48)),0)),0),ROUNDUP(
(INDEX(OP_Rates_SME_1[[Ausnet]:[United Energy]],MATCH("Anytime - supply",OP_Rates_SME_1[Rate name],0),MATCH(CostStackCalcs_SME_3[[#Headers],[Jemena]],OP_Rates_SME_1[[#Headers],[Ausnet]:[United Energy]],0))*DiY)+
(IFERROR((INDEX(OP_Rates_SME_1[[Ausnet]:[United Energy]],MATCH("Block 1",OP_Rates_SME_1[Rate name],0),MATCH(CostStackCalcs_SME_3[[#Headers],[Jemena]],OP_Rates_SME_1[[#Headers],[Ausnet]:[United Energy]],0))*$D$50),0)+
IFERROR((INDEX(OP_Rates_SME_1[[Ausnet]:[United Energy]],MATCH("Balance",OP_Rates_SME_1[Rate name],0),MATCH(CostStackCalcs_SME_3[[#Headers],[Jemena]],OP_Rates_SME_1[[#Headers],[Ausnet]:[United Energy]],0))*$D$51),0)+
IFERROR((INDEX(OP_Rates_SME_1[[Ausnet]:[United Energy]],MATCH("Single rate",OP_Rates_SME_1[Rate name],0),MATCH(CostStackCalcs_SME_3[[#Headers],[Jemena]],OP_Rates_SME_1[[#Headers],[Ausnet]:[United Energy]],0))*$D$48),0))
+
(IFERROR((INDEX(OP_RatesTU_SME_1[[Ausnet]:[United Energy]],MATCH("Block 1",OP_RatesTU_SME_1[Rate name],0),MATCH(CostStackCalcs_SME_3[[#Headers],[Jemena]],OP_RatesTU_SME_1[[#Headers],[Ausnet]:[United Energy]],0))*($D$50)),0)+
IFERROR((INDEX(OP_RatesTU_SME_1[[Ausnet]:[United Energy]],MATCH("Balance",OP_RatesTU_SME_1[Rate name],0),MATCH(CostStackCalcs_SME_3[[#Headers],[Jemena]],OP_RatesTU_SME_1[[#Headers],[Ausnet]:[United Energy]],0))*($D$51)),0)+
IFERROR((INDEX(OP_RatesTU_SME_1[[Ausnet]:[United Energy]],MATCH("Single rate",OP_RatesTU_SME_1[Rate name],0),MATCH(CostStackCalcs_SME_3[[#Headers],[Jemena]],OP_RatesTU_SME_1[[#Headers],[Ausnet]:[United Energy]],0))*($D$48)),0)),0))</f>
        <v>3695</v>
      </c>
      <c r="G66" s="74">
        <f>IF($D$32="Residential",
ROUNDUP(
(INDEX(OP_Rates_RES_1[[Ausnet]:[United Energy]],MATCH("Anytime - supply",OP_Rates_RES_1[Rate name],0),MATCH(CostStackCalcs_RES_1[[#Headers],[Powercor]],OP_Rates_RES_1[[#Headers],[Ausnet]:[United Energy]],0))*DiY)+
(IFERROR((INDEX(OP_Rates_RES_1[[Ausnet]:[United Energy]],MATCH("Block 1",OP_Rates_RES_1[Rate name],0),MATCH(CostStackCalcs_RES_1[[#Headers],[Powercor]],OP_Rates_RES_1[[#Headers],[Ausnet]:[United Energy]],0))*$D$50),0)+
IFERROR((INDEX(OP_Rates_RES_1[[Ausnet]:[United Energy]],MATCH("Balance",OP_Rates_RES_1[Rate name],0),MATCH(CostStackCalcs_RES_1[[#Headers],[Powercor]],OP_Rates_RES_1[[#Headers],[Ausnet]:[United Energy]],0))*$D$51),0)+
IFERROR((INDEX(OP_Rates_RES_1[[Ausnet]:[United Energy]],MATCH("Single rate",OP_Rates_RES_1[Rate name],0),MATCH(CostStackCalcs_RES_1[[#Headers],[Powercor]],OP_Rates_RES_1[[#Headers],[Ausnet]:[United Energy]],0))*$D$48),0))
+
(IFERROR((INDEX(OP_RatesTU_RES_1[[Ausnet]:[United Energy]],MATCH("Block 1",OP_RatesTU_RES_1[Rate name],0),MATCH(CostStackCalcs_RES_1[[#Headers],[Powercor]],OP_RatesTU_RES_1[[#Headers],[Ausnet]:[United Energy]],0))*($D$50)),0)+
IFERROR((INDEX(OP_RatesTU_RES_1[[Ausnet]:[United Energy]],MATCH("Balance",OP_RatesTU_RES_1[Rate name],0),MATCH(CostStackCalcs_RES_1[[#Headers],[Powercor]],OP_RatesTU_RES_1[[#Headers],[Ausnet]:[United Energy]],0))*($D$51)),0)+
IFERROR((INDEX(OP_RatesTU_RES_1[[Ausnet]:[United Energy]],MATCH("Single rate",OP_RatesTU_RES_1[Rate name],0),MATCH(CostStackCalcs_RES_1[[#Headers],[Powercor]],OP_RatesTU_RES_1[[#Headers],[Ausnet]:[United Energy]],0))*($D$48)),0)),0),ROUNDUP(
(INDEX(OP_Rates_SME_1[[Ausnet]:[United Energy]],MATCH("Anytime - supply",OP_Rates_SME_1[Rate name],0),MATCH(CostStackCalcs_SME_3[[#Headers],[Powercor]],OP_Rates_SME_1[[#Headers],[Ausnet]:[United Energy]],0))*DiY)+
(IFERROR((INDEX(OP_Rates_SME_1[[Ausnet]:[United Energy]],MATCH("Block 1",OP_Rates_SME_1[Rate name],0),MATCH(CostStackCalcs_SME_3[[#Headers],[Powercor]],OP_Rates_SME_1[[#Headers],[Ausnet]:[United Energy]],0))*$D$50),0)+
IFERROR((INDEX(OP_Rates_SME_1[[Ausnet]:[United Energy]],MATCH("Balance",OP_Rates_SME_1[Rate name],0),MATCH(CostStackCalcs_SME_3[[#Headers],[Powercor]],OP_Rates_SME_1[[#Headers],[Ausnet]:[United Energy]],0))*$D$51),0)+
IFERROR((INDEX(OP_Rates_SME_1[[Ausnet]:[United Energy]],MATCH("Single rate",OP_Rates_SME_1[Rate name],0),MATCH(CostStackCalcs_SME_3[[#Headers],[Powercor]],OP_Rates_SME_1[[#Headers],[Ausnet]:[United Energy]],0))*$D$48),0))
+
(IFERROR((INDEX(OP_RatesTU_SME_1[[Ausnet]:[United Energy]],MATCH("Block 1",OP_RatesTU_SME_1[Rate name],0),MATCH(CostStackCalcs_SME_3[[#Headers],[Powercor]],OP_RatesTU_SME_1[[#Headers],[Ausnet]:[United Energy]],0))*($D$50)),0)+
IFERROR((INDEX(OP_RatesTU_SME_1[[Ausnet]:[United Energy]],MATCH("Balance",OP_RatesTU_SME_1[Rate name],0),MATCH(CostStackCalcs_SME_3[[#Headers],[Powercor]],OP_RatesTU_SME_1[[#Headers],[Ausnet]:[United Energy]],0))*($D$51)),0)+
IFERROR((INDEX(OP_RatesTU_SME_1[[Ausnet]:[United Energy]],MATCH("Single rate",OP_RatesTU_SME_1[Rate name],0),MATCH(CostStackCalcs_SME_3[[#Headers],[Powercor]],OP_RatesTU_SME_1[[#Headers],[Ausnet]:[United Energy]],0))*($D$48)),0)),0))</f>
        <v>3331</v>
      </c>
      <c r="H66" s="74">
        <f>IF($D$32="Residential",
ROUNDUP(
(INDEX(OP_Rates_RES_1[[Ausnet]:[United Energy]],MATCH("Anytime - supply",OP_Rates_RES_1[Rate name],0),MATCH(CostStackCalcs_RES_1[[#Headers],[United Energy]],OP_Rates_RES_1[[#Headers],[Ausnet]:[United Energy]],0))*DiY)+
(IFERROR((INDEX(OP_Rates_RES_1[[Ausnet]:[United Energy]],MATCH("Block 1",OP_Rates_RES_1[Rate name],0),MATCH(CostStackCalcs_RES_1[[#Headers],[United Energy]],OP_Rates_RES_1[[#Headers],[Ausnet]:[United Energy]],0))*$D$50),0)+
IFERROR((INDEX(OP_Rates_RES_1[[Ausnet]:[United Energy]],MATCH("Balance",OP_Rates_RES_1[Rate name],0),MATCH(CostStackCalcs_RES_1[[#Headers],[United Energy]],OP_Rates_RES_1[[#Headers],[Ausnet]:[United Energy]],0))*$D$51),0)+
IFERROR((INDEX(OP_Rates_RES_1[[Ausnet]:[United Energy]],MATCH("Single rate",OP_Rates_RES_1[Rate name],0),MATCH(CostStackCalcs_RES_1[[#Headers],[United Energy]],OP_Rates_RES_1[[#Headers],[Ausnet]:[United Energy]],0))*$D$48),0))
+
(IFERROR((INDEX(OP_RatesTU_RES_1[[Ausnet]:[United Energy]],MATCH("Block 1",OP_RatesTU_RES_1[Rate name],0),MATCH(CostStackCalcs_RES_1[[#Headers],[United Energy]],OP_RatesTU_RES_1[[#Headers],[Ausnet]:[United Energy]],0))*($D$50)),0)+
IFERROR((INDEX(OP_RatesTU_RES_1[[Ausnet]:[United Energy]],MATCH("Balance",OP_RatesTU_RES_1[Rate name],0),MATCH(CostStackCalcs_RES_1[[#Headers],[United Energy]],OP_RatesTU_RES_1[[#Headers],[Ausnet]:[United Energy]],0))*($D$51)),0)+
IFERROR((INDEX(OP_RatesTU_RES_1[[Ausnet]:[United Energy]],MATCH("Single rate",OP_RatesTU_RES_1[Rate name],0),MATCH(CostStackCalcs_RES_1[[#Headers],[United Energy]],OP_RatesTU_RES_1[[#Headers],[Ausnet]:[United Energy]],0))*($D$48)),0)),0),ROUNDUP(
(INDEX(OP_Rates_SME_1[[Ausnet]:[United Energy]],MATCH("Anytime - supply",OP_Rates_SME_1[Rate name],0),MATCH(CostStackCalcs_SME_3[[#Headers],[United Energy]],OP_Rates_SME_1[[#Headers],[Ausnet]:[United Energy]],0))*DiY)+
(IFERROR((INDEX(OP_Rates_SME_1[[Ausnet]:[United Energy]],MATCH("Block 1",OP_Rates_SME_1[Rate name],0),MATCH(CostStackCalcs_SME_3[[#Headers],[United Energy]],OP_Rates_SME_1[[#Headers],[Ausnet]:[United Energy]],0))*$D$50),0)+
IFERROR((INDEX(OP_Rates_SME_1[[Ausnet]:[United Energy]],MATCH("Balance",OP_Rates_SME_1[Rate name],0),MATCH(CostStackCalcs_SME_3[[#Headers],[United Energy]],OP_Rates_SME_1[[#Headers],[Ausnet]:[United Energy]],0))*$D$51),0)+
IFERROR((INDEX(OP_Rates_SME_1[[Ausnet]:[United Energy]],MATCH("Single rate",OP_Rates_SME_1[Rate name],0),MATCH(CostStackCalcs_SME_3[[#Headers],[United Energy]],OP_Rates_SME_1[[#Headers],[Ausnet]:[United Energy]],0))*$D$48),0))
+
(IFERROR((INDEX(OP_RatesTU_SME_1[[Ausnet]:[United Energy]],MATCH("Block 1",OP_RatesTU_SME_1[Rate name],0),MATCH(CostStackCalcs_SME_3[[#Headers],[United Energy]],OP_RatesTU_SME_1[[#Headers],[Ausnet]:[United Energy]],0))*($D$50)),0)+
IFERROR((INDEX(OP_RatesTU_SME_1[[Ausnet]:[United Energy]],MATCH("Balance",OP_RatesTU_SME_1[Rate name],0),MATCH(CostStackCalcs_SME_3[[#Headers],[United Energy]],OP_RatesTU_SME_1[[#Headers],[Ausnet]:[United Energy]],0))*($D$51)),0)+
IFERROR((INDEX(OP_RatesTU_SME_1[[Ausnet]:[United Energy]],MATCH("Single rate",OP_RatesTU_SME_1[Rate name],0),MATCH(CostStackCalcs_SME_3[[#Headers],[United Energy]],OP_RatesTU_SME_1[[#Headers],[Ausnet]:[United Energy]],0))*($D$48)),0)),0))</f>
        <v>3212</v>
      </c>
      <c r="I66" s="74">
        <f>AVERAGE(D66:H66)</f>
        <v>3530.2</v>
      </c>
      <c r="K66" s="14" t="s">
        <v>517</v>
      </c>
      <c r="L66" s="74">
        <f>IF($D$32="Residential",
ROUNDUP(
(INDEX(OP_Rates_RES_2[[Ausnet]:[United Energy]],MATCH("Anytime - supply",OP_Rates_RES_2[Rate name],0),MATCH(CostStackCalcs_RES_2[[#Headers],[Ausnet]],OP_Rates_RES_2[[#Headers],[Ausnet]:[United Energy]],0))*DiPY)+
(IFERROR((INDEX(OP_Rates_RES_2[[Ausnet]:[United Energy]],MATCH("Block 1",OP_Rates_RES_2[Rate name],0),MATCH(CostStackCalcs_RES_2[[#Headers],[Ausnet]],OP_Rates_RES_2[[#Headers],[Ausnet]:[United Energy]],0))*$L$50),0)+
IFERROR((INDEX(OP_Rates_RES_2[[Ausnet]:[United Energy]],MATCH("Balance",OP_Rates_RES_2[Rate name],0),MATCH(CostStackCalcs_RES_2[[#Headers],[Ausnet]],OP_Rates_RES_2[[#Headers],[Ausnet]:[United Energy]],0))*$L$51),0)+
IFERROR((INDEX(OP_Rates_RES_2[[Ausnet]:[United Energy]],MATCH("Single rate",OP_Rates_RES_2[Rate name],0),MATCH(CostStackCalcs_RES_2[[#Headers],[Ausnet]],OP_Rates_RES_2[[#Headers],[Ausnet]:[United Energy]],0))*$L$48),0))
+
(IFERROR((INDEX(OP_RatesTU_RES_2[[Ausnet]:[United Energy]],MATCH("Block 1",OP_RatesTU_RES_2[Rate name],0),MATCH(CostStackCalcs_RES_2[[#Headers],[Ausnet]],OP_RatesTU_RES_2[[#Headers],[Ausnet]:[United Energy]],0))*($L$50)),0)+
IFERROR((INDEX(OP_RatesTU_RES_2[[Ausnet]:[United Energy]],MATCH("Balance",OP_RatesTU_RES_2[Rate name],0),MATCH(CostStackCalcs_RES_2[[#Headers],[Ausnet]],OP_RatesTU_RES_2[[#Headers],[Ausnet]:[United Energy]],0))*($L$51)),0)+
IFERROR((INDEX(OP_RatesTU_RES_2[[Ausnet]:[United Energy]],MATCH("Single rate",OP_RatesTU_RES_2[Rate name],0),MATCH(CostStackCalcs_RES_2[[#Headers],[Ausnet]],OP_RatesTU_RES_2[[#Headers],[Ausnet]:[United Energy]],0))*($L$48)),0)),0),ROUNDUP(
(INDEX(OP_Rates_SME_2[[Ausnet]:[United Energy]],MATCH("Anytime - supply",OP_Rates_SME_2[Rate name],0),MATCH(CostStackCalcs_SME_4[[#Headers],[Ausnet]],OP_Rates_SME_2[[#Headers],[Ausnet]:[United Energy]],0))*DiPY)+
(IFERROR((INDEX(OP_Rates_SME_2[[Ausnet]:[United Energy]],MATCH("Block 1",OP_Rates_SME_2[Rate name],0),MATCH(CostStackCalcs_SME_4[[#Headers],[Ausnet]],OP_Rates_SME_2[[#Headers],[Ausnet]:[United Energy]],0))*$L$50),0)+
IFERROR((INDEX(OP_Rates_SME_2[[Ausnet]:[United Energy]],MATCH("Balance",OP_Rates_SME_2[Rate name],0),MATCH(CostStackCalcs_SME_4[[#Headers],[Ausnet]],OP_Rates_SME_2[[#Headers],[Ausnet]:[United Energy]],0))*$L$51),0)+
IFERROR((INDEX(OP_Rates_SME_2[[Ausnet]:[United Energy]],MATCH("Single rate",OP_Rates_SME_2[Rate name],0),MATCH(CostStackCalcs_SME_4[[#Headers],[Ausnet]],OP_Rates_SME_2[[#Headers],[Ausnet]:[United Energy]],0))*$L$48),0))
+
(IFERROR((INDEX(OP_RatesTU_SME_2[[Ausnet]:[United Energy]],MATCH("Block 1",OP_RatesTU_SME_2[Rate name],0),MATCH(CostStackCalcs_SME_4[[#Headers],[Ausnet]],OP_RatesTU_SME_2[[#Headers],[Ausnet]:[United Energy]],0))*($L$50)),0)+
IFERROR((INDEX(OP_RatesTU_SME_2[[Ausnet]:[United Energy]],MATCH("Balance",OP_RatesTU_SME_2[Rate name],0),MATCH(CostStackCalcs_SME_4[[#Headers],[Ausnet]],OP_RatesTU_SME_2[[#Headers],[Ausnet]:[United Energy]],0))*($L$51)),0)+
IFERROR((INDEX(OP_RatesTU_SME_2[[Ausnet]:[United Energy]],MATCH("Single rate",OP_RatesTU_SME_2[Rate name],0),MATCH(CostStackCalcs_SME_4[[#Headers],[Ausnet]],OP_RatesTU_SME_2[[#Headers],[Ausnet]:[United Energy]],0))*($L$48)),0)),0))</f>
        <v>4774</v>
      </c>
      <c r="M66" s="74">
        <f>IF($D$32="Residential",
ROUNDUP(
(INDEX(OP_Rates_RES_2[[Ausnet]:[United Energy]],MATCH("Anytime - supply",OP_Rates_RES_2[Rate name],0),MATCH(CostStackCalcs_RES_2[[#Headers],[Citipower]],OP_Rates_RES_2[[#Headers],[Ausnet]:[United Energy]],0))*DiPY)+
(IFERROR((INDEX(OP_Rates_RES_2[[Ausnet]:[United Energy]],MATCH("Block 1",OP_Rates_RES_2[Rate name],0),MATCH(CostStackCalcs_RES_2[[#Headers],[Citipower]],OP_Rates_RES_2[[#Headers],[Ausnet]:[United Energy]],0))*$L$50),0)+
IFERROR((INDEX(OP_Rates_RES_2[[Ausnet]:[United Energy]],MATCH("Balance",OP_Rates_RES_2[Rate name],0),MATCH(CostStackCalcs_RES_2[[#Headers],[Citipower]],OP_Rates_RES_2[[#Headers],[Ausnet]:[United Energy]],0))*$L$51),0)+
IFERROR((INDEX(OP_Rates_RES_2[[Ausnet]:[United Energy]],MATCH("Single rate",OP_Rates_RES_2[Rate name],0),MATCH(CostStackCalcs_RES_2[[#Headers],[Citipower]],OP_Rates_RES_2[[#Headers],[Ausnet]:[United Energy]],0))*$L$48),0))
+
(IFERROR((INDEX(OP_RatesTU_RES_2[[Ausnet]:[United Energy]],MATCH("Block 1",OP_RatesTU_RES_2[Rate name],0),MATCH(CostStackCalcs_RES_2[[#Headers],[Citipower]],OP_RatesTU_RES_2[[#Headers],[Ausnet]:[United Energy]],0))*($L$50)),0)+
IFERROR((INDEX(OP_RatesTU_RES_2[[Ausnet]:[United Energy]],MATCH("Balance",OP_RatesTU_RES_2[Rate name],0),MATCH(CostStackCalcs_RES_2[[#Headers],[Citipower]],OP_RatesTU_RES_2[[#Headers],[Ausnet]:[United Energy]],0))*($L$51)),0)+
IFERROR((INDEX(OP_RatesTU_RES_2[[Ausnet]:[United Energy]],MATCH("Single rate",OP_RatesTU_RES_2[Rate name],0),MATCH(CostStackCalcs_RES_2[[#Headers],[Citipower]],OP_RatesTU_RES_2[[#Headers],[Ausnet]:[United Energy]],0))*($L$48)),0)),0),ROUNDUP(
(INDEX(OP_Rates_SME_2[[Ausnet]:[United Energy]],MATCH("Anytime - supply",OP_Rates_SME_2[Rate name],0),MATCH(CostStackCalcs_SME_4[[#Headers],[Citipower]],OP_Rates_SME_2[[#Headers],[Ausnet]:[United Energy]],0))*DiPY)+
(IFERROR((INDEX(OP_Rates_SME_2[[Ausnet]:[United Energy]],MATCH("Block 1",OP_Rates_SME_2[Rate name],0),MATCH(CostStackCalcs_SME_4[[#Headers],[Citipower]],OP_Rates_SME_2[[#Headers],[Ausnet]:[United Energy]],0))*$L$50),0)+
IFERROR((INDEX(OP_Rates_SME_2[[Ausnet]:[United Energy]],MATCH("Balance",OP_Rates_SME_2[Rate name],0),MATCH(CostStackCalcs_SME_4[[#Headers],[Citipower]],OP_Rates_SME_2[[#Headers],[Ausnet]:[United Energy]],0))*$L$51),0)+
IFERROR((INDEX(OP_Rates_SME_2[[Ausnet]:[United Energy]],MATCH("Single rate",OP_Rates_SME_2[Rate name],0),MATCH(CostStackCalcs_SME_4[[#Headers],[Citipower]],OP_Rates_SME_2[[#Headers],[Ausnet]:[United Energy]],0))*$L$48),0))
+
(IFERROR((INDEX(OP_RatesTU_SME_2[[Ausnet]:[United Energy]],MATCH("Block 1",OP_RatesTU_SME_2[Rate name],0),MATCH(CostStackCalcs_SME_4[[#Headers],[Citipower]],OP_RatesTU_SME_2[[#Headers],[Ausnet]:[United Energy]],0))*($L$50)),0)+
IFERROR((INDEX(OP_RatesTU_SME_2[[Ausnet]:[United Energy]],MATCH("Balance",OP_RatesTU_SME_2[Rate name],0),MATCH(CostStackCalcs_SME_4[[#Headers],[Citipower]],OP_RatesTU_SME_2[[#Headers],[Ausnet]:[United Energy]],0))*($L$51)),0)+
IFERROR((INDEX(OP_RatesTU_SME_2[[Ausnet]:[United Energy]],MATCH("Single rate",OP_RatesTU_SME_2[Rate name],0),MATCH(CostStackCalcs_SME_4[[#Headers],[Citipower]],OP_RatesTU_SME_2[[#Headers],[Ausnet]:[United Energy]],0))*($L$48)),0)),0))</f>
        <v>3326</v>
      </c>
      <c r="N66" s="74">
        <f>IF($D$32="Residential",
ROUNDUP(
(INDEX(OP_Rates_RES_2[[Ausnet]:[United Energy]],MATCH("Anytime - supply",OP_Rates_RES_2[Rate name],0),MATCH(CostStackCalcs_RES_2[[#Headers],[Jemena]],OP_Rates_RES_2[[#Headers],[Ausnet]:[United Energy]],0))*DiPY)+
(IFERROR((INDEX(OP_Rates_RES_2[[Ausnet]:[United Energy]],MATCH("Block 1",OP_Rates_RES_2[Rate name],0),MATCH(CostStackCalcs_RES_2[[#Headers],[Jemena]],OP_Rates_RES_2[[#Headers],[Ausnet]:[United Energy]],0))*$L$50),0)+
IFERROR((INDEX(OP_Rates_RES_2[[Ausnet]:[United Energy]],MATCH("Balance",OP_Rates_RES_2[Rate name],0),MATCH(CostStackCalcs_RES_2[[#Headers],[Jemena]],OP_Rates_RES_2[[#Headers],[Ausnet]:[United Energy]],0))*$L$51),0)+
IFERROR((INDEX(OP_Rates_RES_2[[Ausnet]:[United Energy]],MATCH("Single rate",OP_Rates_RES_2[Rate name],0),MATCH(CostStackCalcs_RES_2[[#Headers],[Jemena]],OP_Rates_RES_2[[#Headers],[Ausnet]:[United Energy]],0))*$L$48),0))
+
(IFERROR((INDEX(OP_RatesTU_RES_2[[Ausnet]:[United Energy]],MATCH("Block 1",OP_RatesTU_RES_2[Rate name],0),MATCH(CostStackCalcs_RES_2[[#Headers],[Jemena]],OP_RatesTU_RES_2[[#Headers],[Ausnet]:[United Energy]],0))*($L$50)),0)+
IFERROR((INDEX(OP_RatesTU_RES_2[[Ausnet]:[United Energy]],MATCH("Balance",OP_RatesTU_RES_2[Rate name],0),MATCH(CostStackCalcs_RES_2[[#Headers],[Jemena]],OP_RatesTU_RES_2[[#Headers],[Ausnet]:[United Energy]],0))*($L$51)),0)+
IFERROR((INDEX(OP_RatesTU_RES_2[[Ausnet]:[United Energy]],MATCH("Single rate",OP_RatesTU_RES_2[Rate name],0),MATCH(CostStackCalcs_RES_2[[#Headers],[Jemena]],OP_RatesTU_RES_2[[#Headers],[Ausnet]:[United Energy]],0))*($L$48)),0)),0),ROUNDUP(
(INDEX(OP_Rates_SME_2[[Ausnet]:[United Energy]],MATCH("Anytime - supply",OP_Rates_SME_2[Rate name],0),MATCH(CostStackCalcs_SME_4[[#Headers],[Jemena]],OP_Rates_SME_2[[#Headers],[Ausnet]:[United Energy]],0))*DiPY)+
(IFERROR((INDEX(OP_Rates_SME_2[[Ausnet]:[United Energy]],MATCH("Block 1",OP_Rates_SME_2[Rate name],0),MATCH(CostStackCalcs_SME_4[[#Headers],[Jemena]],OP_Rates_SME_2[[#Headers],[Ausnet]:[United Energy]],0))*$L$50),0)+
IFERROR((INDEX(OP_Rates_SME_2[[Ausnet]:[United Energy]],MATCH("Balance",OP_Rates_SME_2[Rate name],0),MATCH(CostStackCalcs_SME_4[[#Headers],[Jemena]],OP_Rates_SME_2[[#Headers],[Ausnet]:[United Energy]],0))*$L$51),0)+
IFERROR((INDEX(OP_Rates_SME_2[[Ausnet]:[United Energy]],MATCH("Single rate",OP_Rates_SME_2[Rate name],0),MATCH(CostStackCalcs_SME_4[[#Headers],[Jemena]],OP_Rates_SME_2[[#Headers],[Ausnet]:[United Energy]],0))*$L$48),0))
+
(IFERROR((INDEX(OP_RatesTU_SME_2[[Ausnet]:[United Energy]],MATCH("Block 1",OP_RatesTU_SME_2[Rate name],0),MATCH(CostStackCalcs_SME_4[[#Headers],[Jemena]],OP_RatesTU_SME_2[[#Headers],[Ausnet]:[United Energy]],0))*($L$50)),0)+
IFERROR((INDEX(OP_RatesTU_SME_2[[Ausnet]:[United Energy]],MATCH("Balance",OP_RatesTU_SME_2[Rate name],0),MATCH(CostStackCalcs_SME_4[[#Headers],[Jemena]],OP_RatesTU_SME_2[[#Headers],[Ausnet]:[United Energy]],0))*($L$51)),0)+
IFERROR((INDEX(OP_RatesTU_SME_2[[Ausnet]:[United Energy]],MATCH("Single rate",OP_RatesTU_SME_2[Rate name],0),MATCH(CostStackCalcs_SME_4[[#Headers],[Jemena]],OP_RatesTU_SME_2[[#Headers],[Ausnet]:[United Energy]],0))*($L$48)),0)),0))</f>
        <v>3786</v>
      </c>
      <c r="O66" s="74">
        <f>IF($D$32="Residential",
ROUNDUP(
(INDEX(OP_Rates_RES_2[[Ausnet]:[United Energy]],MATCH("Anytime - supply",OP_Rates_RES_2[Rate name],0),MATCH(CostStackCalcs_RES_2[[#Headers],[Powercor]],OP_Rates_RES_2[[#Headers],[Ausnet]:[United Energy]],0))*DiPY)+
(IFERROR((INDEX(OP_Rates_RES_2[[Ausnet]:[United Energy]],MATCH("Block 1",OP_Rates_RES_2[Rate name],0),MATCH(CostStackCalcs_RES_2[[#Headers],[Powercor]],OP_Rates_RES_2[[#Headers],[Ausnet]:[United Energy]],0))*$L$50),0)+
IFERROR((INDEX(OP_Rates_RES_2[[Ausnet]:[United Energy]],MATCH("Balance",OP_Rates_RES_2[Rate name],0),MATCH(CostStackCalcs_RES_2[[#Headers],[Powercor]],OP_Rates_RES_2[[#Headers],[Ausnet]:[United Energy]],0))*$L$51),0)+
IFERROR((INDEX(OP_Rates_RES_2[[Ausnet]:[United Energy]],MATCH("Single rate",OP_Rates_RES_2[Rate name],0),MATCH(CostStackCalcs_RES_2[[#Headers],[Powercor]],OP_Rates_RES_2[[#Headers],[Ausnet]:[United Energy]],0))*$L$48),0))
+
(IFERROR((INDEX(OP_RatesTU_RES_2[[Ausnet]:[United Energy]],MATCH("Block 1",OP_RatesTU_RES_2[Rate name],0),MATCH(CostStackCalcs_RES_2[[#Headers],[Powercor]],OP_RatesTU_RES_2[[#Headers],[Ausnet]:[United Energy]],0))*($L$50)),0)+
IFERROR((INDEX(OP_RatesTU_RES_2[[Ausnet]:[United Energy]],MATCH("Balance",OP_RatesTU_RES_2[Rate name],0),MATCH(CostStackCalcs_RES_2[[#Headers],[Powercor]],OP_RatesTU_RES_2[[#Headers],[Ausnet]:[United Energy]],0))*($L$51)),0)+
IFERROR((INDEX(OP_RatesTU_RES_2[[Ausnet]:[United Energy]],MATCH("Single rate",OP_RatesTU_RES_2[Rate name],0),MATCH(CostStackCalcs_RES_2[[#Headers],[Powercor]],OP_RatesTU_RES_2[[#Headers],[Ausnet]:[United Energy]],0))*($L$48)),0)),0),ROUNDUP(
(INDEX(OP_Rates_SME_2[[Ausnet]:[United Energy]],MATCH("Anytime - supply",OP_Rates_SME_2[Rate name],0),MATCH(CostStackCalcs_SME_4[[#Headers],[Powercor]],OP_Rates_SME_2[[#Headers],[Ausnet]:[United Energy]],0))*DiPY)+
(IFERROR((INDEX(OP_Rates_SME_2[[Ausnet]:[United Energy]],MATCH("Block 1",OP_Rates_SME_2[Rate name],0),MATCH(CostStackCalcs_SME_4[[#Headers],[Powercor]],OP_Rates_SME_2[[#Headers],[Ausnet]:[United Energy]],0))*$L$50),0)+
IFERROR((INDEX(OP_Rates_SME_2[[Ausnet]:[United Energy]],MATCH("Balance",OP_Rates_SME_2[Rate name],0),MATCH(CostStackCalcs_SME_4[[#Headers],[Powercor]],OP_Rates_SME_2[[#Headers],[Ausnet]:[United Energy]],0))*$L$51),0)+
IFERROR((INDEX(OP_Rates_SME_2[[Ausnet]:[United Energy]],MATCH("Single rate",OP_Rates_SME_2[Rate name],0),MATCH(CostStackCalcs_SME_4[[#Headers],[Powercor]],OP_Rates_SME_2[[#Headers],[Ausnet]:[United Energy]],0))*$L$48),0))
+
(IFERROR((INDEX(OP_RatesTU_SME_2[[Ausnet]:[United Energy]],MATCH("Block 1",OP_RatesTU_SME_2[Rate name],0),MATCH(CostStackCalcs_SME_4[[#Headers],[Powercor]],OP_RatesTU_SME_2[[#Headers],[Ausnet]:[United Energy]],0))*($L$50)),0)+
IFERROR((INDEX(OP_RatesTU_SME_2[[Ausnet]:[United Energy]],MATCH("Balance",OP_RatesTU_SME_2[Rate name],0),MATCH(CostStackCalcs_SME_4[[#Headers],[Powercor]],OP_RatesTU_SME_2[[#Headers],[Ausnet]:[United Energy]],0))*($L$51)),0)+
IFERROR((INDEX(OP_RatesTU_SME_2[[Ausnet]:[United Energy]],MATCH("Single rate",OP_RatesTU_SME_2[Rate name],0),MATCH(CostStackCalcs_SME_4[[#Headers],[Powercor]],OP_RatesTU_SME_2[[#Headers],[Ausnet]:[United Energy]],0))*($L$48)),0)),0))</f>
        <v>3585</v>
      </c>
      <c r="P66" s="74">
        <f>IF($D$32="Residential",
ROUNDUP(
(INDEX(OP_Rates_RES_2[[Ausnet]:[United Energy]],MATCH("Anytime - supply",OP_Rates_RES_2[Rate name],0),MATCH(CostStackCalcs_RES_2[[#Headers],[United Energy]],OP_Rates_RES_2[[#Headers],[Ausnet]:[United Energy]],0))*DiPY)+
(IFERROR((INDEX(OP_Rates_RES_2[[Ausnet]:[United Energy]],MATCH("Block 1",OP_Rates_RES_2[Rate name],0),MATCH(CostStackCalcs_RES_2[[#Headers],[United Energy]],OP_Rates_RES_2[[#Headers],[Ausnet]:[United Energy]],0))*$L$50),0)+
IFERROR((INDEX(OP_Rates_RES_2[[Ausnet]:[United Energy]],MATCH("Balance",OP_Rates_RES_2[Rate name],0),MATCH(CostStackCalcs_RES_2[[#Headers],[United Energy]],OP_Rates_RES_2[[#Headers],[Ausnet]:[United Energy]],0))*$L$51),0)+
IFERROR((INDEX(OP_Rates_RES_2[[Ausnet]:[United Energy]],MATCH("Single rate",OP_Rates_RES_2[Rate name],0),MATCH(CostStackCalcs_RES_2[[#Headers],[United Energy]],OP_Rates_RES_2[[#Headers],[Ausnet]:[United Energy]],0))*$L$48),0))
+
(IFERROR((INDEX(OP_RatesTU_RES_2[[Ausnet]:[United Energy]],MATCH("Block 1",OP_RatesTU_RES_2[Rate name],0),MATCH(CostStackCalcs_RES_2[[#Headers],[United Energy]],OP_RatesTU_RES_2[[#Headers],[Ausnet]:[United Energy]],0))*($L$50)),0)+
IFERROR((INDEX(OP_RatesTU_RES_2[[Ausnet]:[United Energy]],MATCH("Balance",OP_RatesTU_RES_2[Rate name],0),MATCH(CostStackCalcs_RES_2[[#Headers],[United Energy]],OP_RatesTU_RES_2[[#Headers],[Ausnet]:[United Energy]],0))*($L$51)),0)+
IFERROR((INDEX(OP_RatesTU_RES_2[[Ausnet]:[United Energy]],MATCH("Single rate",OP_RatesTU_RES_2[Rate name],0),MATCH(CostStackCalcs_RES_2[[#Headers],[United Energy]],OP_RatesTU_RES_2[[#Headers],[Ausnet]:[United Energy]],0))*($L$48)),0)),0),ROUNDUP(
(INDEX(OP_Rates_SME_2[[Ausnet]:[United Energy]],MATCH("Anytime - supply",OP_Rates_SME_2[Rate name],0),MATCH(CostStackCalcs_SME_4[[#Headers],[United Energy]],OP_Rates_SME_2[[#Headers],[Ausnet]:[United Energy]],0))*DiPY)+
(IFERROR((INDEX(OP_Rates_SME_2[[Ausnet]:[United Energy]],MATCH("Block 1",OP_Rates_SME_2[Rate name],0),MATCH(CostStackCalcs_SME_4[[#Headers],[United Energy]],OP_Rates_SME_2[[#Headers],[Ausnet]:[United Energy]],0))*$L$50),0)+
IFERROR((INDEX(OP_Rates_SME_2[[Ausnet]:[United Energy]],MATCH("Balance",OP_Rates_SME_2[Rate name],0),MATCH(CostStackCalcs_SME_4[[#Headers],[United Energy]],OP_Rates_SME_2[[#Headers],[Ausnet]:[United Energy]],0))*$L$51),0)+
IFERROR((INDEX(OP_Rates_SME_2[[Ausnet]:[United Energy]],MATCH("Single rate",OP_Rates_SME_2[Rate name],0),MATCH(CostStackCalcs_SME_4[[#Headers],[United Energy]],OP_Rates_SME_2[[#Headers],[Ausnet]:[United Energy]],0))*$L$48),0))
+
(IFERROR((INDEX(OP_RatesTU_SME_2[[Ausnet]:[United Energy]],MATCH("Block 1",OP_RatesTU_SME_2[Rate name],0),MATCH(CostStackCalcs_SME_4[[#Headers],[United Energy]],OP_RatesTU_SME_2[[#Headers],[Ausnet]:[United Energy]],0))*($L$50)),0)+
IFERROR((INDEX(OP_RatesTU_SME_2[[Ausnet]:[United Energy]],MATCH("Balance",OP_RatesTU_SME_2[Rate name],0),MATCH(CostStackCalcs_SME_4[[#Headers],[United Energy]],OP_RatesTU_SME_2[[#Headers],[Ausnet]:[United Energy]],0))*($L$51)),0)+
IFERROR((INDEX(OP_RatesTU_SME_2[[Ausnet]:[United Energy]],MATCH("Single rate",OP_RatesTU_SME_2[Rate name],0),MATCH(CostStackCalcs_SME_4[[#Headers],[United Energy]],OP_RatesTU_SME_2[[#Headers],[Ausnet]:[United Energy]],0))*($L$48)),0)),0))</f>
        <v>3483</v>
      </c>
      <c r="Q66" s="74">
        <f>ROUND(AVERAGE(L66:P66),0)</f>
        <v>3791</v>
      </c>
    </row>
    <row r="67" spans="2:17" hidden="1" outlineLevel="1" x14ac:dyDescent="0.25">
      <c r="B67" s="159" t="s">
        <v>545</v>
      </c>
      <c r="C67" s="31" t="s">
        <v>543</v>
      </c>
      <c r="D67" s="165">
        <f>D66-L66</f>
        <v>-386</v>
      </c>
      <c r="E67" s="165">
        <f>E66-M66</f>
        <v>-301</v>
      </c>
      <c r="F67" s="165">
        <f>F66-N66</f>
        <v>-91</v>
      </c>
      <c r="G67" s="165">
        <f>G66-O66</f>
        <v>-254</v>
      </c>
      <c r="H67" s="165">
        <f>H66-P66</f>
        <v>-271</v>
      </c>
      <c r="I67" s="74">
        <f>AVERAGE(D67:H67)</f>
        <v>-260.60000000000002</v>
      </c>
      <c r="K67" s="14"/>
      <c r="L67" s="74"/>
      <c r="M67" s="74"/>
      <c r="N67" s="74"/>
      <c r="O67" s="74"/>
      <c r="P67" s="74"/>
      <c r="Q67" s="74"/>
    </row>
    <row r="68" spans="2:17" hidden="1" outlineLevel="1" x14ac:dyDescent="0.25">
      <c r="B68" s="159" t="s">
        <v>545</v>
      </c>
      <c r="C68" s="31" t="s">
        <v>544</v>
      </c>
      <c r="D68" s="166">
        <f>D67/L66</f>
        <v>-8.0854629241726012E-2</v>
      </c>
      <c r="E68" s="166">
        <f>E67/M66</f>
        <v>-9.0499098015634397E-2</v>
      </c>
      <c r="F68" s="166">
        <f>F67/N66</f>
        <v>-2.4035921817221341E-2</v>
      </c>
      <c r="G68" s="166">
        <f>G67/O66</f>
        <v>-7.0850767085076705E-2</v>
      </c>
      <c r="H68" s="166">
        <f>H67/P66</f>
        <v>-7.7806488659201839E-2</v>
      </c>
      <c r="I68" s="173">
        <f>AVERAGE(D68:H68)</f>
        <v>-6.8809380963772052E-2</v>
      </c>
      <c r="K68" s="14"/>
      <c r="L68" s="74"/>
      <c r="M68" s="74"/>
      <c r="N68" s="74"/>
      <c r="O68" s="74"/>
      <c r="P68" s="74"/>
      <c r="Q68" s="74"/>
    </row>
    <row r="69" spans="2:17" outlineLevel="1" x14ac:dyDescent="0.25"/>
    <row r="70" spans="2:17" ht="15.75" outlineLevel="1" x14ac:dyDescent="0.25">
      <c r="C70" s="77" t="s">
        <v>16</v>
      </c>
      <c r="D70" s="67">
        <f t="shared" ref="D70:I70" si="7">IF(AND(D66-D64&lt;=1,D66-D64&gt;=-1),0,1)</f>
        <v>0</v>
      </c>
      <c r="E70" s="67">
        <f t="shared" si="7"/>
        <v>0</v>
      </c>
      <c r="F70" s="67">
        <f t="shared" si="7"/>
        <v>0</v>
      </c>
      <c r="G70" s="67">
        <f t="shared" si="7"/>
        <v>0</v>
      </c>
      <c r="H70" s="67">
        <f t="shared" si="7"/>
        <v>0</v>
      </c>
      <c r="I70" s="67">
        <f t="shared" si="7"/>
        <v>0</v>
      </c>
      <c r="K70" s="77" t="s">
        <v>16</v>
      </c>
      <c r="L70" s="67">
        <f t="shared" ref="L70:Q70" si="8">IF(AND(L66-L64&lt;=1,L66-L64&gt;=-1),0,1)</f>
        <v>0</v>
      </c>
      <c r="M70" s="67">
        <f t="shared" si="8"/>
        <v>0</v>
      </c>
      <c r="N70" s="67">
        <f t="shared" si="8"/>
        <v>0</v>
      </c>
      <c r="O70" s="67">
        <f t="shared" si="8"/>
        <v>0</v>
      </c>
      <c r="P70" s="67">
        <f t="shared" si="8"/>
        <v>0</v>
      </c>
      <c r="Q70" s="67">
        <f t="shared" si="8"/>
        <v>0</v>
      </c>
    </row>
    <row r="71" spans="2:17" outlineLevel="1" x14ac:dyDescent="0.25"/>
    <row r="72" spans="2:17" ht="15.75" outlineLevel="1" x14ac:dyDescent="0.25">
      <c r="C72" s="29" t="s">
        <v>263</v>
      </c>
      <c r="D72" s="71">
        <f>INDEX(Input_ForRateCalc[],MATCH($C72,Input_ForRateCalc[[Cost item]:[Cost item]],0),MATCH($D$45,Inputs!$C$15:$AZ$15,0))</f>
        <v>5.6000000000000001E-2</v>
      </c>
      <c r="E72" s="71">
        <f>INDEX(Input_ForRateCalc[],MATCH($C72,Input_ForRateCalc[[Cost item]:[Cost item]],0),MATCH($D$45,Inputs!$C$15:$AZ$15,0))</f>
        <v>5.6000000000000001E-2</v>
      </c>
      <c r="F72" s="71">
        <f>INDEX(Input_ForRateCalc[],MATCH($C72,Input_ForRateCalc[[Cost item]:[Cost item]],0),MATCH($D$45,Inputs!$C$15:$AZ$15,0))</f>
        <v>5.6000000000000001E-2</v>
      </c>
      <c r="G72" s="71">
        <f>INDEX(Input_ForRateCalc[],MATCH($C72,Input_ForRateCalc[[Cost item]:[Cost item]],0),MATCH($D$45,Inputs!$C$15:$AZ$15,0))</f>
        <v>5.6000000000000001E-2</v>
      </c>
      <c r="H72" s="71">
        <f>INDEX(Input_ForRateCalc[],MATCH($C72,Input_ForRateCalc[[Cost item]:[Cost item]],0),MATCH($D$45,Inputs!$C$15:$AZ$15,0))</f>
        <v>5.6000000000000001E-2</v>
      </c>
      <c r="K72" s="29" t="s">
        <v>263</v>
      </c>
      <c r="L72" s="71">
        <f>INDEX(Input_ForRateCalc[],MATCH($K72,Input_ForRateCalc[[Cost item]:[Cost item]],0),MATCH($L$45,Inputs!$C$15:$AZ$15,0))</f>
        <v>5.6000000000000001E-2</v>
      </c>
      <c r="M72" s="71">
        <f>INDEX(Input_ForRateCalc[],MATCH($K72,Input_ForRateCalc[[Cost item]:[Cost item]],0),MATCH($L$45,Inputs!$C$15:$AZ$15,0))</f>
        <v>5.6000000000000001E-2</v>
      </c>
      <c r="N72" s="71">
        <f>INDEX(Input_ForRateCalc[],MATCH($K72,Input_ForRateCalc[[Cost item]:[Cost item]],0),MATCH($L$45,Inputs!$C$15:$AZ$15,0))</f>
        <v>5.6000000000000001E-2</v>
      </c>
      <c r="O72" s="71">
        <f>INDEX(Input_ForRateCalc[],MATCH($K72,Input_ForRateCalc[[Cost item]:[Cost item]],0),MATCH($L$45,Inputs!$C$15:$AZ$15,0))</f>
        <v>5.6000000000000001E-2</v>
      </c>
      <c r="P72" s="71">
        <f>INDEX(Input_ForRateCalc[],MATCH($K72,Input_ForRateCalc[[Cost item]:[Cost item]],0),MATCH($L$45,Inputs!$C$15:$AZ$15,0))</f>
        <v>5.6000000000000001E-2</v>
      </c>
    </row>
    <row r="73" spans="2:17" outlineLevel="1" x14ac:dyDescent="0.25"/>
    <row r="74" spans="2:17" ht="15.75" outlineLevel="1" x14ac:dyDescent="0.25">
      <c r="C74" s="29" t="s">
        <v>372</v>
      </c>
      <c r="D74" s="71">
        <f>INDEX(Calc_Losses_1[[Ausnet]:[United Energy]],MATCH("Total loss factor",Calc_Losses_1[Cost item],0),MATCH(D$54,Calc_Losses_1[[#Headers],[Ausnet]:[United Energy]],0))</f>
        <v>7.9520016025126816E-2</v>
      </c>
      <c r="E74" s="71">
        <f>INDEX(Calc_Losses_1[[Ausnet]:[United Energy]],MATCH("Total loss factor",Calc_Losses_1[Cost item],0),MATCH(E$54,Calc_Losses_1[[#Headers],[Ausnet]:[United Energy]],0))</f>
        <v>4.3222622000000044E-2</v>
      </c>
      <c r="F74" s="71">
        <f>INDEX(Calc_Losses_1[[Ausnet]:[United Energy]],MATCH("Total loss factor",Calc_Losses_1[Cost item],0),MATCH(F$54,Calc_Losses_1[[#Headers],[Ausnet]:[United Energy]],0))</f>
        <v>4.7794459999999983E-2</v>
      </c>
      <c r="G74" s="71">
        <f>INDEX(Calc_Losses_1[[Ausnet]:[United Energy]],MATCH("Total loss factor",Calc_Losses_1[Cost item],0),MATCH(G$54,Calc_Losses_1[[#Headers],[Ausnet]:[United Energy]],0))</f>
        <v>6.5003673442893595E-2</v>
      </c>
      <c r="H74" s="71">
        <f>INDEX(Calc_Losses_1[[Ausnet]:[United Energy]],MATCH("Total loss factor",Calc_Losses_1[Cost item],0),MATCH(H$54,Calc_Losses_1[[#Headers],[Ausnet]:[United Energy]],0))</f>
        <v>4.4483242727272776E-2</v>
      </c>
      <c r="K74" s="29" t="s">
        <v>372</v>
      </c>
      <c r="L74" s="71">
        <f>INDEX(Calc_Losses_2[[Ausnet]:[United Energy]],MATCH("Total loss factor",Calc_Losses_2[Cost item],0),MATCH(L$54,Calc_Losses_2[[#Headers],[Ausnet]:[United Energy]],0))</f>
        <v>8.5419688344982481E-2</v>
      </c>
      <c r="M74" s="71">
        <f>INDEX(Calc_Losses_2[[Ausnet]:[United Energy]],MATCH("Total loss factor",Calc_Losses_2[Cost item],0),MATCH(M$54,Calc_Losses_2[[#Headers],[Ausnet]:[United Energy]],0))</f>
        <v>4.4989549999999934E-2</v>
      </c>
      <c r="N74" s="71">
        <f>INDEX(Calc_Losses_2[[Ausnet]:[United Energy]],MATCH("Total loss factor",Calc_Losses_2[Cost item],0),MATCH(N$54,Calc_Losses_2[[#Headers],[Ausnet]:[United Energy]],0))</f>
        <v>4.5352937499999912E-2</v>
      </c>
      <c r="O74" s="71">
        <f>INDEX(Calc_Losses_2[[Ausnet]:[United Energy]],MATCH("Total loss factor",Calc_Losses_2[Cost item],0),MATCH(O$54,Calc_Losses_2[[#Headers],[Ausnet]:[United Energy]],0))</f>
        <v>7.1431145265919538E-2</v>
      </c>
      <c r="P74" s="71">
        <f>INDEX(Calc_Losses_2[[Ausnet]:[United Energy]],MATCH("Total loss factor",Calc_Losses_2[Cost item],0),MATCH(P$54,Calc_Losses_2[[#Headers],[Ausnet]:[United Energy]],0))</f>
        <v>4.6946740000000098E-2</v>
      </c>
    </row>
    <row r="75" spans="2:17" outlineLevel="1" x14ac:dyDescent="0.25"/>
    <row r="76" spans="2:17" ht="15.75" outlineLevel="1" x14ac:dyDescent="0.25">
      <c r="C76" s="20" t="s">
        <v>526</v>
      </c>
      <c r="K76" s="20" t="s">
        <v>526</v>
      </c>
    </row>
    <row r="77" spans="2:17" ht="15.75" outlineLevel="1" x14ac:dyDescent="0.25">
      <c r="C77" s="29" t="s">
        <v>527</v>
      </c>
      <c r="D77" s="72">
        <f>SUM(Calc_Retail_1[Ausnet])</f>
        <v>185.86772433721131</v>
      </c>
      <c r="E77" s="72">
        <f>SUM(Calc_Retail_1[Citipower])</f>
        <v>185.86772433721131</v>
      </c>
      <c r="F77" s="72">
        <f>SUM(Calc_Retail_1[Jemena])</f>
        <v>185.86772433721131</v>
      </c>
      <c r="G77" s="72">
        <f>SUM(Calc_Retail_1[Powercor])</f>
        <v>185.86772433721131</v>
      </c>
      <c r="H77" s="72">
        <f>SUM(Calc_Retail_1[United Energy])</f>
        <v>185.86772433721131</v>
      </c>
      <c r="K77" s="29" t="s">
        <v>527</v>
      </c>
      <c r="L77" s="72">
        <f>SUM(Calc_Retail_2[Ausnet])</f>
        <v>175.92415101117138</v>
      </c>
      <c r="M77" s="72">
        <f>SUM(Calc_Retail_2[Citipower])</f>
        <v>175.92415101117138</v>
      </c>
      <c r="N77" s="72">
        <f>SUM(Calc_Retail_2[Jemena])</f>
        <v>175.92415101117138</v>
      </c>
      <c r="O77" s="72">
        <f>SUM(Calc_Retail_2[Powercor])</f>
        <v>175.92415101117138</v>
      </c>
      <c r="P77" s="72">
        <f>SUM(Calc_Retail_2[United Energy])</f>
        <v>175.92415101117138</v>
      </c>
    </row>
    <row r="78" spans="2:17" outlineLevel="1" x14ac:dyDescent="0.25"/>
    <row r="79" spans="2:17" ht="15.75" outlineLevel="1" x14ac:dyDescent="0.25">
      <c r="C79" s="29" t="s">
        <v>528</v>
      </c>
      <c r="D79" s="72">
        <f>INDEX(Calc_NetworkF_1[[Ausnet]:[United Energy]],MATCH("Metering",Calc_NetworkF_1[[Cost item]:[Cost item]],0),MATCH(D$54,Calc_NetworkF_1[[#Headers],[Ausnet]:[United Energy]],0))+
SUMIFS(Calc_NetworkF_1[Ausnet],Calc_NetworkF_1[[Cost item]:[Cost item]],"Anytime - supply",Calc_NetworkF_1[[Customer type]:[Customer type]],IF(ISNUMBER(SEARCH("Residential",$C$48)),"Residential","Small business"))</f>
        <v>219.66849011598811</v>
      </c>
      <c r="E79" s="72">
        <f>INDEX(Calc_NetworkF_1[[Ausnet]:[United Energy]],MATCH("Metering",Calc_NetworkF_1[[Cost item]:[Cost item]],0),MATCH(E$54,Calc_NetworkF_1[[#Headers],[Ausnet]:[United Energy]],0))+
SUMIFS(Calc_NetworkF_1[Citipower],Calc_NetworkF_1[[Cost item]:[Cost item]],"Anytime - supply",Calc_NetworkF_1[[Customer type]:[Customer type]],IF(ISNUMBER(SEARCH("Residential",$C$48)),"Residential","Small business"))</f>
        <v>226.85014224641867</v>
      </c>
      <c r="F79" s="72">
        <f>INDEX(Calc_NetworkF_1[[Ausnet]:[United Energy]],MATCH("Metering",Calc_NetworkF_1[[Cost item]:[Cost item]],0),MATCH(F$54,Calc_NetworkF_1[[#Headers],[Ausnet]:[United Energy]],0))+
SUMIFS(Calc_NetworkF_1[Jemena],Calc_NetworkF_1[[Cost item]:[Cost item]],"Anytime - supply",Calc_NetworkF_1[[Customer type]:[Customer type]],IF(ISNUMBER(SEARCH("Residential",$C$48)),"Residential","Small business"))</f>
        <v>241.70114457779835</v>
      </c>
      <c r="G79" s="72">
        <f>INDEX(Calc_NetworkF_1[[Ausnet]:[United Energy]],MATCH("Metering",Calc_NetworkF_1[[Cost item]:[Cost item]],0),MATCH(G$54,Calc_NetworkF_1[[#Headers],[Ausnet]:[United Energy]],0))+
SUMIFS(Calc_NetworkF_1[Powercor],Calc_NetworkF_1[[Cost item]:[Cost item]],"Anytime - supply",Calc_NetworkF_1[[Customer type]:[Customer type]],IF(ISNUMBER(SEARCH("Residential",$C$48)),"Residential","Small business"))</f>
        <v>258.62550924858039</v>
      </c>
      <c r="H79" s="72">
        <f>INDEX(Calc_NetworkF_1[[Ausnet]:[United Energy]],MATCH("Metering",Calc_NetworkF_1[[Cost item]:[Cost item]],0),MATCH(H$54,Calc_NetworkF_1[[#Headers],[Ausnet]:[United Energy]],0))+
SUMIFS(Calc_NetworkF_1[United Energy],Calc_NetworkF_1[[Cost item]:[Cost item]],"Anytime - supply",Calc_NetworkF_1[[Customer type]:[Customer type]],IF(ISNUMBER(SEARCH("Residential",$C$48)),"Residential","Small business"))</f>
        <v>204.29101052193329</v>
      </c>
      <c r="K79" s="29" t="s">
        <v>528</v>
      </c>
      <c r="L79" s="72">
        <f>INDEX(Calc_NetworkF_2[[Ausnet]:[United Energy]],MATCH("Metering",Calc_NetworkF_2[[Cost item]:[Cost item]],0),MATCH(L$54,Calc_NetworkF_2[[#Headers],[Ausnet]:[United Energy]],0))+
SUMIFS(Calc_NetworkF_2[Ausnet],Calc_NetworkF_2[[Cost item]:[Cost item]],"Anytime - supply",Calc_NetworkF_2[[Customer type]:[Customer type]],IF(ISNUMBER(SEARCH("Residential",$K$48)),"Residential","Small business"))</f>
        <v>213.97054227419011</v>
      </c>
      <c r="M79" s="72">
        <f>INDEX(Calc_NetworkF_2[[Ausnet]:[United Energy]],MATCH("Metering",Calc_NetworkF_2[[Cost item]:[Cost item]],0),MATCH(M$54,Calc_NetworkF_2[[#Headers],[Ausnet]:[United Energy]],0))+
SUMIFS(Calc_NetworkF_2[Citipower],Calc_NetworkF_2[[Cost item]:[Cost item]],"Anytime - supply",Calc_NetworkF_2[[Customer type]:[Customer type]],IF(ISNUMBER(SEARCH("Residential",$K$48)),"Residential","Small business"))</f>
        <v>219.75989568695607</v>
      </c>
      <c r="N79" s="72">
        <f>INDEX(Calc_NetworkF_2[[Ausnet]:[United Energy]],MATCH("Metering",Calc_NetworkF_2[[Cost item]:[Cost item]],0),MATCH(N$54,Calc_NetworkF_2[[#Headers],[Ausnet]:[United Energy]],0))+
SUMIFS(Calc_NetworkF_2[Jemena],Calc_NetworkF_2[[Cost item]:[Cost item]],"Anytime - supply",Calc_NetworkF_2[[Customer type]:[Customer type]],IF(ISNUMBER(SEARCH("Residential",$K$48)),"Residential","Small business"))</f>
        <v>207.87034275504374</v>
      </c>
      <c r="O79" s="72">
        <f>INDEX(Calc_NetworkF_2[[Ausnet]:[United Energy]],MATCH("Metering",Calc_NetworkF_2[[Cost item]:[Cost item]],0),MATCH(O$54,Calc_NetworkF_2[[#Headers],[Ausnet]:[United Energy]],0))+
SUMIFS(Calc_NetworkF_2[Powercor],Calc_NetworkF_2[[Cost item]:[Cost item]],"Anytime - supply",Calc_NetworkF_2[[Customer type]:[Customer type]],IF(ISNUMBER(SEARCH("Residential",$K$48)),"Residential","Small business"))</f>
        <v>246.23715510552023</v>
      </c>
      <c r="P79" s="72">
        <f>INDEX(Calc_NetworkF_2[[Ausnet]:[United Energy]],MATCH("Metering",Calc_NetworkF_2[[Cost item]:[Cost item]],0),MATCH(P$54,Calc_NetworkF_2[[#Headers],[Ausnet]:[United Energy]],0))+
SUMIFS(Calc_NetworkF_2[United Energy],Calc_NetworkF_2[[Cost item]:[Cost item]],"Anytime - supply",Calc_NetworkF_2[[Customer type]:[Customer type]],IF(ISNUMBER(SEARCH("Residential",$K$48)),"Residential","Small business"))</f>
        <v>187.32328763194758</v>
      </c>
    </row>
    <row r="80" spans="2:17" outlineLevel="1" x14ac:dyDescent="0.25"/>
    <row r="81" spans="2:16" ht="15.75" outlineLevel="1" x14ac:dyDescent="0.25">
      <c r="C81" s="29" t="s">
        <v>147</v>
      </c>
      <c r="D81" s="72">
        <f>SUMIFS(Calc_OtherCosts_1[Ausnet],Calc_OtherCosts_1[[Fixed/Variable]:[Fixed/Variable]],"Fixed")</f>
        <v>14.076594479806786</v>
      </c>
      <c r="E81" s="72">
        <f>SUMIFS(Calc_OtherCosts_1[Citipower],Calc_OtherCosts_1[[Fixed/Variable]:[Fixed/Variable]],"Fixed")</f>
        <v>14.076594479806786</v>
      </c>
      <c r="F81" s="72">
        <f>SUMIFS(Calc_OtherCosts_1[Jemena],Calc_OtherCosts_1[[Fixed/Variable]:[Fixed/Variable]],"Fixed")</f>
        <v>14.076594479806786</v>
      </c>
      <c r="G81" s="72">
        <f>SUMIFS(Calc_OtherCosts_1[Powercor],Calc_OtherCosts_1[[Fixed/Variable]:[Fixed/Variable]],"Fixed")</f>
        <v>14.076594479806786</v>
      </c>
      <c r="H81" s="72">
        <f>SUMIFS(Calc_OtherCosts_1[United Energy],Calc_OtherCosts_1[[Fixed/Variable]:[Fixed/Variable]],"Fixed")</f>
        <v>14.076594479806786</v>
      </c>
      <c r="K81" s="29" t="s">
        <v>147</v>
      </c>
      <c r="L81" s="72">
        <f>SUMIFS(Calc_OtherCosts_2[Ausnet],Calc_OtherCosts_2[[Fixed/Variable]:[Fixed/Variable]],"Fixed")</f>
        <v>10.663924892904003</v>
      </c>
      <c r="M81" s="72">
        <f>SUMIFS(Calc_OtherCosts_2[Citipower],Calc_OtherCosts_2[[Fixed/Variable]:[Fixed/Variable]],"Fixed")</f>
        <v>10.663924892904003</v>
      </c>
      <c r="N81" s="72">
        <f>SUMIFS(Calc_OtherCosts_2[Jemena],Calc_OtherCosts_2[[Fixed/Variable]:[Fixed/Variable]],"Fixed")</f>
        <v>10.663924892904003</v>
      </c>
      <c r="O81" s="72">
        <f>SUMIFS(Calc_OtherCosts_2[Powercor],Calc_OtherCosts_2[[Fixed/Variable]:[Fixed/Variable]],"Fixed")</f>
        <v>10.663924892904003</v>
      </c>
      <c r="P81" s="72">
        <f>SUMIFS(Calc_OtherCosts_2[United Energy],Calc_OtherCosts_2[[Fixed/Variable]:[Fixed/Variable]],"Fixed")</f>
        <v>10.663924892904003</v>
      </c>
    </row>
    <row r="82" spans="2:16" outlineLevel="1" x14ac:dyDescent="0.25"/>
    <row r="83" spans="2:16" ht="15.75" x14ac:dyDescent="0.25">
      <c r="K83" s="29" t="s">
        <v>529</v>
      </c>
      <c r="L83" s="176">
        <f>INDEX(Calc_FiT_2[[Ausnet]:[United Energy]],1,MATCH(L$54,Calc_FiT_2[[#Headers],[Ausnet]:[United Energy]],0))</f>
        <v>16.945572514842485</v>
      </c>
      <c r="M83" s="176">
        <f>INDEX(Calc_FiT_2[[Ausnet]:[United Energy]],1,MATCH(M$54,Calc_FiT_2[[#Headers],[Ausnet]:[United Energy]],0))</f>
        <v>16.945572514842485</v>
      </c>
      <c r="N83" s="176">
        <f>INDEX(Calc_FiT_2[[Ausnet]:[United Energy]],1,MATCH(N$54,Calc_FiT_2[[#Headers],[Ausnet]:[United Energy]],0))</f>
        <v>16.945572514842485</v>
      </c>
      <c r="O83" s="176">
        <f>INDEX(Calc_FiT_2[[Ausnet]:[United Energy]],1,MATCH(O$54,Calc_FiT_2[[#Headers],[Ausnet]:[United Energy]],0))</f>
        <v>16.945572514842485</v>
      </c>
      <c r="P83" s="176">
        <f>INDEX(Calc_FiT_2[[Ausnet]:[United Energy]],1,MATCH(P$54,Calc_FiT_2[[#Headers],[Ausnet]:[United Energy]],0))</f>
        <v>16.945572514842485</v>
      </c>
    </row>
    <row r="84" spans="2:16" outlineLevel="1" x14ac:dyDescent="0.25"/>
    <row r="85" spans="2:16" ht="15.75" outlineLevel="1" x14ac:dyDescent="0.25">
      <c r="C85" s="20" t="s">
        <v>530</v>
      </c>
      <c r="K85" s="20" t="s">
        <v>530</v>
      </c>
    </row>
    <row r="86" spans="2:16" ht="15.75" outlineLevel="1" x14ac:dyDescent="0.25">
      <c r="C86" s="29" t="s">
        <v>89</v>
      </c>
      <c r="D86" s="72">
        <f>INDEX(Calc_EnviroVEU_1[[Ausnet]:[United Energy]],MATCH("VEU cost",Calc_EnviroVEU_1[[Cost item]:[Cost item]],0),MATCH(D$54,Calc_EnviroVEU_1[[#Headers],[Ausnet]:[United Energy]],0))+
INDEX(Calc_EnviroLRET_1[[Ausnet]:[United Energy]],MATCH("LRET cost",Calc_EnviroLRET_1[[Cost item]:[Cost item]],0),MATCH(D$54,Calc_EnviroLRET_1[[#Headers],[Ausnet]:[United Energy]],0))+
INDEX(Calc_EnviroSRES_1[[Ausnet]:[United Energy]],MATCH("SRES cost",Calc_EnviroSRES_1[[Cost item]:[Cost item]],0),MATCH(D$54,Calc_EnviroSRES_1[[#Headers],[Ausnet]:[United Energy]],0))</f>
        <v>2.9804443936933628E-2</v>
      </c>
      <c r="E86" s="72">
        <f>INDEX(Calc_EnviroVEU_1[[Ausnet]:[United Energy]],MATCH("VEU cost",Calc_EnviroVEU_1[[Cost item]:[Cost item]],0),MATCH(E$54,Calc_EnviroVEU_1[[#Headers],[Ausnet]:[United Energy]],0))+
INDEX(Calc_EnviroLRET_1[[Ausnet]:[United Energy]],MATCH("LRET cost",Calc_EnviroLRET_1[[Cost item]:[Cost item]],0),MATCH(E$54,Calc_EnviroLRET_1[[#Headers],[Ausnet]:[United Energy]],0))+
INDEX(Calc_EnviroSRES_1[[Ausnet]:[United Energy]],MATCH("SRES cost",Calc_EnviroSRES_1[[Cost item]:[Cost item]],0),MATCH(E$54,Calc_EnviroSRES_1[[#Headers],[Ausnet]:[United Energy]],0))</f>
        <v>2.9804443936933628E-2</v>
      </c>
      <c r="F86" s="72">
        <f>INDEX(Calc_EnviroVEU_1[[Ausnet]:[United Energy]],MATCH("VEU cost",Calc_EnviroVEU_1[[Cost item]:[Cost item]],0),MATCH(F$54,Calc_EnviroVEU_1[[#Headers],[Ausnet]:[United Energy]],0))+
INDEX(Calc_EnviroLRET_1[[Ausnet]:[United Energy]],MATCH("LRET cost",Calc_EnviroLRET_1[[Cost item]:[Cost item]],0),MATCH(F$54,Calc_EnviroLRET_1[[#Headers],[Ausnet]:[United Energy]],0))+
INDEX(Calc_EnviroSRES_1[[Ausnet]:[United Energy]],MATCH("SRES cost",Calc_EnviroSRES_1[[Cost item]:[Cost item]],0),MATCH(F$54,Calc_EnviroSRES_1[[#Headers],[Ausnet]:[United Energy]],0))</f>
        <v>2.9804443936933628E-2</v>
      </c>
      <c r="G86" s="72">
        <f>INDEX(Calc_EnviroVEU_1[[Ausnet]:[United Energy]],MATCH("VEU cost",Calc_EnviroVEU_1[[Cost item]:[Cost item]],0),MATCH(G$54,Calc_EnviroVEU_1[[#Headers],[Ausnet]:[United Energy]],0))+
INDEX(Calc_EnviroLRET_1[[Ausnet]:[United Energy]],MATCH("LRET cost",Calc_EnviroLRET_1[[Cost item]:[Cost item]],0),MATCH(G$54,Calc_EnviroLRET_1[[#Headers],[Ausnet]:[United Energy]],0))+
INDEX(Calc_EnviroSRES_1[[Ausnet]:[United Energy]],MATCH("SRES cost",Calc_EnviroSRES_1[[Cost item]:[Cost item]],0),MATCH(G$54,Calc_EnviroSRES_1[[#Headers],[Ausnet]:[United Energy]],0))</f>
        <v>2.9804443936933628E-2</v>
      </c>
      <c r="H86" s="72">
        <f>INDEX(Calc_EnviroVEU_1[[Ausnet]:[United Energy]],MATCH("VEU cost",Calc_EnviroVEU_1[[Cost item]:[Cost item]],0),MATCH(H$54,Calc_EnviroVEU_1[[#Headers],[Ausnet]:[United Energy]],0))+
INDEX(Calc_EnviroLRET_1[[Ausnet]:[United Energy]],MATCH("LRET cost",Calc_EnviroLRET_1[[Cost item]:[Cost item]],0),MATCH(H$54,Calc_EnviroLRET_1[[#Headers],[Ausnet]:[United Energy]],0))+
INDEX(Calc_EnviroSRES_1[[Ausnet]:[United Energy]],MATCH("SRES cost",Calc_EnviroSRES_1[[Cost item]:[Cost item]],0),MATCH(H$54,Calc_EnviroSRES_1[[#Headers],[Ausnet]:[United Energy]],0))</f>
        <v>2.9804443936933628E-2</v>
      </c>
      <c r="K86" s="29" t="s">
        <v>89</v>
      </c>
      <c r="L86" s="72">
        <f>INDEX(Calc_EnviroVEU_2[[Ausnet]:[United Energy]],MATCH("VEU cost",Calc_EnviroVEU_2[[Cost item]:[Cost item]],0),MATCH(L$54,Calc_EnviroVEU_2[[#Headers],[Ausnet]:[United Energy]],0))+
INDEX(Calc_EnviroLRET_2[[Ausnet]:[United Energy]],MATCH("LRET cost",Calc_EnviroLRET_2[[Cost item]:[Cost item]],0),MATCH(L$54,Calc_EnviroLRET_2[[#Headers],[Ausnet]:[United Energy]],0))+
INDEX(Calc_EnviroSRES_2[[Ausnet]:[United Energy]],MATCH("SRES cost",Calc_EnviroSRES_2[[Cost item]:[Cost item]],0),MATCH(L$54,Calc_EnviroSRES_2[[#Headers],[Ausnet]:[United Energy]],0))</f>
        <v>2.843221042152444E-2</v>
      </c>
      <c r="M86" s="72">
        <f>INDEX(Calc_EnviroVEU_2[[Ausnet]:[United Energy]],MATCH("VEU cost",Calc_EnviroVEU_2[[Cost item]:[Cost item]],0),MATCH(M$54,Calc_EnviroVEU_2[[#Headers],[Ausnet]:[United Energy]],0))+
INDEX(Calc_EnviroLRET_2[[Ausnet]:[United Energy]],MATCH("LRET cost",Calc_EnviroLRET_2[[Cost item]:[Cost item]],0),MATCH(M$54,Calc_EnviroLRET_2[[#Headers],[Ausnet]:[United Energy]],0))+
INDEX(Calc_EnviroSRES_2[[Ausnet]:[United Energy]],MATCH("SRES cost",Calc_EnviroSRES_2[[Cost item]:[Cost item]],0),MATCH(M$54,Calc_EnviroSRES_2[[#Headers],[Ausnet]:[United Energy]],0))</f>
        <v>2.843221042152444E-2</v>
      </c>
      <c r="N86" s="72">
        <f>INDEX(Calc_EnviroVEU_2[[Ausnet]:[United Energy]],MATCH("VEU cost",Calc_EnviroVEU_2[[Cost item]:[Cost item]],0),MATCH(N$54,Calc_EnviroVEU_2[[#Headers],[Ausnet]:[United Energy]],0))+
INDEX(Calc_EnviroLRET_2[[Ausnet]:[United Energy]],MATCH("LRET cost",Calc_EnviroLRET_2[[Cost item]:[Cost item]],0),MATCH(N$54,Calc_EnviroLRET_2[[#Headers],[Ausnet]:[United Energy]],0))+
INDEX(Calc_EnviroSRES_2[[Ausnet]:[United Energy]],MATCH("SRES cost",Calc_EnviroSRES_2[[Cost item]:[Cost item]],0),MATCH(N$54,Calc_EnviroSRES_2[[#Headers],[Ausnet]:[United Energy]],0))</f>
        <v>2.843221042152444E-2</v>
      </c>
      <c r="O86" s="72">
        <f>INDEX(Calc_EnviroVEU_2[[Ausnet]:[United Energy]],MATCH("VEU cost",Calc_EnviroVEU_2[[Cost item]:[Cost item]],0),MATCH(O$54,Calc_EnviroVEU_2[[#Headers],[Ausnet]:[United Energy]],0))+
INDEX(Calc_EnviroLRET_2[[Ausnet]:[United Energy]],MATCH("LRET cost",Calc_EnviroLRET_2[[Cost item]:[Cost item]],0),MATCH(O$54,Calc_EnviroLRET_2[[#Headers],[Ausnet]:[United Energy]],0))+
INDEX(Calc_EnviroSRES_2[[Ausnet]:[United Energy]],MATCH("SRES cost",Calc_EnviroSRES_2[[Cost item]:[Cost item]],0),MATCH(O$54,Calc_EnviroSRES_2[[#Headers],[Ausnet]:[United Energy]],0))</f>
        <v>2.843221042152444E-2</v>
      </c>
      <c r="P86" s="72">
        <f>INDEX(Calc_EnviroVEU_2[[Ausnet]:[United Energy]],MATCH("VEU cost",Calc_EnviroVEU_2[[Cost item]:[Cost item]],0),MATCH(P$54,Calc_EnviroVEU_2[[#Headers],[Ausnet]:[United Energy]],0))+
INDEX(Calc_EnviroLRET_2[[Ausnet]:[United Energy]],MATCH("LRET cost",Calc_EnviroLRET_2[[Cost item]:[Cost item]],0),MATCH(P$54,Calc_EnviroLRET_2[[#Headers],[Ausnet]:[United Energy]],0))+
INDEX(Calc_EnviroSRES_2[[Ausnet]:[United Energy]],MATCH("SRES cost",Calc_EnviroSRES_2[[Cost item]:[Cost item]],0),MATCH(P$54,Calc_EnviroSRES_2[[#Headers],[Ausnet]:[United Energy]],0))</f>
        <v>2.843221042152444E-2</v>
      </c>
    </row>
    <row r="87" spans="2:16" outlineLevel="1" x14ac:dyDescent="0.25"/>
    <row r="88" spans="2:16" ht="15.75" outlineLevel="1" x14ac:dyDescent="0.25">
      <c r="C88" s="29" t="s">
        <v>182</v>
      </c>
      <c r="D88" s="72">
        <f>IF(ISNUMBER(SEARCH("Residential",$C$48)),
INDEX(Calc_WholesaleRES_1[[Ausnet]:[United Energy]],MATCH("Wholesale cost",Calc_WholesaleRES_1[[Cost item]:[Cost item]],0),MATCH(D$54,Calc_WholesaleRES_1[[#Headers],[Ausnet]:[United Energy]],0)),
INDEX(Calc_WholesaleSME_1[[Ausnet]:[United Energy]],MATCH("Wholesale cost",Calc_WholesaleSME_1[[Cost item]:[Cost item]],0),MATCH(D$54,Calc_WholesaleSME_1[[#Headers],[Ausnet]:[United Energy]],0)))</f>
        <v>9.4159999999999994E-2</v>
      </c>
      <c r="E88" s="72">
        <f>IF(ISNUMBER(SEARCH("Residential",$C$48)),
INDEX(Calc_WholesaleRES_1[[Ausnet]:[United Energy]],MATCH("Wholesale cost",Calc_WholesaleRES_1[[Cost item]:[Cost item]],0),MATCH(E$54,Calc_WholesaleRES_1[[#Headers],[Ausnet]:[United Energy]],0)),
INDEX(Calc_WholesaleSME_1[[Ausnet]:[United Energy]],MATCH("Wholesale cost",Calc_WholesaleSME_1[[Cost item]:[Cost item]],0),MATCH(E$54,Calc_WholesaleSME_1[[#Headers],[Ausnet]:[United Energy]],0)))</f>
        <v>8.9980000000000004E-2</v>
      </c>
      <c r="F88" s="72">
        <f>IF(ISNUMBER(SEARCH("Residential",$C$48)),
INDEX(Calc_WholesaleRES_1[[Ausnet]:[United Energy]],MATCH("Wholesale cost",Calc_WholesaleRES_1[[Cost item]:[Cost item]],0),MATCH(F$54,Calc_WholesaleRES_1[[#Headers],[Ausnet]:[United Energy]],0)),
INDEX(Calc_WholesaleSME_1[[Ausnet]:[United Energy]],MATCH("Wholesale cost",Calc_WholesaleSME_1[[Cost item]:[Cost item]],0),MATCH(F$54,Calc_WholesaleSME_1[[#Headers],[Ausnet]:[United Energy]],0)))</f>
        <v>9.5290000000000014E-2</v>
      </c>
      <c r="G88" s="72">
        <f>IF(ISNUMBER(SEARCH("Residential",$C$48)),
INDEX(Calc_WholesaleRES_1[[Ausnet]:[United Energy]],MATCH("Wholesale cost",Calc_WholesaleRES_1[[Cost item]:[Cost item]],0),MATCH(G$54,Calc_WholesaleRES_1[[#Headers],[Ausnet]:[United Energy]],0)),
INDEX(Calc_WholesaleSME_1[[Ausnet]:[United Energy]],MATCH("Wholesale cost",Calc_WholesaleSME_1[[Cost item]:[Cost item]],0),MATCH(G$54,Calc_WholesaleSME_1[[#Headers],[Ausnet]:[United Energy]],0)))</f>
        <v>9.3470000000000011E-2</v>
      </c>
      <c r="H88" s="72">
        <f>IF(ISNUMBER(SEARCH("Residential",$C$48)),
INDEX(Calc_WholesaleRES_1[[Ausnet]:[United Energy]],MATCH("Wholesale cost",Calc_WholesaleRES_1[[Cost item]:[Cost item]],0),MATCH(H$54,Calc_WholesaleRES_1[[#Headers],[Ausnet]:[United Energy]],0)),
INDEX(Calc_WholesaleSME_1[[Ausnet]:[United Energy]],MATCH("Wholesale cost",Calc_WholesaleSME_1[[Cost item]:[Cost item]],0),MATCH(H$54,Calc_WholesaleSME_1[[#Headers],[Ausnet]:[United Energy]],0)))</f>
        <v>9.4520000000000007E-2</v>
      </c>
      <c r="K88" s="29" t="s">
        <v>182</v>
      </c>
      <c r="L88" s="72">
        <f>IF(ISNUMBER(SEARCH("Residential",$K$48)),
INDEX(Calc_WholesaleRES_2[[Ausnet]:[United Energy]],MATCH("Wholesale cost",Calc_WholesaleRES_2[[Cost item]:[Cost item]],0),MATCH(L$54,Calc_WholesaleRES_2[[#Headers],[Ausnet]:[United Energy]],0)),
INDEX(Calc_WholesaleSME_2[[Ausnet]:[United Energy]],MATCH("Wholesale cost",Calc_WholesaleSME_2[[Cost item]:[Cost item]],0),MATCH(L$54,Calc_WholesaleSME_2[[#Headers],[Ausnet]:[United Energy]],0)))</f>
        <v>0.12856302089613503</v>
      </c>
      <c r="M88" s="72">
        <f>IF(ISNUMBER(SEARCH("Residential",$K$48)),
INDEX(Calc_WholesaleRES_2[[Ausnet]:[United Energy]],MATCH("Wholesale cost",Calc_WholesaleRES_2[[Cost item]:[Cost item]],0),MATCH(M$54,Calc_WholesaleRES_2[[#Headers],[Ausnet]:[United Energy]],0)),
INDEX(Calc_WholesaleSME_2[[Ausnet]:[United Energy]],MATCH("Wholesale cost",Calc_WholesaleSME_2[[Cost item]:[Cost item]],0),MATCH(M$54,Calc_WholesaleSME_2[[#Headers],[Ausnet]:[United Energy]],0)))</f>
        <v>0.12648439961732669</v>
      </c>
      <c r="N88" s="72">
        <f>IF(ISNUMBER(SEARCH("Residential",$K$48)),
INDEX(Calc_WholesaleRES_2[[Ausnet]:[United Energy]],MATCH("Wholesale cost",Calc_WholesaleRES_2[[Cost item]:[Cost item]],0),MATCH(N$54,Calc_WholesaleRES_2[[#Headers],[Ausnet]:[United Energy]],0)),
INDEX(Calc_WholesaleSME_2[[Ausnet]:[United Energy]],MATCH("Wholesale cost",Calc_WholesaleSME_2[[Cost item]:[Cost item]],0),MATCH(N$54,Calc_WholesaleSME_2[[#Headers],[Ausnet]:[United Energy]],0)))</f>
        <v>0.13021020918052265</v>
      </c>
      <c r="O88" s="72">
        <f>IF(ISNUMBER(SEARCH("Residential",$K$48)),
INDEX(Calc_WholesaleRES_2[[Ausnet]:[United Energy]],MATCH("Wholesale cost",Calc_WholesaleRES_2[[Cost item]:[Cost item]],0),MATCH(O$54,Calc_WholesaleRES_2[[#Headers],[Ausnet]:[United Energy]],0)),
INDEX(Calc_WholesaleSME_2[[Ausnet]:[United Energy]],MATCH("Wholesale cost",Calc_WholesaleSME_2[[Cost item]:[Cost item]],0),MATCH(O$54,Calc_WholesaleSME_2[[#Headers],[Ausnet]:[United Energy]],0)))</f>
        <v>0.12548093617538489</v>
      </c>
      <c r="P88" s="72">
        <f>IF(ISNUMBER(SEARCH("Residential",$K$48)),
INDEX(Calc_WholesaleRES_2[[Ausnet]:[United Energy]],MATCH("Wholesale cost",Calc_WholesaleRES_2[[Cost item]:[Cost item]],0),MATCH(P$54,Calc_WholesaleRES_2[[#Headers],[Ausnet]:[United Energy]],0)),
INDEX(Calc_WholesaleSME_2[[Ausnet]:[United Energy]],MATCH("Wholesale cost",Calc_WholesaleSME_2[[Cost item]:[Cost item]],0),MATCH(P$54,Calc_WholesaleSME_2[[#Headers],[Ausnet]:[United Energy]],0)))</f>
        <v>0.13037554287242703</v>
      </c>
    </row>
    <row r="89" spans="2:16" outlineLevel="1" x14ac:dyDescent="0.25"/>
    <row r="90" spans="2:16" s="172" customFormat="1" ht="15.75" outlineLevel="1" x14ac:dyDescent="0.25">
      <c r="B90" s="171"/>
      <c r="C90" s="29" t="s">
        <v>147</v>
      </c>
      <c r="D90" s="72">
        <f>SUMIFS(Calc_OtherCosts_1[Ausnet],Calc_OtherCosts_1[[Fixed/Variable]:[Fixed/Variable]],"Variable")</f>
        <v>1.0095610249207163E-3</v>
      </c>
      <c r="E90" s="72">
        <f>SUMIFS(Calc_OtherCosts_1[Citipower],Calc_OtherCosts_1[[Fixed/Variable]:[Fixed/Variable]],"Variable")</f>
        <v>1.0095610249207163E-3</v>
      </c>
      <c r="F90" s="72">
        <f>SUMIFS(Calc_OtherCosts_1[Jemena],Calc_OtherCosts_1[[Fixed/Variable]:[Fixed/Variable]],"Variable")</f>
        <v>1.0095610249207163E-3</v>
      </c>
      <c r="G90" s="72">
        <f>SUMIFS(Calc_OtherCosts_1[Powercor],Calc_OtherCosts_1[[Fixed/Variable]:[Fixed/Variable]],"Variable")</f>
        <v>1.0095610249207163E-3</v>
      </c>
      <c r="H90" s="72">
        <f>SUMIFS(Calc_OtherCosts_1[United Energy],Calc_OtherCosts_1[[Fixed/Variable]:[Fixed/Variable]],"Variable")</f>
        <v>1.0095610249207163E-3</v>
      </c>
      <c r="K90" s="29" t="s">
        <v>147</v>
      </c>
      <c r="L90" s="176">
        <f>SUMIFS(Calc_OtherCosts_2[Ausnet],Calc_OtherCosts_2[[Fixed/Variable]:[Fixed/Variable]],"Variable")</f>
        <v>1.6791732404258365E-3</v>
      </c>
      <c r="M90" s="176">
        <f>SUMIFS(Calc_OtherCosts_2[Citipower],Calc_OtherCosts_2[[Fixed/Variable]:[Fixed/Variable]],"Variable")</f>
        <v>1.6791732404258365E-3</v>
      </c>
      <c r="N90" s="176">
        <f>SUMIFS(Calc_OtherCosts_2[Jemena],Calc_OtherCosts_2[[Fixed/Variable]:[Fixed/Variable]],"Variable")</f>
        <v>1.6791732404258365E-3</v>
      </c>
      <c r="O90" s="176">
        <f>SUMIFS(Calc_OtherCosts_2[Powercor],Calc_OtherCosts_2[[Fixed/Variable]:[Fixed/Variable]],"Variable")</f>
        <v>1.6791732404258365E-3</v>
      </c>
      <c r="P90" s="176">
        <f>SUMIFS(Calc_OtherCosts_2[United Energy],Calc_OtherCosts_2[[Fixed/Variable]:[Fixed/Variable]],"Variable")</f>
        <v>1.6791732404258365E-3</v>
      </c>
    </row>
    <row r="91" spans="2:16" outlineLevel="1" x14ac:dyDescent="0.25">
      <c r="L91" s="177"/>
      <c r="M91" s="177"/>
      <c r="N91" s="177"/>
      <c r="O91" s="177"/>
      <c r="P91" s="177"/>
    </row>
    <row r="92" spans="2:16" s="172" customFormat="1" ht="15.75" outlineLevel="1" x14ac:dyDescent="0.25">
      <c r="B92" s="171"/>
      <c r="C92" s="29" t="s">
        <v>529</v>
      </c>
      <c r="D92" s="72">
        <f>INDEX(Calc_FiT_1[[Ausnet]:[United Energy]],1,MATCH(D$54,Calc_FiT_1[[#Headers],[Ausnet]:[United Energy]],0))</f>
        <v>1.5968351161074819E-3</v>
      </c>
      <c r="E92" s="72">
        <f>INDEX(Calc_FiT_1[[Ausnet]:[United Energy]],1,MATCH(E$54,Calc_FiT_1[[#Headers],[Ausnet]:[United Energy]],0))</f>
        <v>1.5968351161074819E-3</v>
      </c>
      <c r="F92" s="72">
        <f>INDEX(Calc_FiT_1[[Ausnet]:[United Energy]],1,MATCH(F$54,Calc_FiT_1[[#Headers],[Ausnet]:[United Energy]],0))</f>
        <v>1.5968351161074819E-3</v>
      </c>
      <c r="G92" s="72">
        <f>INDEX(Calc_FiT_1[[Ausnet]:[United Energy]],1,MATCH(G$54,Calc_FiT_1[[#Headers],[Ausnet]:[United Energy]],0))</f>
        <v>1.5968351161074819E-3</v>
      </c>
      <c r="H92" s="72">
        <f>INDEX(Calc_FiT_1[[Ausnet]:[United Energy]],1,MATCH(H$54,Calc_FiT_1[[#Headers],[Ausnet]:[United Energy]],0))</f>
        <v>1.5968351161074819E-3</v>
      </c>
    </row>
    <row r="93" spans="2:16" outlineLevel="1" x14ac:dyDescent="0.25"/>
    <row r="94" spans="2:16" ht="15.75" outlineLevel="1" x14ac:dyDescent="0.25">
      <c r="C94" s="29" t="s">
        <v>531</v>
      </c>
      <c r="K94" s="29" t="s">
        <v>531</v>
      </c>
    </row>
    <row r="95" spans="2:16" outlineLevel="1" x14ac:dyDescent="0.25">
      <c r="C95" t="s">
        <v>74</v>
      </c>
      <c r="D95" s="72">
        <f>SUMIFS(Calc_NetworkV_1[Ausnet],Calc_NetworkV_1[[Cost item]:[Cost item]],$C95,Calc_NetworkV_1[[Customer type]:[Customer type]],IF(ISNUMBER(SEARCH("Residential",$C$48)),"Residential","Small business"))</f>
        <v>0.19308159653482593</v>
      </c>
      <c r="E95" s="72">
        <f>SUMIFS(Calc_NetworkV_1[Citipower],Calc_NetworkV_1[[Cost item]:[Cost item]],$C95,Calc_NetworkV_1[[Customer type]:[Customer type]],IF(ISNUMBER(SEARCH("Residential",$C$48)),"Residential","Small business"))</f>
        <v>0</v>
      </c>
      <c r="F95" s="72">
        <f>SUMIFS(Calc_NetworkV_1[Jemena],Calc_NetworkV_1[[Cost item]:[Cost item]],$C95,Calc_NetworkV_1[[Customer type]:[Customer type]],IF(ISNUMBER(SEARCH("Residential",$C$48)),"Residential","Small business"))</f>
        <v>0</v>
      </c>
      <c r="G95" s="72">
        <f>SUMIFS(Calc_NetworkV_1[Powercor],Calc_NetworkV_1[Cost item],$C95,Calc_NetworkV_1[Customer type],IF(ISNUMBER(SEARCH("Residential",$C$48)),"Residential","Small business"))</f>
        <v>0</v>
      </c>
      <c r="H95" s="72">
        <f>SUMIFS(Calc_NetworkV_1[United Energy],Calc_NetworkV_1[[Cost item]:[Cost item]],$C95,Calc_NetworkV_1[[Customer type]:[Customer type]],IF(ISNUMBER(SEARCH("Residential",$C$48)),"Residential","Small business"))</f>
        <v>0</v>
      </c>
      <c r="K95" t="s">
        <v>74</v>
      </c>
      <c r="L95" s="72">
        <f>SUMIFS(Calc_NetworkV_2[Ausnet],Calc_NetworkV_2[Cost item],$K95,Calc_NetworkV_2[Customer type],IF(ISNUMBER(SEARCH("Residential",$K$48)),"Residential","Small business"))</f>
        <v>0.18668411930490375</v>
      </c>
      <c r="M95" s="72">
        <f>SUMIFS(Calc_NetworkV_2[Citipower],Calc_NetworkV_2[[Cost item]:[Cost item]],$K95,Calc_NetworkV_2[[Customer type]:[Customer type]],IF(ISNUMBER(SEARCH("Residential",$K$48)),"Residential","Small business"))</f>
        <v>0</v>
      </c>
      <c r="N95" s="72">
        <f>SUMIFS(Calc_NetworkV_2[Jemena],Calc_NetworkV_2[[Cost item]:[Cost item]],$K95,Calc_NetworkV_2[[Customer type]:[Customer type]],IF(ISNUMBER(SEARCH("Residential",$K$48)),"Residential","Small business"))</f>
        <v>0</v>
      </c>
      <c r="O95" s="72">
        <f>SUMIFS(Calc_NetworkV_2[Powercor],Calc_NetworkV_2[[Cost item]:[Cost item]],$K95,Calc_NetworkV_2[[Customer type]:[Customer type]],IF(ISNUMBER(SEARCH("Residential",$K$48)),"Residential","Small business"))</f>
        <v>0</v>
      </c>
      <c r="P95" s="72">
        <f>SUMIFS(Calc_NetworkV_2[United Energy],Calc_NetworkV_2[[Cost item]:[Cost item]],$K95,Calc_NetworkV_2[[Customer type]:[Customer type]],IF(ISNUMBER(SEARCH("Residential",$K$48)),"Residential","Small business"))</f>
        <v>0</v>
      </c>
    </row>
    <row r="96" spans="2:16" outlineLevel="1" x14ac:dyDescent="0.25">
      <c r="C96" t="s">
        <v>76</v>
      </c>
      <c r="D96" s="72">
        <f>SUMIFS(Calc_NetworkV_1[Ausnet],Calc_NetworkV_1[Cost item],$C96,Calc_NetworkV_1[Customer type],IF(ISNUMBER(SEARCH("Residential",$C$48)),"Residential","Small business"))</f>
        <v>0.20237137578661479</v>
      </c>
      <c r="E96" s="72">
        <f>SUMIFS(Calc_NetworkV_1[Citipower],Calc_NetworkV_1[[Cost item]:[Cost item]],$C96,Calc_NetworkV_1[[Customer type]:[Customer type]],IF(ISNUMBER(SEARCH("Residential",$C$48)),"Residential","Small business"))</f>
        <v>0</v>
      </c>
      <c r="F96" s="72">
        <f>SUMIFS(Calc_NetworkV_1[Jemena],Calc_NetworkV_1[[Cost item]:[Cost item]],$C96,Calc_NetworkV_1[[Customer type]:[Customer type]],IF(ISNUMBER(SEARCH("Residential",$C$48)),"Residential","Small business"))</f>
        <v>0</v>
      </c>
      <c r="G96" s="72">
        <f>SUMIFS(Calc_NetworkV_1[Powercor],Calc_NetworkV_1[[Cost item]:[Cost item]],$C96,Calc_NetworkV_1[[Customer type]:[Customer type]],IF(ISNUMBER(SEARCH("Residential",$C$48)),"Residential","Small business"))</f>
        <v>0</v>
      </c>
      <c r="H96" s="72">
        <f>SUMIFS(Calc_NetworkV_1[United Energy],Calc_NetworkV_1[[Cost item]:[Cost item]],$C96,Calc_NetworkV_1[[Customer type]:[Customer type]],IF(ISNUMBER(SEARCH("Residential",$C$48)),"Residential","Small business"))</f>
        <v>0</v>
      </c>
      <c r="K96" t="s">
        <v>76</v>
      </c>
      <c r="L96" s="72">
        <f>SUMIFS(Calc_NetworkV_2[Ausnet],Calc_NetworkV_2[[Cost item]:[Cost item]],$K96,Calc_NetworkV_2[[Customer type]:[Customer type]],IF(ISNUMBER(SEARCH("Residential",$K$48)),"Residential","Small business"))</f>
        <v>0.20620858559880922</v>
      </c>
      <c r="M96" s="72">
        <f>SUMIFS(Calc_NetworkV_2[Citipower],Calc_NetworkV_2[[Cost item]:[Cost item]],$K96,Calc_NetworkV_2[[Customer type]:[Customer type]],IF(ISNUMBER(SEARCH("Residential",$K$48)),"Residential","Small business"))</f>
        <v>0</v>
      </c>
      <c r="N96" s="72">
        <f>SUMIFS(Calc_NetworkV_2[Jemena],Calc_NetworkV_2[[Cost item]:[Cost item]],$K96,Calc_NetworkV_2[[Customer type]:[Customer type]],IF(ISNUMBER(SEARCH("Residential",$K$48)),"Residential","Small business"))</f>
        <v>0</v>
      </c>
      <c r="O96" s="72">
        <f>SUMIFS(Calc_NetworkV_2[Powercor],Calc_NetworkV_2[[Cost item]:[Cost item]],$K96,Calc_NetworkV_2[[Customer type]:[Customer type]],IF(ISNUMBER(SEARCH("Residential",$K$48)),"Residential","Small business"))</f>
        <v>0</v>
      </c>
      <c r="P96" s="72">
        <f>SUMIFS(Calc_NetworkV_2[United Energy],Calc_NetworkV_2[[Cost item]:[Cost item]],$K96,Calc_NetworkV_2[[Customer type]:[Customer type]],IF(ISNUMBER(SEARCH("Residential",$K$48)),"Residential","Small business"))</f>
        <v>0</v>
      </c>
    </row>
    <row r="97" spans="3:16" outlineLevel="1" x14ac:dyDescent="0.25">
      <c r="C97" t="s">
        <v>77</v>
      </c>
      <c r="D97" s="72">
        <f>SUMIFS(Calc_NetworkV_1[Ausnet],Calc_NetworkV_1[[Cost item]:[Cost item]],$C97,Calc_NetworkV_1[[Customer type]:[Customer type]],IF(ISNUMBER(SEARCH("Residential",$C$48)),"Residential","Small business"))</f>
        <v>0</v>
      </c>
      <c r="E97" s="72">
        <f>SUMIFS(Calc_NetworkV_1[Citipower],Calc_NetworkV_1[[Cost item]:[Cost item]],$C97,Calc_NetworkV_1[[Customer type]:[Customer type]],IF(ISNUMBER(SEARCH("Residential",$C$48)),"Residential","Small business"))</f>
        <v>8.950000000000001E-2</v>
      </c>
      <c r="F97" s="72">
        <f>SUMIFS(Calc_NetworkV_1[Jemena],Calc_NetworkV_1[[Cost item]:[Cost item]],$C97,Calc_NetworkV_1[[Customer type]:[Customer type]],IF(ISNUMBER(SEARCH("Residential",$C$48)),"Residential","Small business"))</f>
        <v>0.13955000000000001</v>
      </c>
      <c r="G97" s="72">
        <f>SUMIFS(Calc_NetworkV_1[Powercor],Calc_NetworkV_1[[Cost item]:[Cost item]],$C97,Calc_NetworkV_1[[Customer type]:[Customer type]],IF(ISNUMBER(SEARCH("Residential",$C$48)),"Residential","Small business"))</f>
        <v>0.10619999999999999</v>
      </c>
      <c r="H97" s="72">
        <f>SUMIFS(Calc_NetworkV_1[United Energy],Calc_NetworkV_1[[Cost item]:[Cost item]],$C97,Calc_NetworkV_1[[Customer type]:[Customer type]],IF(ISNUMBER(SEARCH("Residential",$C$48)),"Residential","Small business"))</f>
        <v>0.10289999999999999</v>
      </c>
      <c r="K97" t="s">
        <v>77</v>
      </c>
      <c r="L97" s="72">
        <f>SUMIFS(Calc_NetworkV_2[Ausnet],Calc_NetworkV_2[[Cost item]:[Cost item]],$K97,Calc_NetworkV_2[[Customer type]:[Customer type]],IF(ISNUMBER(SEARCH("Residential",$K$48)),"Residential","Small business"))</f>
        <v>0</v>
      </c>
      <c r="M97" s="72">
        <f>SUMIFS(Calc_NetworkV_2[Citipower],Calc_NetworkV_2[[Cost item]:[Cost item]],$K97,Calc_NetworkV_2[[Customer type]:[Customer type]],IF(ISNUMBER(SEARCH("Residential",$K$48)),"Residential","Small business"))</f>
        <v>8.1500000000000003E-2</v>
      </c>
      <c r="N97" s="72">
        <f>SUMIFS(Calc_NetworkV_2[Jemena],Calc_NetworkV_2[[Cost item]:[Cost item]],$K97,Calc_NetworkV_2[[Customer type]:[Customer type]],IF(ISNUMBER(SEARCH("Residential",$K$48)),"Residential","Small business"))</f>
        <v>0.11834</v>
      </c>
      <c r="O97" s="72">
        <f>SUMIFS(Calc_NetworkV_2[Powercor],Calc_NetworkV_2[[Cost item]:[Cost item]],$K97,Calc_NetworkV_2[[Customer type]:[Customer type]],IF(ISNUMBER(SEARCH("Residential",$K$48)),"Residential","Small business"))</f>
        <v>9.8100000000000007E-2</v>
      </c>
      <c r="P97" s="72">
        <f>SUMIFS(Calc_NetworkV_2[United Energy],Calc_NetworkV_2[[Cost item]:[Cost item]],$K97,Calc_NetworkV_2[[Customer type]:[Customer type]],IF(ISNUMBER(SEARCH("Residential",$K$48)),"Residential","Small business"))</f>
        <v>9.3900000000000011E-2</v>
      </c>
    </row>
    <row r="98" spans="3:16" outlineLevel="1" x14ac:dyDescent="0.25"/>
    <row r="99" spans="3:16" ht="15.75" outlineLevel="1" x14ac:dyDescent="0.25">
      <c r="C99" s="29" t="s">
        <v>532</v>
      </c>
      <c r="K99" s="29" t="s">
        <v>532</v>
      </c>
    </row>
    <row r="100" spans="3:16" outlineLevel="1" x14ac:dyDescent="0.25">
      <c r="C100" t="s">
        <v>86</v>
      </c>
      <c r="D100" s="72" t="str" cm="1">
        <f t="array" ref="D100">IF(ISNUMBER(SEARCH("Residential",$C$48)),
INDEX(OP_RatesTU_RES_1[Ausnet],MATCH(1,(OP_RatesTU_RES_1[Cost element]="Network")*(OP_RatesTU_RES_1[Rate name]='CH_CostStack_SME 10k'!$C100),0),1),
INDEX(OP_RatesTU_SME_1[Ausnet],MATCH(1,(OP_RatesTU_SME_1[Cost element]="Network")*(OP_RatesTU_SME_1[Rate name]='CH_CostStack_SME 10k'!$C100),0),1))</f>
        <v>-</v>
      </c>
      <c r="E100" s="72" t="str" cm="1">
        <f t="array" ref="E100">IF(ISNUMBER(SEARCH("Residential",$C$48)),
INDEX(OP_RatesTU_RES_1[Citipower],MATCH(1,(OP_RatesTU_RES_1[Cost element]="Network")*(OP_RatesTU_RES_1[Rate name]='CH_CostStack_SME 10k'!$C100),0),1),
INDEX(OP_RatesTU_SME_1[Citipower],MATCH(1,(OP_RatesTU_SME_1[Cost element]="Network")*(OP_RatesTU_SME_1[Rate name]='CH_CostStack_SME 10k'!$C100),0),1))</f>
        <v>-</v>
      </c>
      <c r="F100" s="72" t="str" cm="1">
        <f t="array" ref="F100">IF(ISNUMBER(SEARCH("Residential",$C$48)),
INDEX(OP_RatesTU_RES_1[Jemena],MATCH(1,(OP_RatesTU_RES_1[Cost element]="Network")*(OP_RatesTU_RES_1[Rate name]='CH_CostStack_SME 10k'!$C100),0),1),
INDEX(OP_RatesTU_SME_1[Jemena],MATCH(1,(OP_RatesTU_SME_1[Cost element]="Network")*(OP_RatesTU_SME_1[Rate name]='CH_CostStack_SME 10k'!$C100),0),1))</f>
        <v>-</v>
      </c>
      <c r="G100" s="72" t="str" cm="1">
        <f t="array" ref="G100">IF(ISNUMBER(SEARCH("Residential",$C$48)),
INDEX(OP_RatesTU_RES_1[Powercor],MATCH(1,(OP_RatesTU_RES_1[Cost element]="Network")*(OP_RatesTU_RES_1[Rate name]='CH_CostStack_SME 10k'!$C100),0),1),
INDEX(OP_RatesTU_SME_1[Powercor],MATCH(1,(OP_RatesTU_SME_1[Cost element]="Network")*(OP_RatesTU_SME_1[Rate name]='CH_CostStack_SME 10k'!$C100),0),1))</f>
        <v>-</v>
      </c>
      <c r="H100" s="72" t="str" cm="1">
        <f t="array" ref="H100">IF(ISNUMBER(SEARCH("Residential",$C$48)),
INDEX(OP_RatesTU_RES_1[United Energy],MATCH(1,(OP_RatesTU_RES_1[Cost element]="Network")*(OP_RatesTU_RES_1[Rate name]='CH_CostStack_SME 10k'!$C100),0),1),
INDEX(OP_RatesTU_SME_1[United Energy],MATCH(1,(OP_RatesTU_SME_1[Cost element]="Network")*(OP_RatesTU_SME_1[Rate name]='CH_CostStack_SME 10k'!$C100),0),1))</f>
        <v>-</v>
      </c>
      <c r="K100" t="s">
        <v>86</v>
      </c>
      <c r="L100" s="72" t="str" cm="1">
        <f t="array" ref="L100">IF(ISNUMBER(SEARCH("Residential",$K$48)),
INDEX(OP_RatesTU_RES_2[Ausnet],MATCH(1,(OP_RatesTU_RES_2[Cost element]="Network")*(OP_RatesTU_RES_2[Rate name]='CH_CostStack_SME 10k'!$K100),0),1),
INDEX(OP_RatesTU_SME_2[Ausnet],MATCH(1,(OP_RatesTU_SME_2[Cost element]="Network")*(OP_RatesTU_SME_2[Rate name]='CH_CostStack_SME 10k'!$K100),0),1))</f>
        <v>-</v>
      </c>
      <c r="M100" s="72" t="str" cm="1">
        <f t="array" ref="M100">IF(ISNUMBER(SEARCH("Residential",$K$48)),
INDEX(OP_RatesTU_RES_2[Citipower],MATCH(1,(OP_RatesTU_RES_2[Cost element]="Network")*(OP_RatesTU_RES_2[Rate name]='CH_CostStack_SME 10k'!$K100),0),1),
INDEX(OP_RatesTU_SME_2[Citipower],MATCH(1,(OP_RatesTU_SME_2[Cost element]="Network")*(OP_RatesTU_SME_2[Rate name]='CH_CostStack_SME 10k'!$K100),0),1))</f>
        <v>-</v>
      </c>
      <c r="N100" s="72" t="str" cm="1">
        <f t="array" ref="N100">IF(ISNUMBER(SEARCH("Residential",$K$48)),
INDEX(OP_RatesTU_RES_2[Jemena],MATCH(1,(OP_RatesTU_RES_2[Cost element]="Network")*(OP_RatesTU_RES_2[Rate name]='CH_CostStack_SME 10k'!$K100),0),1),
INDEX(OP_RatesTU_SME_2[Jemena],MATCH(1,(OP_RatesTU_SME_2[Cost element]="Network")*(OP_RatesTU_SME_2[Rate name]='CH_CostStack_SME 10k'!$K100),0),1))</f>
        <v>-</v>
      </c>
      <c r="O100" s="72" t="str" cm="1">
        <f t="array" ref="O100">IF(ISNUMBER(SEARCH("Residential",$K$48)),
INDEX(OP_RatesTU_RES_2[Powercor],MATCH(1,(OP_RatesTU_RES_2[Cost element]="Network")*(OP_RatesTU_RES_2[Rate name]='CH_CostStack_SME 10k'!$K100),0),1),
INDEX(OP_RatesTU_SME_2[Powercor],MATCH(1,(OP_RatesTU_SME_2[Cost element]="Network")*(OP_RatesTU_SME_2[Rate name]='CH_CostStack_SME 10k'!$K100),0),1))</f>
        <v>-</v>
      </c>
      <c r="P100" s="72" t="str" cm="1">
        <f t="array" ref="P100">IF(ISNUMBER(SEARCH("Residential",$K$48)),
INDEX(OP_RatesTU_RES_2[United Energy],MATCH(1,(OP_RatesTU_RES_2[Cost element]="Network")*(OP_RatesTU_RES_2[Rate name]='CH_CostStack_SME 10k'!$K100),0),1),
INDEX(OP_RatesTU_SME_2[United Energy],MATCH(1,(OP_RatesTU_SME_2[Cost element]="Network")*(OP_RatesTU_SME_2[Rate name]='CH_CostStack_SME 10k'!$K100),0),1))</f>
        <v>-</v>
      </c>
    </row>
    <row r="101" spans="3:16" outlineLevel="1" x14ac:dyDescent="0.25"/>
    <row r="102" spans="3:16" ht="15.75" outlineLevel="1" x14ac:dyDescent="0.25">
      <c r="C102" s="29" t="s">
        <v>533</v>
      </c>
      <c r="K102" s="29" t="s">
        <v>533</v>
      </c>
    </row>
    <row r="103" spans="3:16" outlineLevel="1" x14ac:dyDescent="0.25">
      <c r="C103" t="s">
        <v>74</v>
      </c>
      <c r="D103" s="72" cm="1">
        <f t="array" ref="D103">IF(ISNUMBER(SEARCH("Residential",$C$48)),
INDEX(OP_RatesTU_RES_1[Ausnet],MATCH(1,(OP_RatesTU_RES_1[Cost element]="Environmental")*(OP_RatesTU_RES_1[Rate name]='CH_CostStack_SME 10k'!$C103),0),1),
INDEX(OP_RatesTU_SME_1[Ausnet],MATCH(1,(OP_RatesTU_SME_1[Cost element]="Environmental")*(OP_RatesTU_SME_1[Rate name]='CH_CostStack_SME 10k'!$C103),0),1))</f>
        <v>6.604688478961399E-4</v>
      </c>
      <c r="E103" s="72" cm="1">
        <f t="array" ref="E103">IF(ISNUMBER(SEARCH("Residential",$C$48)),
INDEX(OP_RatesTU_RES_1[Citipower],MATCH(1,(OP_RatesTU_RES_1[Cost element]="Environmental")*(OP_RatesTU_RES_1[Rate name]='CH_CostStack_SME 10k'!$C103),0),1),
INDEX(OP_RatesTU_SME_1[Citipower],MATCH(1,(OP_RatesTU_SME_1[Cost element]="Environmental")*(OP_RatesTU_SME_1[Rate name]='CH_CostStack_SME 10k'!$C103),0),1))</f>
        <v>0</v>
      </c>
      <c r="F103" s="72" cm="1">
        <f t="array" ref="F103">IF(ISNUMBER(SEARCH("Residential",$C$48)),
INDEX(OP_RatesTU_RES_1[Jemena],MATCH(1,(OP_RatesTU_RES_1[Cost element]="Environmental")*(OP_RatesTU_RES_1[Rate name]='CH_CostStack_SME 10k'!$C103),0),1),
INDEX(OP_RatesTU_SME_1[Jemena],MATCH(1,(OP_RatesTU_SME_1[Cost element]="Environmental")*(OP_RatesTU_SME_1[Rate name]='CH_CostStack_SME 10k'!$C103),0),1))</f>
        <v>0</v>
      </c>
      <c r="G103" s="72" cm="1">
        <f t="array" ref="G103">IF(ISNUMBER(SEARCH("Residential",$C$48)),
INDEX(OP_RatesTU_RES_1[Powercor],MATCH(1,(OP_RatesTU_RES_1[Cost element]="Environmental")*(OP_RatesTU_RES_1[Rate name]='CH_CostStack_SME 10k'!$C103),0),1),
INDEX(OP_RatesTU_SME_1[Powercor],MATCH(1,(OP_RatesTU_SME_1[Cost element]="Environmental")*(OP_RatesTU_SME_1[Rate name]='CH_CostStack_SME 10k'!$C103),0),1))</f>
        <v>0</v>
      </c>
      <c r="H103" s="72" cm="1">
        <f t="array" ref="H103">IF(ISNUMBER(SEARCH("Residential",$C$48)),
INDEX(OP_RatesTU_RES_1[United Energy],MATCH(1,(OP_RatesTU_RES_1[Cost element]="Environmental")*(OP_RatesTU_RES_1[Rate name]='CH_CostStack_SME 10k'!$C103),0),1),
INDEX(OP_RatesTU_SME_1[United Energy],MATCH(1,(OP_RatesTU_SME_1[Cost element]="Environmental")*(OP_RatesTU_SME_1[Rate name]='CH_CostStack_SME 10k'!$C103),0),1))</f>
        <v>0</v>
      </c>
      <c r="K103" t="s">
        <v>74</v>
      </c>
      <c r="L103" s="72" cm="1">
        <f t="array" ref="L103">IF(ISNUMBER(SEARCH("Residential",$K$48)),
INDEX(OP_RatesTU_RES_2[Ausnet],MATCH(1,(OP_RatesTU_RES_2[Cost element]="Environmental")*(OP_RatesTU_RES_2[Rate name]='CH_CostStack_SME 10k'!$C103),0),1),
INDEX(OP_RatesTU_SME_2[Ausnet],MATCH(1,(OP_RatesTU_SME_2[Cost element]="Environmental")*(OP_RatesTU_SME_2[Rate name]='CH_CostStack_SME 10k'!$C103),0),1))</f>
        <v>-1.4451020409271499E-3</v>
      </c>
      <c r="M103" s="72" cm="1">
        <f t="array" ref="M103">IF(ISNUMBER(SEARCH("Residential",$K$48)),
INDEX(OP_RatesTU_RES_2[Citipower],MATCH(1,(OP_RatesTU_RES_2[Cost element]="Environmental")*(OP_RatesTU_RES_2[Rate name]='CH_CostStack_SME 10k'!$C103),0),1),
INDEX(OP_RatesTU_SME_2[Citipower],MATCH(1,(OP_RatesTU_SME_2[Cost element]="Environmental")*(OP_RatesTU_SME_2[Rate name]='CH_CostStack_SME 10k'!$C103),0),1))</f>
        <v>0</v>
      </c>
      <c r="N103" s="72" cm="1">
        <f t="array" ref="N103">IF(ISNUMBER(SEARCH("Residential",$K$48)),
INDEX(OP_RatesTU_RES_2[Jemena],MATCH(1,(OP_RatesTU_RES_2[Cost element]="Environmental")*(OP_RatesTU_RES_2[Rate name]='CH_CostStack_SME 10k'!$C103),0),1),
INDEX(OP_RatesTU_SME_2[Jemena],MATCH(1,(OP_RatesTU_SME_2[Cost element]="Environmental")*(OP_RatesTU_SME_2[Rate name]='CH_CostStack_SME 10k'!$C103),0),1))</f>
        <v>0</v>
      </c>
      <c r="O103" s="72" cm="1">
        <f t="array" ref="O103">IF(ISNUMBER(SEARCH("Residential",$K$48)),
INDEX(OP_RatesTU_RES_2[Powercor],MATCH(1,(OP_RatesTU_RES_2[Cost element]="Environmental")*(OP_RatesTU_RES_2[Rate name]='CH_CostStack_SME 10k'!$C103),0),1),
INDEX(OP_RatesTU_SME_2[Powercor],MATCH(1,(OP_RatesTU_SME_2[Cost element]="Environmental")*(OP_RatesTU_SME_2[Rate name]='CH_CostStack_SME 10k'!$C103),0),1))</f>
        <v>0</v>
      </c>
      <c r="P103" s="72" cm="1">
        <f t="array" ref="P103">IF(ISNUMBER(SEARCH("Residential",$K$48)),
INDEX(OP_RatesTU_RES_2[United Energy],MATCH(1,(OP_RatesTU_RES_2[Cost element]="Environmental")*(OP_RatesTU_RES_2[Rate name]='CH_CostStack_SME 10k'!$C103),0),1),
INDEX(OP_RatesTU_SME_2[United Energy],MATCH(1,(OP_RatesTU_SME_2[Cost element]="Environmental")*(OP_RatesTU_SME_2[Rate name]='CH_CostStack_SME 10k'!$C103),0),1))</f>
        <v>0</v>
      </c>
    </row>
    <row r="104" spans="3:16" outlineLevel="1" x14ac:dyDescent="0.25">
      <c r="C104" t="s">
        <v>76</v>
      </c>
      <c r="D104" s="72" cm="1">
        <f t="array" ref="D104">IF(ISNUMBER(SEARCH("Residential",$C$48)),
INDEX(OP_RatesTU_RES_1[Ausnet],MATCH(1,(OP_RatesTU_RES_1[Cost element]="Environmental")*(OP_RatesTU_RES_1[Rate name]='CH_CostStack_SME 10k'!$C104),0),1),
INDEX(OP_RatesTU_SME_1[Ausnet],MATCH(1,(OP_RatesTU_SME_1[Cost element]="Environmental")*(OP_RatesTU_SME_1[Rate name]='CH_CostStack_SME 10k'!$C104),0),1))</f>
        <v>6.604688478961399E-4</v>
      </c>
      <c r="E104" s="72" cm="1">
        <f t="array" ref="E104">IF(ISNUMBER(SEARCH("Residential",$C$48)),
INDEX(OP_RatesTU_RES_1[Citipower],MATCH(1,(OP_RatesTU_RES_1[Cost element]="Environmental")*(OP_RatesTU_RES_1[Rate name]='CH_CostStack_SME 10k'!$C104),0),1),
INDEX(OP_RatesTU_SME_1[Citipower],MATCH(1,(OP_RatesTU_SME_1[Cost element]="Environmental")*(OP_RatesTU_SME_1[Rate name]='CH_CostStack_SME 10k'!$C104),0),1))</f>
        <v>0</v>
      </c>
      <c r="F104" s="72" cm="1">
        <f t="array" ref="F104">IF(ISNUMBER(SEARCH("Residential",$C$48)),
INDEX(OP_RatesTU_RES_1[Jemena],MATCH(1,(OP_RatesTU_RES_1[Cost element]="Environmental")*(OP_RatesTU_RES_1[Rate name]='CH_CostStack_SME 10k'!$C104),0),1),
INDEX(OP_RatesTU_SME_1[Jemena],MATCH(1,(OP_RatesTU_SME_1[Cost element]="Environmental")*(OP_RatesTU_SME_1[Rate name]='CH_CostStack_SME 10k'!$C104),0),1))</f>
        <v>0</v>
      </c>
      <c r="G104" s="72" cm="1">
        <f t="array" ref="G104">IF(ISNUMBER(SEARCH("Residential",$C$48)),
INDEX(OP_RatesTU_RES_1[Powercor],MATCH(1,(OP_RatesTU_RES_1[Cost element]="Environmental")*(OP_RatesTU_RES_1[Rate name]='CH_CostStack_SME 10k'!$C104),0),1),
INDEX(OP_RatesTU_SME_1[Powercor],MATCH(1,(OP_RatesTU_SME_1[Cost element]="Environmental")*(OP_RatesTU_SME_1[Rate name]='CH_CostStack_SME 10k'!$C104),0),1))</f>
        <v>0</v>
      </c>
      <c r="H104" s="72" cm="1">
        <f t="array" ref="H104">IF(ISNUMBER(SEARCH("Residential",$C$48)),
INDEX(OP_RatesTU_RES_1[United Energy],MATCH(1,(OP_RatesTU_RES_1[Cost element]="Environmental")*(OP_RatesTU_RES_1[Rate name]='CH_CostStack_SME 10k'!$C104),0),1),
INDEX(OP_RatesTU_SME_1[United Energy],MATCH(1,(OP_RatesTU_SME_1[Cost element]="Environmental")*(OP_RatesTU_SME_1[Rate name]='CH_CostStack_SME 10k'!$C104),0),1))</f>
        <v>0</v>
      </c>
      <c r="K104" t="s">
        <v>76</v>
      </c>
      <c r="L104" s="72" cm="1">
        <f t="array" ref="L104">IF(ISNUMBER(SEARCH("Residential",$K$48)),
INDEX(OP_RatesTU_RES_2[Ausnet],MATCH(1,(OP_RatesTU_RES_2[Cost element]="Environmental")*(OP_RatesTU_RES_2[Rate name]='CH_CostStack_SME 10k'!$C104),0),1),
INDEX(OP_RatesTU_SME_2[Ausnet],MATCH(1,(OP_RatesTU_SME_2[Cost element]="Environmental")*(OP_RatesTU_SME_2[Rate name]='CH_CostStack_SME 10k'!$C104),0),1))</f>
        <v>-1.4451020409271499E-3</v>
      </c>
      <c r="M104" s="72" cm="1">
        <f t="array" ref="M104">IF(ISNUMBER(SEARCH("Residential",$K$48)),
INDEX(OP_RatesTU_RES_2[Citipower],MATCH(1,(OP_RatesTU_RES_2[Cost element]="Environmental")*(OP_RatesTU_RES_2[Rate name]='CH_CostStack_SME 10k'!$C104),0),1),
INDEX(OP_RatesTU_SME_2[Citipower],MATCH(1,(OP_RatesTU_SME_2[Cost element]="Environmental")*(OP_RatesTU_SME_2[Rate name]='CH_CostStack_SME 10k'!$C104),0),1))</f>
        <v>0</v>
      </c>
      <c r="N104" s="72" cm="1">
        <f t="array" ref="N104">IF(ISNUMBER(SEARCH("Residential",$K$48)),
INDEX(OP_RatesTU_RES_2[Jemena],MATCH(1,(OP_RatesTU_RES_2[Cost element]="Environmental")*(OP_RatesTU_RES_2[Rate name]='CH_CostStack_SME 10k'!$C104),0),1),
INDEX(OP_RatesTU_SME_2[Jemena],MATCH(1,(OP_RatesTU_SME_2[Cost element]="Environmental")*(OP_RatesTU_SME_2[Rate name]='CH_CostStack_SME 10k'!$C104),0),1))</f>
        <v>0</v>
      </c>
      <c r="O104" s="72" cm="1">
        <f t="array" ref="O104">IF(ISNUMBER(SEARCH("Residential",$K$48)),
INDEX(OP_RatesTU_RES_2[Powercor],MATCH(1,(OP_RatesTU_RES_2[Cost element]="Environmental")*(OP_RatesTU_RES_2[Rate name]='CH_CostStack_SME 10k'!$C104),0),1),
INDEX(OP_RatesTU_SME_2[Powercor],MATCH(1,(OP_RatesTU_SME_2[Cost element]="Environmental")*(OP_RatesTU_SME_2[Rate name]='CH_CostStack_SME 10k'!$C104),0),1))</f>
        <v>0</v>
      </c>
      <c r="P104" s="72" cm="1">
        <f t="array" ref="P104">IF(ISNUMBER(SEARCH("Residential",$K$48)),
INDEX(OP_RatesTU_RES_2[United Energy],MATCH(1,(OP_RatesTU_RES_2[Cost element]="Environmental")*(OP_RatesTU_RES_2[Rate name]='CH_CostStack_SME 10k'!$C104),0),1),
INDEX(OP_RatesTU_SME_2[United Energy],MATCH(1,(OP_RatesTU_SME_2[Cost element]="Environmental")*(OP_RatesTU_SME_2[Rate name]='CH_CostStack_SME 10k'!$C104),0),1))</f>
        <v>0</v>
      </c>
    </row>
    <row r="105" spans="3:16" x14ac:dyDescent="0.25">
      <c r="C105" t="s">
        <v>77</v>
      </c>
      <c r="D105" s="72" cm="1">
        <f t="array" ref="D105">IF(ISNUMBER(SEARCH("Residential",$C$48)),
INDEX(OP_RatesTU_RES_1[Ausnet],MATCH(1,(OP_RatesTU_RES_1[Cost element]="Environmental")*(OP_RatesTU_RES_1[Rate name]='CH_CostStack_SME 10k'!$C105),0),1),
INDEX(OP_RatesTU_SME_1[Ausnet],MATCH(1,(OP_RatesTU_SME_1[Cost element]="Environmental")*(OP_RatesTU_SME_1[Rate name]='CH_CostStack_SME 10k'!$C105),0),1))</f>
        <v>0</v>
      </c>
      <c r="E105" s="72" cm="1">
        <f t="array" ref="E105">IF(ISNUMBER(SEARCH("Residential",$C$48)),
INDEX(OP_RatesTU_RES_1[Citipower],MATCH(1,(OP_RatesTU_RES_1[Cost element]="Environmental")*(OP_RatesTU_RES_1[Rate name]='CH_CostStack_SME 10k'!$C105),0),1),
INDEX(OP_RatesTU_SME_1[Citipower],MATCH(1,(OP_RatesTU_SME_1[Cost element]="Environmental")*(OP_RatesTU_SME_1[Rate name]='CH_CostStack_SME 10k'!$C105),0),1))</f>
        <v>6.3586744515789766E-4</v>
      </c>
      <c r="F105" s="72" cm="1">
        <f t="array" ref="F105">IF(ISNUMBER(SEARCH("Residential",$C$48)),
INDEX(OP_RatesTU_RES_1[Jemena],MATCH(1,(OP_RatesTU_RES_1[Cost element]="Environmental")*(OP_RatesTU_RES_1[Rate name]='CH_CostStack_SME 10k'!$C105),0),1),
INDEX(OP_RatesTU_SME_1[Jemena],MATCH(1,(OP_RatesTU_SME_1[Cost element]="Environmental")*(OP_RatesTU_SME_1[Rate name]='CH_CostStack_SME 10k'!$C105),0),1))</f>
        <v>6.360885634276712E-4</v>
      </c>
      <c r="G105" s="72" cm="1">
        <f t="array" ref="G105">IF(ISNUMBER(SEARCH("Residential",$C$48)),
INDEX(OP_RatesTU_RES_1[Powercor],MATCH(1,(OP_RatesTU_RES_1[Cost element]="Environmental")*(OP_RatesTU_RES_1[Rate name]='CH_CostStack_SME 10k'!$C105),0),1),
INDEX(OP_RatesTU_SME_1[Powercor],MATCH(1,(OP_RatesTU_SME_1[Cost element]="Environmental")*(OP_RatesTU_SME_1[Rate name]='CH_CostStack_SME 10k'!$C105),0),1))</f>
        <v>6.5195693584001928E-4</v>
      </c>
      <c r="H105" s="72" cm="1">
        <f t="array" ref="H105">IF(ISNUMBER(SEARCH("Residential",$C$48)),
INDEX(OP_RatesTU_RES_1[United Energy],MATCH(1,(OP_RatesTU_RES_1[Cost element]="Environmental")*(OP_RatesTU_RES_1[Rate name]='CH_CostStack_SME 10k'!$C105),0),1),
INDEX(OP_RatesTU_SME_1[United Energy],MATCH(1,(OP_RatesTU_SME_1[Cost element]="Environmental")*(OP_RatesTU_SME_1[Rate name]='CH_CostStack_SME 10k'!$C105),0),1))</f>
        <v>6.3705837898588545E-4</v>
      </c>
      <c r="K105" t="s">
        <v>77</v>
      </c>
      <c r="L105" s="72" cm="1">
        <f t="array" ref="L105">IF(ISNUMBER(SEARCH("Residential",$K$48)),
INDEX(OP_RatesTU_RES_2[Ausnet],MATCH(1,(OP_RatesTU_RES_2[Cost element]="Environmental")*(OP_RatesTU_RES_2[Rate name]='CH_CostStack_SME 10k'!$C105),0),1),
INDEX(OP_RatesTU_SME_2[Ausnet],MATCH(1,(OP_RatesTU_SME_2[Cost element]="Environmental")*(OP_RatesTU_SME_2[Rate name]='CH_CostStack_SME 10k'!$C105),0),1))</f>
        <v>0</v>
      </c>
      <c r="M105" s="72" cm="1">
        <f t="array" ref="M105">IF(ISNUMBER(SEARCH("Residential",$K$48)),
INDEX(OP_RatesTU_RES_2[Citipower],MATCH(1,(OP_RatesTU_RES_2[Cost element]="Environmental")*(OP_RatesTU_RES_2[Rate name]='CH_CostStack_SME 10k'!$C105),0),1),
INDEX(OP_RatesTU_SME_2[Citipower],MATCH(1,(OP_RatesTU_SME_2[Cost element]="Environmental")*(OP_RatesTU_SME_2[Rate name]='CH_CostStack_SME 10k'!$C105),0),1))</f>
        <v>-1.4016011881474891E-3</v>
      </c>
      <c r="N105" s="72" cm="1">
        <f t="array" ref="N105">IF(ISNUMBER(SEARCH("Residential",$K$48)),
INDEX(OP_RatesTU_RES_2[Jemena],MATCH(1,(OP_RatesTU_RES_2[Cost element]="Environmental")*(OP_RatesTU_RES_2[Rate name]='CH_CostStack_SME 10k'!$C105),0),1),
INDEX(OP_RatesTU_SME_2[Jemena],MATCH(1,(OP_RatesTU_SME_2[Cost element]="Environmental")*(OP_RatesTU_SME_2[Rate name]='CH_CostStack_SME 10k'!$C105),0),1))</f>
        <v>-1.3896720485833702E-3</v>
      </c>
      <c r="O105" s="72" cm="1">
        <f t="array" ref="O105">IF(ISNUMBER(SEARCH("Residential",$K$48)),
INDEX(OP_RatesTU_RES_2[Powercor],MATCH(1,(OP_RatesTU_RES_2[Cost element]="Environmental")*(OP_RatesTU_RES_2[Rate name]='CH_CostStack_SME 10k'!$C105),0),1),
INDEX(OP_RatesTU_SME_2[Powercor],MATCH(1,(OP_RatesTU_SME_2[Cost element]="Environmental")*(OP_RatesTU_SME_2[Rate name]='CH_CostStack_SME 10k'!$C105),0),1))</f>
        <v>-1.432313335205126E-3</v>
      </c>
      <c r="P105" s="72" cm="1">
        <f t="array" ref="P105">IF(ISNUMBER(SEARCH("Residential",$K$48)),
INDEX(OP_RatesTU_RES_2[United Energy],MATCH(1,(OP_RatesTU_RES_2[Cost element]="Environmental")*(OP_RatesTU_RES_2[Rate name]='CH_CostStack_SME 10k'!$C105),0),1),
INDEX(OP_RatesTU_SME_2[United Energy],MATCH(1,(OP_RatesTU_SME_2[Cost element]="Environmental")*(OP_RatesTU_SME_2[Rate name]='CH_CostStack_SME 10k'!$C105),0),1))</f>
        <v>-1.3977880905040913E-3</v>
      </c>
    </row>
    <row r="111" spans="3:16" x14ac:dyDescent="0.25">
      <c r="D111" s="81"/>
    </row>
  </sheetData>
  <sheetProtection algorithmName="SHA-512" hashValue="L64LRUibMQKvhHWPPOdBZjKWX/bQT09xBqEmic5/LMhEn2C7EBvnQNrmdQ8izCxmYQw/CGsxpQD1sqQswIGMXA==" saltValue="liAI21g1h0H+offMzpTTyg==" spinCount="100000" sheet="1" objects="1" scenarios="1"/>
  <mergeCells count="1">
    <mergeCell ref="A2:A3"/>
  </mergeCells>
  <dataValidations count="2">
    <dataValidation type="list" allowBlank="1" showInputMessage="1" showErrorMessage="1" sqref="D32" xr:uid="{E1E81CB0-9606-411E-9D9C-20F0684985C7}">
      <formula1>"Residential,Small business"</formula1>
    </dataValidation>
    <dataValidation type="list" allowBlank="1" showInputMessage="1" showErrorMessage="1" sqref="D31" xr:uid="{A73BD28F-6F0E-4E83-B5CE-620C19DBC2E1}">
      <formula1>$D$54:$I$54</formula1>
    </dataValidation>
  </dataValidations>
  <hyperlinks>
    <hyperlink ref="B1" location="Contents!A1" display="&lt;&lt; Back to Contents" xr:uid="{271945AB-01A4-4819-9CE0-DC603DE0CBF4}"/>
  </hyperlinks>
  <pageMargins left="0.7" right="0.7" top="0.75" bottom="0.75" header="0.3" footer="0.3"/>
  <pageSetup paperSize="9" orientation="portrait" r:id="rId1"/>
  <headerFooter>
    <oddHeader>&amp;C&amp;B&amp;"Arial"&amp;12&amp;Kff0000​‌OFFICIAL‌​</oddHeader>
  </headerFooter>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7E5EBF4-7B01-478F-A891-60FC5061CA31}">
          <x14:formula1>
            <xm:f>'Lookup refs'!$I$8:$I$13</xm:f>
          </x14:formula1>
          <xm:sqref>C48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7AA2C-AE0E-470D-92B2-A7ADC3EE59F8}">
  <sheetPr codeName="Sheet11">
    <tabColor theme="4" tint="0.79998168889431442"/>
    <pageSetUpPr autoPageBreaks="0"/>
  </sheetPr>
  <dimension ref="A1:AG235"/>
  <sheetViews>
    <sheetView showGridLines="0" topLeftCell="B1" zoomScale="70" zoomScaleNormal="70" workbookViewId="0">
      <pane xSplit="6" ySplit="17" topLeftCell="O178" activePane="bottomRight" state="frozen"/>
      <selection activeCell="B1" sqref="B1"/>
      <selection pane="topRight" activeCell="H1" sqref="H1"/>
      <selection pane="bottomLeft" activeCell="B18" sqref="B18"/>
      <selection pane="bottomRight" activeCell="R199" sqref="R199"/>
    </sheetView>
  </sheetViews>
  <sheetFormatPr defaultColWidth="9.42578125" defaultRowHeight="15" outlineLevelRow="1" outlineLevelCol="1" x14ac:dyDescent="0.25"/>
  <cols>
    <col min="1" max="1" width="30" hidden="1" customWidth="1" outlineLevel="1"/>
    <col min="2" max="2" width="12.7109375" style="5" customWidth="1" collapsed="1"/>
    <col min="3" max="3" width="42.28515625" bestFit="1" customWidth="1"/>
    <col min="4" max="4" width="27" customWidth="1"/>
    <col min="5" max="5" width="36.140625" bestFit="1" customWidth="1"/>
    <col min="6" max="6" width="15.28515625" customWidth="1"/>
    <col min="7" max="7" width="19.140625" bestFit="1" customWidth="1"/>
    <col min="8" max="10" width="24" customWidth="1" outlineLevel="1"/>
    <col min="11" max="20" width="25.5703125" customWidth="1" outlineLevel="1"/>
    <col min="21" max="21" width="29.5703125" bestFit="1" customWidth="1"/>
    <col min="22" max="22" width="32.7109375" bestFit="1" customWidth="1" outlineLevel="1"/>
    <col min="23" max="23" width="27.28515625" bestFit="1" customWidth="1" outlineLevel="1"/>
    <col min="24" max="24" width="32.85546875" bestFit="1" customWidth="1" outlineLevel="1"/>
    <col min="25" max="25" width="27" bestFit="1" customWidth="1"/>
    <col min="26" max="26" width="32.7109375" bestFit="1" customWidth="1"/>
    <col min="27" max="27" width="24.140625" bestFit="1" customWidth="1"/>
    <col min="28" max="28" width="32.85546875" bestFit="1" customWidth="1"/>
    <col min="29" max="29" width="23.7109375" bestFit="1" customWidth="1"/>
    <col min="30" max="30" width="20.42578125" customWidth="1"/>
    <col min="31" max="31" width="40.7109375" customWidth="1"/>
    <col min="33" max="33" width="15.28515625" customWidth="1"/>
  </cols>
  <sheetData>
    <row r="1" spans="1:30" ht="15" customHeight="1" x14ac:dyDescent="0.25">
      <c r="A1" s="1" t="s">
        <v>33</v>
      </c>
      <c r="B1" s="249" t="s">
        <v>576</v>
      </c>
      <c r="C1" s="13"/>
      <c r="D1" s="13"/>
      <c r="E1" s="13"/>
      <c r="F1" s="13"/>
      <c r="G1" s="13"/>
      <c r="H1" s="13"/>
      <c r="I1" s="13"/>
      <c r="J1" s="13"/>
      <c r="K1" s="13"/>
      <c r="L1" s="13"/>
      <c r="M1" s="13"/>
      <c r="N1" s="13"/>
      <c r="O1" s="13"/>
      <c r="P1" s="13"/>
      <c r="Q1" s="13"/>
      <c r="R1" s="13"/>
      <c r="S1" s="13"/>
      <c r="T1" s="13"/>
      <c r="U1" s="13"/>
      <c r="V1" s="13"/>
      <c r="W1" s="13"/>
      <c r="X1" s="13"/>
      <c r="Y1" s="13"/>
      <c r="Z1" s="13"/>
      <c r="AA1" s="13"/>
      <c r="AB1" s="13"/>
      <c r="AC1" s="13"/>
    </row>
    <row r="2" spans="1:30" ht="50.1" customHeight="1" x14ac:dyDescent="0.25">
      <c r="A2" s="253" t="s">
        <v>99</v>
      </c>
      <c r="B2" s="189"/>
      <c r="C2" s="189" t="str">
        <f>Disclaimer!$B$1</f>
        <v>VDO calculation model</v>
      </c>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90"/>
    </row>
    <row r="3" spans="1:30" ht="30" customHeight="1" x14ac:dyDescent="0.25">
      <c r="A3" s="254"/>
      <c r="B3" s="191">
        <f ca="1">_xlfn.SHEET()</f>
        <v>10</v>
      </c>
      <c r="C3" s="192" t="s">
        <v>27</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3"/>
    </row>
    <row r="4" spans="1:30" hidden="1" x14ac:dyDescent="0.25">
      <c r="B4"/>
    </row>
    <row r="5" spans="1:30" hidden="1" x14ac:dyDescent="0.25">
      <c r="B5"/>
    </row>
    <row r="6" spans="1:30" ht="16.5" hidden="1" thickBot="1" x14ac:dyDescent="0.3">
      <c r="B6" s="155"/>
      <c r="C6" s="183" t="s">
        <v>100</v>
      </c>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94"/>
    </row>
    <row r="7" spans="1:30" hidden="1" x14ac:dyDescent="0.25">
      <c r="B7"/>
    </row>
    <row r="8" spans="1:30" ht="15.75" hidden="1" x14ac:dyDescent="0.25">
      <c r="B8"/>
      <c r="C8" s="184" t="s">
        <v>10</v>
      </c>
      <c r="D8" s="184" t="s">
        <v>101</v>
      </c>
      <c r="E8" s="30" t="s">
        <v>102</v>
      </c>
      <c r="F8" s="184" t="s">
        <v>103</v>
      </c>
      <c r="G8" s="185" t="s">
        <v>104</v>
      </c>
    </row>
    <row r="9" spans="1:30" hidden="1" x14ac:dyDescent="0.25">
      <c r="B9"/>
      <c r="C9" s="38" t="s">
        <v>105</v>
      </c>
      <c r="D9" s="38" t="s">
        <v>106</v>
      </c>
      <c r="E9" s="186" t="s">
        <v>331</v>
      </c>
      <c r="F9" s="187">
        <v>45474</v>
      </c>
      <c r="G9" s="188">
        <v>45838</v>
      </c>
    </row>
    <row r="10" spans="1:30" hidden="1" x14ac:dyDescent="0.25">
      <c r="B10"/>
      <c r="C10" s="38" t="s">
        <v>108</v>
      </c>
      <c r="D10" s="38" t="s">
        <v>106</v>
      </c>
      <c r="E10" s="186" t="s">
        <v>109</v>
      </c>
      <c r="F10" s="187">
        <v>45108</v>
      </c>
      <c r="G10" s="188">
        <v>45473</v>
      </c>
      <c r="Y10" s="195"/>
    </row>
    <row r="11" spans="1:30" x14ac:dyDescent="0.25">
      <c r="B11"/>
    </row>
    <row r="12" spans="1:30" ht="16.5" thickBot="1" x14ac:dyDescent="0.3">
      <c r="A12" s="1" t="s">
        <v>36</v>
      </c>
      <c r="B12" s="155">
        <f ca="1">MAX(B$3:B11)+0.01</f>
        <v>10.01</v>
      </c>
      <c r="C12" s="183" t="s">
        <v>110</v>
      </c>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94"/>
    </row>
    <row r="13" spans="1:30" outlineLevel="1" x14ac:dyDescent="0.25"/>
    <row r="14" spans="1:30" ht="15.75" outlineLevel="1" x14ac:dyDescent="0.25">
      <c r="G14" s="27" t="s">
        <v>48</v>
      </c>
      <c r="H14" s="196">
        <v>2021</v>
      </c>
      <c r="I14" s="196">
        <v>2021</v>
      </c>
      <c r="J14" s="196">
        <v>2021</v>
      </c>
      <c r="K14" s="196">
        <v>2021</v>
      </c>
      <c r="L14" s="196">
        <v>2021</v>
      </c>
      <c r="M14" s="196">
        <v>2021</v>
      </c>
      <c r="N14" s="196">
        <v>2022</v>
      </c>
      <c r="O14" s="196">
        <v>2022</v>
      </c>
      <c r="P14" s="196">
        <v>2022</v>
      </c>
      <c r="Q14" s="196">
        <v>2022</v>
      </c>
      <c r="R14" s="196" t="s">
        <v>111</v>
      </c>
      <c r="S14" s="196" t="s">
        <v>111</v>
      </c>
      <c r="T14" s="196" t="s">
        <v>111</v>
      </c>
      <c r="U14" s="196" t="s">
        <v>111</v>
      </c>
      <c r="V14" s="196" t="s">
        <v>112</v>
      </c>
      <c r="W14" s="196" t="s">
        <v>112</v>
      </c>
      <c r="X14" s="196" t="s">
        <v>112</v>
      </c>
      <c r="Y14" s="196" t="s">
        <v>112</v>
      </c>
      <c r="Z14" s="196" t="s">
        <v>2</v>
      </c>
      <c r="AA14" s="196" t="s">
        <v>2</v>
      </c>
      <c r="AB14" s="196" t="s">
        <v>2</v>
      </c>
      <c r="AC14" s="196" t="s">
        <v>2</v>
      </c>
    </row>
    <row r="15" spans="1:30" ht="15.75" outlineLevel="1" x14ac:dyDescent="0.25">
      <c r="G15" s="27" t="s">
        <v>49</v>
      </c>
      <c r="H15" s="58" t="str">
        <f>"VDO "&amp;H14&amp;" - "&amp;IF(LEFT(H17,1)="F","Final",IF(LEFT(H17,1)="D","Draft",IF(LEFT(H17,2)="VD","Variation draft",IF(LEFT(H17,2)="VF","Variation final"))))&amp;" - Input Date"</f>
        <v>VDO 2021 - Final - Input Date</v>
      </c>
      <c r="I15" s="28" t="str">
        <f>"VDO "&amp;I14&amp;" - "&amp;IF(LEFT(I17,1)="F","Final",IF(LEFT(I17,1)="D","Draft",IF(LEFT(I17,2)="VD","Variation draft",IF(LEFT(I17,2)="VF","Variation final"))))</f>
        <v>VDO 2021 - Final</v>
      </c>
      <c r="J15" s="58" t="str">
        <f>"VDO "&amp;J14&amp;" - "&amp;IF(LEFT(J17,1)="F","Final",IF(LEFT(J17,1)="D","Draft",IF(LEFT(J17,2)="VD","Variation draft",IF(LEFT(J17,2)="VF","Variation final"))))&amp;" - Input Date"</f>
        <v>VDO 2021 - Variation draft - Input Date</v>
      </c>
      <c r="K15" s="28" t="str">
        <f>"VDO "&amp;K14&amp;" - "&amp;IF(LEFT(K17,1)="F","Final",IF(LEFT(K17,1)="D","Draft",IF(LEFT(K17,2)="VD","Variation draft",IF(LEFT(K17,2)="VF","Variation final"))))</f>
        <v>VDO 2021 - Variation draft</v>
      </c>
      <c r="L15" s="58" t="str">
        <f>"VDO "&amp;L14&amp;" - "&amp;IF(LEFT(L17,1)="F","Final",IF(LEFT(L17,1)="D","Draft",IF(LEFT(L17,2)="VD","Variation draft",IF(LEFT(L17,2)="VF","Variation final"))))&amp;" - Input Date"</f>
        <v>VDO 2021 - Variation final - Input Date</v>
      </c>
      <c r="M15" s="28" t="str">
        <f>"VDO "&amp;M14&amp;" - "&amp;IF(LEFT(M17,1)="F","Final",IF(LEFT(M17,1)="D","Draft",IF(LEFT(M17,2)="VD","Variation draft",IF(LEFT(M17,2)="VF","Variation final"))))</f>
        <v>VDO 2021 - Variation final</v>
      </c>
      <c r="N15" s="58" t="str">
        <f>"VDO "&amp;N14&amp;" - "&amp;IF(LEFT(N17,1)="F","Final",IF(LEFT(N17,1)="D","Draft",IF(LEFT(N17,2)="VD","Variation draft",IF(LEFT(N17,2)="VF","Variation final"))))&amp;" - Input Date"</f>
        <v>VDO 2022 - Draft - Input Date</v>
      </c>
      <c r="O15" s="28" t="str">
        <f>"VDO "&amp;O14&amp;" - "&amp;IF(LEFT(O17,1)="F","Final",IF(LEFT(O17,1)="D","Draft",IF(LEFT(O17,2)="VD","Variation draft",IF(LEFT(O17,2)="VF","Variation final"))))</f>
        <v>VDO 2022 - Draft</v>
      </c>
      <c r="P15" s="58" t="str">
        <f>"VDO "&amp;P14&amp;" - "&amp;IF(LEFT(P17,1)="F","Final",IF(LEFT(P17,1)="D","Draft",IF(LEFT(P17,2)="VD","Variation draft",IF(LEFT(P17,2)="VF","Variation final"))))&amp;" - Input Date"</f>
        <v>VDO 2022 - Final - Input Date</v>
      </c>
      <c r="Q15" s="28" t="str">
        <f>"VDO "&amp;Q14&amp;" - "&amp;IF(LEFT(Q17,1)="F","Final",IF(LEFT(Q17,1)="D","Draft",IF(LEFT(Q17,2)="VD","Variation draft",IF(LEFT(Q17,2)="VF","Variation final"))))</f>
        <v>VDO 2022 - Final</v>
      </c>
      <c r="R15" s="58" t="str">
        <f>"VDO "&amp;R14&amp;" - "&amp;IF(LEFT(R17,1)="F","Final",IF(LEFT(R17,1)="D","Draft",IF(LEFT(R17,2)="VD","Variation draft",IF(LEFT(R17,2)="VF","Variation final"))))&amp;" - Input Date"</f>
        <v>VDO 2022-23 - Draft - Input Date</v>
      </c>
      <c r="S15" s="28" t="str">
        <f>"VDO "&amp;S14&amp;" - "&amp;IF(LEFT(S17,1)="F","Final",IF(LEFT(S17,1)="D","Draft",IF(LEFT(S17,2)="VD","Variation draft",IF(LEFT(S17,2)="VF","Variation final"))))</f>
        <v>VDO 2022-23 - Draft</v>
      </c>
      <c r="T15" s="58" t="str">
        <f>"VDO "&amp;T14&amp;" - "&amp;IF(LEFT(T17,1)="F","Final",IF(LEFT(T17,1)="D","Draft",IF(LEFT(T17,2)="VD","Variation draft",IF(LEFT(T17,2)="VF","Variation final"))))&amp;" - Input Date"</f>
        <v>VDO 2022-23 - Final - Input Date</v>
      </c>
      <c r="U15" s="28" t="str">
        <f>"VDO "&amp;U14&amp;" - "&amp;IF(LEFT(U17,1)="F","Final",IF(LEFT(U17,1)="D","Draft",IF(LEFT(U17,2)="VD","Variation draft",IF(LEFT(U17,2)="VF","Variation final"))))</f>
        <v>VDO 2022-23 - Final</v>
      </c>
      <c r="V15" s="28" t="str">
        <f>"VDO "&amp;V14&amp;" - "&amp;IF(LEFT(V17,1)="F","Final",IF(LEFT(V17,1)="D","Draft",IF(LEFT(V17,2)="VD","Variation draft",IF(LEFT(V17,2)="VF","Variation final"))))&amp;" - Input Date"</f>
        <v>VDO 2023-24 - Draft - Input Date</v>
      </c>
      <c r="W15" s="28" t="str">
        <f>"VDO "&amp;W14&amp;" - "&amp;IF(LEFT(W17,1)="F","Final",IF(LEFT(W17,1)="D","Draft",IF(LEFT(W17,2)="VD","Variation draft",IF(LEFT(W17,2)="VF","Variation final"))))</f>
        <v>VDO 2023-24 - Draft</v>
      </c>
      <c r="X15" s="28" t="str">
        <f>"VDO "&amp;X14&amp;" - "&amp;IF(LEFT(X17,1)="F","Final",IF(LEFT(X17,1)="D","Draft",IF(LEFT(X17,2)="VD","Variation draft",IF(LEFT(X17,2)="VF","Variation final"))))&amp;" - Input Date"</f>
        <v>VDO 2023-24 - Final - Input Date</v>
      </c>
      <c r="Y15" s="28" t="str">
        <f>"VDO "&amp;Y14&amp;" - "&amp;IF(LEFT(Y17,1)="F","Final",IF(LEFT(Y17,1)="D","Draft",IF(LEFT(Y17,2)="VD","Variation draft",IF(LEFT(Y17,2)="VF","Variation final"))))</f>
        <v>VDO 2023-24 - Final</v>
      </c>
      <c r="Z15" s="28" t="str">
        <f>"VDO "&amp;Z14&amp;" - "&amp;IF(LEFT(Z17,1)="F","Final",IF(LEFT(Z17,1)="D","Draft",IF(LEFT(Z17,2)="VD","Variation draft",IF(LEFT(Z17,2)="VF","Variation final"))))&amp;" - Input Date"</f>
        <v>VDO 2024-25 - Draft - Input Date</v>
      </c>
      <c r="AA15" s="28" t="str">
        <f>"VDO "&amp;AA14&amp;" - "&amp;IF(LEFT(AA17,1)="F","Final",IF(LEFT(AA17,1)="D","Draft",IF(LEFT(AA17,2)="VD","Variation draft",IF(LEFT(AA17,2)="VF","Variation final"))))</f>
        <v>VDO 2024-25 - Draft</v>
      </c>
      <c r="AB15" s="28" t="str">
        <f>"VDO "&amp;AB14&amp;" - "&amp;IF(LEFT(AB17,1)="F","Final",IF(LEFT(AB17,1)="D","Draft",IF(LEFT(AB17,2)="VD","Variation draft",IF(LEFT(AB17,2)="VF","Variation final"))))&amp;" - Input Date"</f>
        <v>VDO 2024-25 - Final - Input Date</v>
      </c>
      <c r="AC15" s="28" t="str">
        <f>"VDO "&amp;AC14&amp;" - "&amp;IF(LEFT(AC17,1)="F","Final",IF(LEFT(AC17,1)="D","Draft",IF(LEFT(AC17,2)="VD","Variation draft",IF(LEFT(AC17,2)="VF","Variation final"))))</f>
        <v>VDO 2024-25 - Final</v>
      </c>
    </row>
    <row r="16" spans="1:30" ht="15.75" outlineLevel="1" x14ac:dyDescent="0.25">
      <c r="C16" s="20" t="s">
        <v>113</v>
      </c>
    </row>
    <row r="17" spans="1:33" ht="15.75" outlineLevel="1" x14ac:dyDescent="0.25">
      <c r="C17" s="29" t="s">
        <v>50</v>
      </c>
      <c r="D17" s="29" t="s">
        <v>51</v>
      </c>
      <c r="E17" s="29" t="s">
        <v>114</v>
      </c>
      <c r="F17" s="29" t="s">
        <v>62</v>
      </c>
      <c r="G17" s="29" t="s">
        <v>63</v>
      </c>
      <c r="H17" s="29" t="s">
        <v>115</v>
      </c>
      <c r="I17" s="29" t="s">
        <v>116</v>
      </c>
      <c r="J17" s="30" t="s">
        <v>117</v>
      </c>
      <c r="K17" s="30" t="s">
        <v>118</v>
      </c>
      <c r="L17" s="30" t="s">
        <v>119</v>
      </c>
      <c r="M17" s="30" t="s">
        <v>120</v>
      </c>
      <c r="N17" s="29" t="s">
        <v>121</v>
      </c>
      <c r="O17" s="29" t="s">
        <v>122</v>
      </c>
      <c r="P17" s="29" t="s">
        <v>123</v>
      </c>
      <c r="Q17" s="29" t="s">
        <v>124</v>
      </c>
      <c r="R17" s="29" t="s">
        <v>125</v>
      </c>
      <c r="S17" s="29" t="s">
        <v>126</v>
      </c>
      <c r="T17" s="29" t="s">
        <v>127</v>
      </c>
      <c r="U17" s="29" t="s">
        <v>128</v>
      </c>
      <c r="V17" s="29" t="s">
        <v>129</v>
      </c>
      <c r="W17" s="29" t="s">
        <v>130</v>
      </c>
      <c r="X17" s="29" t="s">
        <v>131</v>
      </c>
      <c r="Y17" s="29" t="s">
        <v>132</v>
      </c>
      <c r="Z17" s="29" t="s">
        <v>133</v>
      </c>
      <c r="AA17" s="29" t="s">
        <v>134</v>
      </c>
      <c r="AB17" s="29" t="s">
        <v>135</v>
      </c>
      <c r="AC17" s="29" t="s">
        <v>52</v>
      </c>
    </row>
    <row r="18" spans="1:33" outlineLevel="1" x14ac:dyDescent="0.25">
      <c r="C18" s="14" t="s">
        <v>136</v>
      </c>
      <c r="D18" s="14" t="s">
        <v>137</v>
      </c>
      <c r="E18" s="14" t="s">
        <v>138</v>
      </c>
      <c r="F18" s="14" t="s">
        <v>71</v>
      </c>
      <c r="G18" s="14" t="s">
        <v>139</v>
      </c>
      <c r="H18" s="197">
        <v>42916</v>
      </c>
      <c r="I18" s="198">
        <v>121.07</v>
      </c>
      <c r="J18" s="197">
        <v>42916</v>
      </c>
      <c r="K18" s="199">
        <v>121.07</v>
      </c>
      <c r="L18" s="197">
        <v>42916</v>
      </c>
      <c r="M18" s="198">
        <v>121.07</v>
      </c>
      <c r="N18" s="200">
        <v>42916</v>
      </c>
      <c r="O18" s="201">
        <v>121.07</v>
      </c>
      <c r="P18" s="200">
        <v>42916</v>
      </c>
      <c r="Q18" s="201">
        <v>121.07</v>
      </c>
      <c r="R18" s="200">
        <v>42916</v>
      </c>
      <c r="S18" s="201">
        <v>121.07</v>
      </c>
      <c r="T18" s="200">
        <v>42916</v>
      </c>
      <c r="U18" s="201">
        <v>121.07</v>
      </c>
      <c r="V18" s="200">
        <v>44377</v>
      </c>
      <c r="W18" s="201">
        <v>122.19732672802067</v>
      </c>
      <c r="X18" s="200">
        <v>44742</v>
      </c>
      <c r="Y18" s="201">
        <v>125.56</v>
      </c>
      <c r="Z18" s="202">
        <v>45107</v>
      </c>
      <c r="AA18" s="203">
        <v>140.03</v>
      </c>
      <c r="AB18" s="202">
        <v>45107</v>
      </c>
      <c r="AC18" s="203">
        <v>136.60645516016814</v>
      </c>
      <c r="AG18" s="131"/>
    </row>
    <row r="19" spans="1:33" outlineLevel="1" x14ac:dyDescent="0.25">
      <c r="C19" s="14" t="s">
        <v>136</v>
      </c>
      <c r="D19" s="14" t="s">
        <v>140</v>
      </c>
      <c r="E19" s="14" t="s">
        <v>138</v>
      </c>
      <c r="F19" s="14" t="s">
        <v>71</v>
      </c>
      <c r="G19" s="14" t="s">
        <v>139</v>
      </c>
      <c r="H19" s="197">
        <v>43646</v>
      </c>
      <c r="I19" s="198">
        <v>10</v>
      </c>
      <c r="J19" s="197">
        <v>43646</v>
      </c>
      <c r="K19" s="199">
        <v>10</v>
      </c>
      <c r="L19" s="197">
        <v>43646</v>
      </c>
      <c r="M19" s="198">
        <v>10</v>
      </c>
      <c r="N19" s="200">
        <v>44561</v>
      </c>
      <c r="O19" s="201">
        <v>10</v>
      </c>
      <c r="P19" s="200">
        <v>44561</v>
      </c>
      <c r="Q19" s="201">
        <v>10</v>
      </c>
      <c r="R19" s="200">
        <v>44742</v>
      </c>
      <c r="S19" s="201">
        <v>10</v>
      </c>
      <c r="T19" s="200">
        <v>44742</v>
      </c>
      <c r="U19" s="201">
        <v>10</v>
      </c>
      <c r="V19" s="200" t="s">
        <v>54</v>
      </c>
      <c r="W19" s="201">
        <v>0</v>
      </c>
      <c r="X19" s="200" t="s">
        <v>54</v>
      </c>
      <c r="Y19" s="201">
        <v>0</v>
      </c>
      <c r="Z19" s="202" t="s">
        <v>54</v>
      </c>
      <c r="AA19" s="203">
        <v>0</v>
      </c>
      <c r="AB19" s="202" t="s">
        <v>54</v>
      </c>
      <c r="AC19" s="203">
        <v>0</v>
      </c>
      <c r="AG19" s="131"/>
    </row>
    <row r="20" spans="1:33" outlineLevel="1" x14ac:dyDescent="0.25">
      <c r="C20" s="14" t="s">
        <v>136</v>
      </c>
      <c r="D20" s="14" t="s">
        <v>141</v>
      </c>
      <c r="E20" s="14" t="s">
        <v>138</v>
      </c>
      <c r="F20" s="14" t="s">
        <v>71</v>
      </c>
      <c r="G20" s="14" t="s">
        <v>139</v>
      </c>
      <c r="H20" s="197">
        <v>44196</v>
      </c>
      <c r="I20" s="198">
        <v>0.210145</v>
      </c>
      <c r="J20" s="197">
        <v>44196</v>
      </c>
      <c r="K20" s="199">
        <v>0.210145</v>
      </c>
      <c r="L20" s="197">
        <v>44196</v>
      </c>
      <c r="M20" s="198">
        <v>0.210145</v>
      </c>
      <c r="N20" s="200">
        <v>44561</v>
      </c>
      <c r="O20" s="201">
        <v>0.84057999999999999</v>
      </c>
      <c r="P20" s="200">
        <v>44561</v>
      </c>
      <c r="Q20" s="201">
        <v>0.84057999999999999</v>
      </c>
      <c r="R20" s="200">
        <v>44742</v>
      </c>
      <c r="S20" s="201">
        <v>0.84057999999999999</v>
      </c>
      <c r="T20" s="200">
        <v>44742</v>
      </c>
      <c r="U20" s="201">
        <v>0.84057999999999999</v>
      </c>
      <c r="V20" s="200" t="s">
        <v>54</v>
      </c>
      <c r="W20" s="201">
        <v>0</v>
      </c>
      <c r="X20" s="200" t="s">
        <v>54</v>
      </c>
      <c r="Y20" s="201">
        <v>0</v>
      </c>
      <c r="Z20" s="202" t="s">
        <v>54</v>
      </c>
      <c r="AA20" s="203">
        <v>0</v>
      </c>
      <c r="AB20" s="202" t="s">
        <v>54</v>
      </c>
      <c r="AC20" s="203">
        <v>0</v>
      </c>
      <c r="AG20" s="131"/>
    </row>
    <row r="21" spans="1:33" outlineLevel="1" x14ac:dyDescent="0.25">
      <c r="C21" s="14" t="s">
        <v>136</v>
      </c>
      <c r="D21" s="14" t="s">
        <v>142</v>
      </c>
      <c r="E21" s="14" t="s">
        <v>138</v>
      </c>
      <c r="F21" s="14" t="s">
        <v>71</v>
      </c>
      <c r="G21" s="14" t="s">
        <v>139</v>
      </c>
      <c r="H21" s="197">
        <v>44196</v>
      </c>
      <c r="I21" s="198">
        <v>6</v>
      </c>
      <c r="J21" s="197">
        <v>44196</v>
      </c>
      <c r="K21" s="199">
        <v>6</v>
      </c>
      <c r="L21" s="197">
        <v>44196</v>
      </c>
      <c r="M21" s="198">
        <v>6</v>
      </c>
      <c r="N21" s="200">
        <v>44561</v>
      </c>
      <c r="O21" s="201">
        <v>6</v>
      </c>
      <c r="P21" s="200">
        <v>44561</v>
      </c>
      <c r="Q21" s="201">
        <v>0</v>
      </c>
      <c r="R21" s="200">
        <v>44742</v>
      </c>
      <c r="S21" s="201">
        <v>0</v>
      </c>
      <c r="T21" s="200">
        <v>44742</v>
      </c>
      <c r="U21" s="201">
        <v>0</v>
      </c>
      <c r="V21" s="200" t="s">
        <v>54</v>
      </c>
      <c r="W21" s="201">
        <v>0</v>
      </c>
      <c r="X21" s="200" t="s">
        <v>54</v>
      </c>
      <c r="Y21" s="201">
        <v>0</v>
      </c>
      <c r="Z21" s="202" t="s">
        <v>54</v>
      </c>
      <c r="AA21" s="203">
        <v>0</v>
      </c>
      <c r="AB21" s="202" t="s">
        <v>54</v>
      </c>
      <c r="AC21" s="203">
        <v>0</v>
      </c>
      <c r="AG21" s="131"/>
    </row>
    <row r="22" spans="1:33" outlineLevel="1" x14ac:dyDescent="0.25">
      <c r="C22" s="14" t="s">
        <v>136</v>
      </c>
      <c r="D22" s="14" t="s">
        <v>143</v>
      </c>
      <c r="E22" s="14" t="s">
        <v>138</v>
      </c>
      <c r="F22" s="204" t="s">
        <v>71</v>
      </c>
      <c r="G22" s="204" t="s">
        <v>139</v>
      </c>
      <c r="H22" s="197"/>
      <c r="I22" s="198"/>
      <c r="J22" s="198"/>
      <c r="K22" s="199"/>
      <c r="L22" s="197"/>
      <c r="M22" s="198"/>
      <c r="N22" s="200"/>
      <c r="O22" s="201"/>
      <c r="P22" s="200"/>
      <c r="Q22" s="205"/>
      <c r="R22" s="200">
        <v>44742</v>
      </c>
      <c r="S22" s="201">
        <v>0</v>
      </c>
      <c r="T22" s="200">
        <v>44742</v>
      </c>
      <c r="U22" s="201">
        <v>0</v>
      </c>
      <c r="V22" s="200" t="s">
        <v>54</v>
      </c>
      <c r="W22" s="201">
        <v>0</v>
      </c>
      <c r="X22" s="200" t="s">
        <v>54</v>
      </c>
      <c r="Y22" s="201">
        <v>0</v>
      </c>
      <c r="Z22" s="202" t="s">
        <v>54</v>
      </c>
      <c r="AA22" s="203">
        <v>0</v>
      </c>
      <c r="AB22" s="202" t="s">
        <v>54</v>
      </c>
      <c r="AC22" s="203">
        <v>0</v>
      </c>
      <c r="AG22" s="131"/>
    </row>
    <row r="23" spans="1:33" outlineLevel="1" x14ac:dyDescent="0.25">
      <c r="C23" s="14" t="s">
        <v>136</v>
      </c>
      <c r="D23" s="14" t="s">
        <v>144</v>
      </c>
      <c r="E23" s="14" t="s">
        <v>138</v>
      </c>
      <c r="F23" s="14" t="s">
        <v>71</v>
      </c>
      <c r="G23" s="14" t="s">
        <v>139</v>
      </c>
      <c r="H23" s="197">
        <v>43646</v>
      </c>
      <c r="I23" s="198">
        <v>38</v>
      </c>
      <c r="J23" s="197">
        <v>43646</v>
      </c>
      <c r="K23" s="199">
        <v>38</v>
      </c>
      <c r="L23" s="197">
        <v>43646</v>
      </c>
      <c r="M23" s="198">
        <v>38</v>
      </c>
      <c r="N23" s="200">
        <v>43646</v>
      </c>
      <c r="O23" s="201">
        <v>38</v>
      </c>
      <c r="P23" s="200">
        <v>43646</v>
      </c>
      <c r="Q23" s="201">
        <v>38</v>
      </c>
      <c r="R23" s="200">
        <v>43646</v>
      </c>
      <c r="S23" s="201">
        <v>38</v>
      </c>
      <c r="T23" s="200">
        <v>43646</v>
      </c>
      <c r="U23" s="201">
        <v>38</v>
      </c>
      <c r="V23" s="200">
        <v>43646</v>
      </c>
      <c r="W23" s="201">
        <v>38</v>
      </c>
      <c r="X23" s="200">
        <v>43646</v>
      </c>
      <c r="Y23" s="201">
        <v>38</v>
      </c>
      <c r="Z23" s="202">
        <v>43646</v>
      </c>
      <c r="AA23" s="203">
        <v>38</v>
      </c>
      <c r="AB23" s="202">
        <v>43646</v>
      </c>
      <c r="AC23" s="203">
        <v>38</v>
      </c>
      <c r="AG23" s="131"/>
    </row>
    <row r="24" spans="1:33" outlineLevel="1" x14ac:dyDescent="0.25">
      <c r="A24" s="144"/>
      <c r="C24" s="14" t="s">
        <v>145</v>
      </c>
      <c r="D24" s="39" t="s">
        <v>146</v>
      </c>
      <c r="E24" s="14" t="s">
        <v>184</v>
      </c>
      <c r="F24" s="14" t="s">
        <v>185</v>
      </c>
      <c r="G24" s="14" t="s">
        <v>139</v>
      </c>
      <c r="H24" s="197">
        <v>44012</v>
      </c>
      <c r="I24" s="198">
        <v>10.681187545882992</v>
      </c>
      <c r="J24" s="197">
        <v>44012</v>
      </c>
      <c r="K24" s="199">
        <v>10.681187545882992</v>
      </c>
      <c r="L24" s="197">
        <v>44012</v>
      </c>
      <c r="M24" s="198">
        <v>10.681187545882992</v>
      </c>
      <c r="N24" s="200">
        <v>44377</v>
      </c>
      <c r="O24" s="201">
        <v>13.337762647243332</v>
      </c>
      <c r="P24" s="200">
        <v>44377</v>
      </c>
      <c r="Q24" s="201">
        <v>13.337821545021233</v>
      </c>
      <c r="R24" s="200">
        <v>44742</v>
      </c>
      <c r="S24" s="201">
        <v>13.337821545021233</v>
      </c>
      <c r="T24" s="200">
        <v>44742</v>
      </c>
      <c r="U24" s="201">
        <v>16.375320494428642</v>
      </c>
      <c r="V24" s="200">
        <v>44742</v>
      </c>
      <c r="W24" s="201">
        <v>16.798654107055601</v>
      </c>
      <c r="X24" s="200">
        <v>44742</v>
      </c>
      <c r="Y24" s="201">
        <v>16.945572514842485</v>
      </c>
      <c r="Z24" s="202">
        <v>45473</v>
      </c>
      <c r="AA24" s="203">
        <v>17.695706209818297</v>
      </c>
      <c r="AB24" s="202">
        <v>45473</v>
      </c>
      <c r="AC24" s="203">
        <v>1.5968351161074819</v>
      </c>
      <c r="AG24" s="131"/>
    </row>
    <row r="25" spans="1:33" outlineLevel="1" x14ac:dyDescent="0.25">
      <c r="C25" s="14" t="s">
        <v>147</v>
      </c>
      <c r="D25" s="14" t="s">
        <v>148</v>
      </c>
      <c r="E25" s="14" t="s">
        <v>138</v>
      </c>
      <c r="F25" s="14" t="s">
        <v>71</v>
      </c>
      <c r="G25" s="14" t="s">
        <v>139</v>
      </c>
      <c r="H25" s="197">
        <v>43646</v>
      </c>
      <c r="I25" s="198">
        <v>1.6735247135296942</v>
      </c>
      <c r="J25" s="197">
        <v>43646</v>
      </c>
      <c r="K25" s="199">
        <v>1.6735247135296942</v>
      </c>
      <c r="L25" s="197">
        <v>43646</v>
      </c>
      <c r="M25" s="198">
        <v>1.6735247135296942</v>
      </c>
      <c r="N25" s="200">
        <v>43646</v>
      </c>
      <c r="O25" s="201">
        <v>1.6735247135296942</v>
      </c>
      <c r="P25" s="200">
        <v>44012</v>
      </c>
      <c r="Q25" s="201">
        <v>2.0603588195421731</v>
      </c>
      <c r="R25" s="200">
        <v>44012</v>
      </c>
      <c r="S25" s="201">
        <v>2.0603588195421731</v>
      </c>
      <c r="T25" s="200">
        <v>44012</v>
      </c>
      <c r="U25" s="201">
        <v>2.0603588195421731</v>
      </c>
      <c r="V25" s="200">
        <v>44742</v>
      </c>
      <c r="W25" s="201">
        <v>2.1517417959129101</v>
      </c>
      <c r="X25" s="200">
        <v>44742</v>
      </c>
      <c r="Y25" s="201">
        <v>2.1517417959129101</v>
      </c>
      <c r="Z25" s="202">
        <v>45107</v>
      </c>
      <c r="AA25" s="203">
        <v>2.2332000000000001</v>
      </c>
      <c r="AB25" s="202">
        <v>45107</v>
      </c>
      <c r="AC25" s="203">
        <v>2.1123587114277069</v>
      </c>
      <c r="AG25" s="131"/>
    </row>
    <row r="26" spans="1:33" outlineLevel="1" x14ac:dyDescent="0.25">
      <c r="C26" s="14" t="s">
        <v>147</v>
      </c>
      <c r="D26" s="39" t="s">
        <v>149</v>
      </c>
      <c r="E26" s="14" t="s">
        <v>184</v>
      </c>
      <c r="F26" s="14" t="s">
        <v>185</v>
      </c>
      <c r="G26" s="14" t="s">
        <v>139</v>
      </c>
      <c r="H26" s="197">
        <v>44196</v>
      </c>
      <c r="I26" s="198">
        <v>2.46</v>
      </c>
      <c r="J26" s="197">
        <v>44196</v>
      </c>
      <c r="K26" s="199">
        <v>2.46</v>
      </c>
      <c r="L26" s="197">
        <v>44196</v>
      </c>
      <c r="M26" s="198">
        <v>2.46</v>
      </c>
      <c r="N26" s="200">
        <v>44196</v>
      </c>
      <c r="O26" s="201">
        <v>0</v>
      </c>
      <c r="P26" s="200">
        <v>44196</v>
      </c>
      <c r="Q26" s="201">
        <v>0</v>
      </c>
      <c r="R26" s="200">
        <v>44742</v>
      </c>
      <c r="S26" s="201">
        <v>0</v>
      </c>
      <c r="T26" s="200">
        <v>44742</v>
      </c>
      <c r="U26" s="201">
        <v>0</v>
      </c>
      <c r="V26" s="200">
        <v>44926</v>
      </c>
      <c r="W26" s="201">
        <v>0</v>
      </c>
      <c r="X26" s="200">
        <v>44926</v>
      </c>
      <c r="Y26" s="201">
        <v>0</v>
      </c>
      <c r="Z26" s="202">
        <v>45473</v>
      </c>
      <c r="AA26" s="203">
        <v>0</v>
      </c>
      <c r="AB26" s="202">
        <v>45473</v>
      </c>
      <c r="AC26" s="203">
        <v>0.22099158023922019</v>
      </c>
      <c r="AG26" s="131"/>
    </row>
    <row r="27" spans="1:33" outlineLevel="1" x14ac:dyDescent="0.25">
      <c r="C27" s="14" t="s">
        <v>147</v>
      </c>
      <c r="D27" s="39" t="s">
        <v>150</v>
      </c>
      <c r="E27" s="14" t="s">
        <v>138</v>
      </c>
      <c r="F27" s="14" t="s">
        <v>151</v>
      </c>
      <c r="G27" s="14" t="s">
        <v>139</v>
      </c>
      <c r="H27" s="197">
        <v>44012</v>
      </c>
      <c r="I27" s="198">
        <v>1.1849999999999999E-2</v>
      </c>
      <c r="J27" s="197">
        <v>44012</v>
      </c>
      <c r="K27" s="199">
        <v>1.1849999999999999E-2</v>
      </c>
      <c r="L27" s="197">
        <v>44012</v>
      </c>
      <c r="M27" s="198">
        <v>1.1849999999999999E-2</v>
      </c>
      <c r="N27" s="200">
        <v>44377</v>
      </c>
      <c r="O27" s="201">
        <v>1.1849999999999999E-2</v>
      </c>
      <c r="P27" s="200">
        <v>44377</v>
      </c>
      <c r="Q27" s="205">
        <v>1.1849999999999999E-2</v>
      </c>
      <c r="R27" s="200">
        <v>44377</v>
      </c>
      <c r="S27" s="205">
        <v>1.1849999999999999E-2</v>
      </c>
      <c r="T27" s="200">
        <v>44742</v>
      </c>
      <c r="U27" s="201">
        <v>1.1039999999999999E-2</v>
      </c>
      <c r="V27" s="200">
        <v>45107</v>
      </c>
      <c r="W27" s="201">
        <v>1.154E-2</v>
      </c>
      <c r="X27" s="200">
        <v>45107</v>
      </c>
      <c r="Y27" s="201">
        <v>1.26E-2</v>
      </c>
      <c r="Z27" s="202">
        <v>45473</v>
      </c>
      <c r="AA27" s="203">
        <v>1.26E-2</v>
      </c>
      <c r="AB27" s="202">
        <v>45473</v>
      </c>
      <c r="AC27" s="203">
        <v>1.3429999999999999E-2</v>
      </c>
      <c r="AG27" s="131"/>
    </row>
    <row r="28" spans="1:33" outlineLevel="1" x14ac:dyDescent="0.25">
      <c r="C28" s="14" t="s">
        <v>147</v>
      </c>
      <c r="D28" s="39" t="s">
        <v>152</v>
      </c>
      <c r="E28" s="14" t="s">
        <v>138</v>
      </c>
      <c r="F28" s="14" t="s">
        <v>151</v>
      </c>
      <c r="G28" s="14" t="s">
        <v>139</v>
      </c>
      <c r="H28" s="197">
        <v>44012</v>
      </c>
      <c r="I28" s="198">
        <v>2.5499999999999998E-2</v>
      </c>
      <c r="J28" s="197">
        <v>44012</v>
      </c>
      <c r="K28" s="199">
        <v>2.5499999999999998E-2</v>
      </c>
      <c r="L28" s="197">
        <v>44012</v>
      </c>
      <c r="M28" s="198">
        <v>2.5499999999999998E-2</v>
      </c>
      <c r="N28" s="200">
        <v>44377</v>
      </c>
      <c r="O28" s="201">
        <v>2.5919999999999999E-2</v>
      </c>
      <c r="P28" s="200">
        <v>44377</v>
      </c>
      <c r="Q28" s="206">
        <v>2.5919999999999999E-2</v>
      </c>
      <c r="R28" s="200">
        <v>44377</v>
      </c>
      <c r="S28" s="206">
        <v>2.5919999999999999E-2</v>
      </c>
      <c r="T28" s="200">
        <v>44742</v>
      </c>
      <c r="U28" s="201">
        <v>2.526382695438063E-2</v>
      </c>
      <c r="V28" s="200">
        <v>45107</v>
      </c>
      <c r="W28" s="201">
        <v>2.6323550000000001E-2</v>
      </c>
      <c r="X28" s="200">
        <v>45107</v>
      </c>
      <c r="Y28" s="201">
        <v>2.5020000000000001E-2</v>
      </c>
      <c r="Z28" s="202">
        <v>45473</v>
      </c>
      <c r="AA28" s="203">
        <v>2.92E-2</v>
      </c>
      <c r="AB28" s="202">
        <v>45473</v>
      </c>
      <c r="AC28" s="203">
        <v>3.6089999999999997E-2</v>
      </c>
      <c r="AG28" s="131"/>
    </row>
    <row r="29" spans="1:33" outlineLevel="1" x14ac:dyDescent="0.25">
      <c r="C29" s="39" t="s">
        <v>147</v>
      </c>
      <c r="D29" s="39" t="s">
        <v>153</v>
      </c>
      <c r="E29" s="14" t="s">
        <v>138</v>
      </c>
      <c r="F29" s="39" t="s">
        <v>151</v>
      </c>
      <c r="G29" s="39" t="s">
        <v>139</v>
      </c>
      <c r="H29" s="197"/>
      <c r="I29" s="198"/>
      <c r="J29" s="197"/>
      <c r="K29" s="199"/>
      <c r="L29" s="197"/>
      <c r="M29" s="198"/>
      <c r="N29" s="200"/>
      <c r="O29" s="201"/>
      <c r="P29" s="200"/>
      <c r="Q29" s="206"/>
      <c r="R29" s="200"/>
      <c r="S29" s="206"/>
      <c r="T29" s="200">
        <v>44742</v>
      </c>
      <c r="U29" s="201">
        <v>0</v>
      </c>
      <c r="V29" s="200">
        <v>45107</v>
      </c>
      <c r="W29" s="201">
        <v>0</v>
      </c>
      <c r="X29" s="200">
        <v>45107</v>
      </c>
      <c r="Y29" s="201">
        <v>8.8169999999999998E-2</v>
      </c>
      <c r="Z29" s="202">
        <v>45473</v>
      </c>
      <c r="AA29" s="203">
        <v>9.2100000000000001E-2</v>
      </c>
      <c r="AB29" s="202">
        <v>45473</v>
      </c>
      <c r="AC29" s="203">
        <v>9.2280000000000001E-2</v>
      </c>
      <c r="AG29" s="131"/>
    </row>
    <row r="30" spans="1:33" outlineLevel="1" x14ac:dyDescent="0.25">
      <c r="C30" s="39" t="s">
        <v>147</v>
      </c>
      <c r="D30" s="39" t="s">
        <v>154</v>
      </c>
      <c r="E30" s="14" t="s">
        <v>138</v>
      </c>
      <c r="F30" s="39" t="s">
        <v>151</v>
      </c>
      <c r="G30" s="39" t="s">
        <v>139</v>
      </c>
      <c r="H30" s="197"/>
      <c r="I30" s="198"/>
      <c r="J30" s="197"/>
      <c r="K30" s="199"/>
      <c r="L30" s="197"/>
      <c r="M30" s="198"/>
      <c r="N30" s="200"/>
      <c r="O30" s="201"/>
      <c r="P30" s="200"/>
      <c r="Q30" s="206"/>
      <c r="R30" s="200"/>
      <c r="S30" s="206"/>
      <c r="T30" s="200">
        <v>44742</v>
      </c>
      <c r="U30" s="201">
        <v>0</v>
      </c>
      <c r="V30" s="200">
        <v>45107</v>
      </c>
      <c r="W30" s="201">
        <v>0</v>
      </c>
      <c r="X30" s="200">
        <v>45107</v>
      </c>
      <c r="Y30" s="201">
        <v>3.7000000000000002E-3</v>
      </c>
      <c r="Z30" s="202">
        <v>45473</v>
      </c>
      <c r="AA30" s="203">
        <v>3.7000000000000002E-3</v>
      </c>
      <c r="AB30" s="202">
        <v>45473</v>
      </c>
      <c r="AC30" s="203">
        <v>5.5710000000000003E-2</v>
      </c>
      <c r="AG30" s="131"/>
    </row>
    <row r="31" spans="1:33" outlineLevel="1" x14ac:dyDescent="0.25">
      <c r="C31" s="39" t="s">
        <v>147</v>
      </c>
      <c r="D31" s="14" t="s">
        <v>155</v>
      </c>
      <c r="E31" s="14" t="s">
        <v>138</v>
      </c>
      <c r="F31" s="39" t="s">
        <v>151</v>
      </c>
      <c r="G31" s="39" t="s">
        <v>139</v>
      </c>
      <c r="H31" s="197"/>
      <c r="I31" s="198"/>
      <c r="J31" s="197"/>
      <c r="K31" s="199"/>
      <c r="L31" s="197"/>
      <c r="M31" s="198"/>
      <c r="N31" s="200"/>
      <c r="O31" s="201"/>
      <c r="P31" s="200"/>
      <c r="Q31" s="206"/>
      <c r="R31" s="200"/>
      <c r="S31" s="206"/>
      <c r="T31" s="200">
        <v>44742</v>
      </c>
      <c r="U31" s="201">
        <v>0</v>
      </c>
      <c r="V31" s="200">
        <v>45107</v>
      </c>
      <c r="W31" s="201">
        <v>0</v>
      </c>
      <c r="X31" s="200">
        <v>45107</v>
      </c>
      <c r="Y31" s="201">
        <v>3.1189999999999999E-2</v>
      </c>
      <c r="Z31" s="202">
        <v>45473</v>
      </c>
      <c r="AA31" s="203">
        <v>3.1189999999999999E-2</v>
      </c>
      <c r="AB31" s="202">
        <v>45473</v>
      </c>
      <c r="AC31" s="203">
        <v>3.082E-2</v>
      </c>
      <c r="AG31" s="131"/>
    </row>
    <row r="32" spans="1:33" outlineLevel="1" x14ac:dyDescent="0.25">
      <c r="C32" s="14" t="s">
        <v>87</v>
      </c>
      <c r="D32" s="14" t="s">
        <v>156</v>
      </c>
      <c r="E32" s="14" t="s">
        <v>138</v>
      </c>
      <c r="F32" s="14" t="s">
        <v>157</v>
      </c>
      <c r="G32" s="14" t="s">
        <v>139</v>
      </c>
      <c r="H32" s="197">
        <v>44196</v>
      </c>
      <c r="I32" s="198">
        <v>59.6</v>
      </c>
      <c r="J32" s="200">
        <v>44377</v>
      </c>
      <c r="K32" s="201">
        <v>63.7</v>
      </c>
      <c r="L32" s="200">
        <v>44377</v>
      </c>
      <c r="M32" s="198">
        <v>63.7</v>
      </c>
      <c r="N32" s="200">
        <v>44377</v>
      </c>
      <c r="O32" s="201">
        <v>63.7</v>
      </c>
      <c r="P32" s="200">
        <v>44377</v>
      </c>
      <c r="Q32" s="201">
        <v>63.7</v>
      </c>
      <c r="R32" s="200">
        <v>44377</v>
      </c>
      <c r="S32" s="207">
        <v>72.901836379042152</v>
      </c>
      <c r="T32" s="200">
        <v>44377</v>
      </c>
      <c r="U32" s="201">
        <v>73.687691673983423</v>
      </c>
      <c r="V32" s="200">
        <v>44742</v>
      </c>
      <c r="W32" s="201">
        <v>79.458799999999997</v>
      </c>
      <c r="X32" s="200">
        <v>45107</v>
      </c>
      <c r="Y32" s="201">
        <v>81.098642274190084</v>
      </c>
      <c r="Z32" s="202">
        <v>45473</v>
      </c>
      <c r="AA32" s="203">
        <v>84.384749338817059</v>
      </c>
      <c r="AB32" s="202">
        <v>45473</v>
      </c>
      <c r="AC32" s="203">
        <v>81.158339169270931</v>
      </c>
      <c r="AE32" s="208"/>
      <c r="AG32" s="131"/>
    </row>
    <row r="33" spans="3:33" outlineLevel="1" x14ac:dyDescent="0.25">
      <c r="C33" s="14" t="s">
        <v>87</v>
      </c>
      <c r="D33" s="14" t="s">
        <v>158</v>
      </c>
      <c r="E33" s="14" t="s">
        <v>138</v>
      </c>
      <c r="F33" s="14" t="s">
        <v>157</v>
      </c>
      <c r="G33" s="14" t="s">
        <v>139</v>
      </c>
      <c r="H33" s="197">
        <v>44196</v>
      </c>
      <c r="I33" s="198">
        <v>65.8</v>
      </c>
      <c r="J33" s="200">
        <v>44377</v>
      </c>
      <c r="K33" s="201">
        <v>59.4</v>
      </c>
      <c r="L33" s="200">
        <v>44377</v>
      </c>
      <c r="M33" s="198">
        <v>59.4</v>
      </c>
      <c r="N33" s="200">
        <v>44377</v>
      </c>
      <c r="O33" s="201">
        <v>59.4</v>
      </c>
      <c r="P33" s="200">
        <v>44377</v>
      </c>
      <c r="Q33" s="201">
        <v>59.4</v>
      </c>
      <c r="R33" s="200">
        <v>44377</v>
      </c>
      <c r="S33" s="207">
        <v>62.513688088390346</v>
      </c>
      <c r="T33" s="200">
        <v>44377</v>
      </c>
      <c r="U33" s="201">
        <v>65.843069177343665</v>
      </c>
      <c r="V33" s="200">
        <v>44742</v>
      </c>
      <c r="W33" s="201">
        <v>70.999799999999993</v>
      </c>
      <c r="X33" s="200">
        <v>45107</v>
      </c>
      <c r="Y33" s="201">
        <v>69.333895686956055</v>
      </c>
      <c r="Z33" s="202">
        <v>45473</v>
      </c>
      <c r="AA33" s="203">
        <v>72.143296658981029</v>
      </c>
      <c r="AB33" s="202">
        <v>45473</v>
      </c>
      <c r="AC33" s="203">
        <v>71.8711422464187</v>
      </c>
      <c r="AE33" s="208"/>
      <c r="AG33" s="131"/>
    </row>
    <row r="34" spans="3:33" outlineLevel="1" x14ac:dyDescent="0.25">
      <c r="C34" s="14" t="s">
        <v>87</v>
      </c>
      <c r="D34" s="14" t="s">
        <v>159</v>
      </c>
      <c r="E34" s="14" t="s">
        <v>138</v>
      </c>
      <c r="F34" s="14" t="s">
        <v>157</v>
      </c>
      <c r="G34" s="14" t="s">
        <v>139</v>
      </c>
      <c r="H34" s="197">
        <v>44196</v>
      </c>
      <c r="I34" s="198">
        <v>66.28</v>
      </c>
      <c r="J34" s="200">
        <v>44377</v>
      </c>
      <c r="K34" s="201">
        <v>54.19</v>
      </c>
      <c r="L34" s="200">
        <v>44377</v>
      </c>
      <c r="M34" s="198">
        <v>54.19</v>
      </c>
      <c r="N34" s="200">
        <v>44377</v>
      </c>
      <c r="O34" s="201">
        <v>54.19</v>
      </c>
      <c r="P34" s="200">
        <v>44377</v>
      </c>
      <c r="Q34" s="201">
        <v>54.19</v>
      </c>
      <c r="R34" s="200">
        <v>44377</v>
      </c>
      <c r="S34" s="207">
        <v>55.822653689249755</v>
      </c>
      <c r="T34" s="200">
        <v>44377</v>
      </c>
      <c r="U34" s="201">
        <v>64.709012434113291</v>
      </c>
      <c r="V34" s="200">
        <v>44742</v>
      </c>
      <c r="W34" s="201">
        <v>69.776899999999998</v>
      </c>
      <c r="X34" s="200">
        <v>45107</v>
      </c>
      <c r="Y34" s="201">
        <v>60.012342755043747</v>
      </c>
      <c r="Z34" s="202">
        <v>45473</v>
      </c>
      <c r="AA34" s="203">
        <v>62.444035542518748</v>
      </c>
      <c r="AB34" s="202">
        <v>45473</v>
      </c>
      <c r="AC34" s="203">
        <v>63.959144577798369</v>
      </c>
      <c r="AE34" s="208"/>
      <c r="AG34" s="131"/>
    </row>
    <row r="35" spans="3:33" outlineLevel="1" x14ac:dyDescent="0.25">
      <c r="C35" s="14" t="s">
        <v>87</v>
      </c>
      <c r="D35" s="14" t="s">
        <v>160</v>
      </c>
      <c r="E35" s="14" t="s">
        <v>138</v>
      </c>
      <c r="F35" s="14" t="s">
        <v>157</v>
      </c>
      <c r="G35" s="14" t="s">
        <v>139</v>
      </c>
      <c r="H35" s="197">
        <v>44196</v>
      </c>
      <c r="I35" s="198">
        <v>65.5</v>
      </c>
      <c r="J35" s="200">
        <v>44377</v>
      </c>
      <c r="K35" s="201">
        <v>58</v>
      </c>
      <c r="L35" s="200">
        <v>44377</v>
      </c>
      <c r="M35" s="201">
        <v>58</v>
      </c>
      <c r="N35" s="200">
        <v>44377</v>
      </c>
      <c r="O35" s="201">
        <v>58</v>
      </c>
      <c r="P35" s="200">
        <v>44377</v>
      </c>
      <c r="Q35" s="201">
        <v>58</v>
      </c>
      <c r="R35" s="200">
        <v>44377</v>
      </c>
      <c r="S35" s="207">
        <v>59.390794631454334</v>
      </c>
      <c r="T35" s="200">
        <v>44377</v>
      </c>
      <c r="U35" s="201">
        <v>62.150631405968483</v>
      </c>
      <c r="V35" s="200">
        <v>44742</v>
      </c>
      <c r="W35" s="201">
        <v>67.018199999999993</v>
      </c>
      <c r="X35" s="200">
        <v>45107</v>
      </c>
      <c r="Y35" s="201">
        <v>65.762555105520235</v>
      </c>
      <c r="Z35" s="202">
        <v>45473</v>
      </c>
      <c r="AA35" s="203">
        <v>68.427245794046655</v>
      </c>
      <c r="AB35" s="202">
        <v>45473</v>
      </c>
      <c r="AC35" s="203">
        <v>68.643009248580412</v>
      </c>
      <c r="AE35" s="208"/>
      <c r="AG35" s="131"/>
    </row>
    <row r="36" spans="3:33" outlineLevel="1" x14ac:dyDescent="0.25">
      <c r="C36" s="14" t="s">
        <v>87</v>
      </c>
      <c r="D36" s="14" t="s">
        <v>161</v>
      </c>
      <c r="E36" s="14" t="s">
        <v>138</v>
      </c>
      <c r="F36" s="14" t="s">
        <v>157</v>
      </c>
      <c r="G36" s="14" t="s">
        <v>139</v>
      </c>
      <c r="H36" s="197">
        <v>44196</v>
      </c>
      <c r="I36" s="198">
        <v>48.82</v>
      </c>
      <c r="J36" s="200">
        <v>44377</v>
      </c>
      <c r="K36" s="201">
        <v>42.92</v>
      </c>
      <c r="L36" s="200">
        <v>44377</v>
      </c>
      <c r="M36" s="201">
        <v>42.92</v>
      </c>
      <c r="N36" s="200">
        <v>44377</v>
      </c>
      <c r="O36" s="201">
        <v>42.92</v>
      </c>
      <c r="P36" s="200">
        <v>44377</v>
      </c>
      <c r="Q36" s="201">
        <v>42.92</v>
      </c>
      <c r="R36" s="200">
        <v>44377</v>
      </c>
      <c r="S36" s="207">
        <v>43.808058038216856</v>
      </c>
      <c r="T36" s="200">
        <v>44377</v>
      </c>
      <c r="U36" s="201">
        <v>43.604260842124496</v>
      </c>
      <c r="V36" s="200">
        <v>44742</v>
      </c>
      <c r="W36" s="201">
        <v>47.019300000000001</v>
      </c>
      <c r="X36" s="200">
        <v>45107</v>
      </c>
      <c r="Y36" s="201">
        <v>46.962287631947568</v>
      </c>
      <c r="Z36" s="202">
        <v>45473</v>
      </c>
      <c r="AA36" s="203">
        <v>48.865193782171744</v>
      </c>
      <c r="AB36" s="202">
        <v>45473</v>
      </c>
      <c r="AC36" s="203">
        <v>49.31201052193331</v>
      </c>
      <c r="AE36" s="208"/>
      <c r="AG36" s="131"/>
    </row>
    <row r="37" spans="3:33" outlineLevel="1" x14ac:dyDescent="0.25">
      <c r="C37" s="14" t="s">
        <v>87</v>
      </c>
      <c r="D37" s="209" t="s">
        <v>162</v>
      </c>
      <c r="E37" s="14" t="s">
        <v>138</v>
      </c>
      <c r="F37" s="14" t="s">
        <v>157</v>
      </c>
      <c r="G37" s="14" t="s">
        <v>72</v>
      </c>
      <c r="H37" s="197">
        <v>44196</v>
      </c>
      <c r="I37" s="198">
        <v>106</v>
      </c>
      <c r="J37" s="200">
        <v>44377</v>
      </c>
      <c r="K37" s="201">
        <v>111.11</v>
      </c>
      <c r="L37" s="200">
        <v>44377</v>
      </c>
      <c r="M37" s="201">
        <v>111.11</v>
      </c>
      <c r="N37" s="200">
        <v>44377</v>
      </c>
      <c r="O37" s="201">
        <v>111.11</v>
      </c>
      <c r="P37" s="200">
        <v>44377</v>
      </c>
      <c r="Q37" s="201">
        <v>111.11</v>
      </c>
      <c r="R37" s="200">
        <v>44377</v>
      </c>
      <c r="S37" s="201">
        <v>111.11</v>
      </c>
      <c r="T37" s="200">
        <v>44742</v>
      </c>
      <c r="U37" s="201">
        <v>125.072</v>
      </c>
      <c r="V37" s="200">
        <v>44742</v>
      </c>
      <c r="W37" s="201">
        <v>143.56729999999999</v>
      </c>
      <c r="X37" s="200">
        <v>45107</v>
      </c>
      <c r="Y37" s="201">
        <v>132.87190000000001</v>
      </c>
      <c r="Z37" s="202">
        <v>45473</v>
      </c>
      <c r="AA37" s="203">
        <v>141.1585</v>
      </c>
      <c r="AB37" s="202">
        <v>45473</v>
      </c>
      <c r="AC37" s="203">
        <v>138.51015094671718</v>
      </c>
      <c r="AE37" s="208"/>
      <c r="AG37" s="131"/>
    </row>
    <row r="38" spans="3:33" outlineLevel="1" x14ac:dyDescent="0.25">
      <c r="C38" s="14" t="s">
        <v>87</v>
      </c>
      <c r="D38" s="14" t="s">
        <v>163</v>
      </c>
      <c r="E38" s="14" t="s">
        <v>138</v>
      </c>
      <c r="F38" s="14" t="s">
        <v>157</v>
      </c>
      <c r="G38" s="14" t="s">
        <v>72</v>
      </c>
      <c r="H38" s="197">
        <v>44196</v>
      </c>
      <c r="I38" s="198">
        <v>90</v>
      </c>
      <c r="J38" s="200">
        <v>44377</v>
      </c>
      <c r="K38" s="201">
        <v>90.009</v>
      </c>
      <c r="L38" s="200">
        <v>44377</v>
      </c>
      <c r="M38" s="201">
        <v>90.009</v>
      </c>
      <c r="N38" s="200">
        <v>44377</v>
      </c>
      <c r="O38" s="201">
        <v>90.009</v>
      </c>
      <c r="P38" s="200">
        <v>44377</v>
      </c>
      <c r="Q38" s="201">
        <v>90.009</v>
      </c>
      <c r="R38" s="200">
        <v>44377</v>
      </c>
      <c r="S38" s="201">
        <v>90.009</v>
      </c>
      <c r="T38" s="200">
        <v>44742</v>
      </c>
      <c r="U38" s="201">
        <v>90.009</v>
      </c>
      <c r="V38" s="200">
        <v>44742</v>
      </c>
      <c r="W38" s="201">
        <v>97.058300000000003</v>
      </c>
      <c r="X38" s="200">
        <v>45107</v>
      </c>
      <c r="Y38" s="201">
        <v>90.255600000000001</v>
      </c>
      <c r="Z38" s="202">
        <v>45473</v>
      </c>
      <c r="AA38" s="203">
        <v>90.009</v>
      </c>
      <c r="AB38" s="202">
        <v>45473</v>
      </c>
      <c r="AC38" s="203">
        <v>94.972999999999999</v>
      </c>
      <c r="AE38" s="208"/>
      <c r="AG38" s="131"/>
    </row>
    <row r="39" spans="3:33" outlineLevel="1" x14ac:dyDescent="0.25">
      <c r="C39" s="14" t="s">
        <v>87</v>
      </c>
      <c r="D39" s="14" t="s">
        <v>164</v>
      </c>
      <c r="E39" s="14" t="s">
        <v>138</v>
      </c>
      <c r="F39" s="14" t="s">
        <v>157</v>
      </c>
      <c r="G39" s="14" t="s">
        <v>72</v>
      </c>
      <c r="H39" s="197">
        <v>44196</v>
      </c>
      <c r="I39" s="198">
        <v>69.03</v>
      </c>
      <c r="J39" s="200">
        <v>44377</v>
      </c>
      <c r="K39" s="201">
        <v>82.195999999999998</v>
      </c>
      <c r="L39" s="200">
        <v>44377</v>
      </c>
      <c r="M39" s="201">
        <v>82.195999999999998</v>
      </c>
      <c r="N39" s="200">
        <v>44377</v>
      </c>
      <c r="O39" s="201">
        <v>82.195999999999998</v>
      </c>
      <c r="P39" s="200">
        <v>44377</v>
      </c>
      <c r="Q39" s="201">
        <v>82.195999999999998</v>
      </c>
      <c r="R39" s="200">
        <v>44377</v>
      </c>
      <c r="S39" s="201">
        <v>82.195999999999998</v>
      </c>
      <c r="T39" s="200">
        <v>44742</v>
      </c>
      <c r="U39" s="201">
        <v>89.69</v>
      </c>
      <c r="V39" s="200">
        <v>44742</v>
      </c>
      <c r="W39" s="201">
        <v>105.053</v>
      </c>
      <c r="X39" s="200">
        <v>45107</v>
      </c>
      <c r="Y39" s="201">
        <v>96.846999999999994</v>
      </c>
      <c r="Z39" s="202">
        <v>45473</v>
      </c>
      <c r="AA39" s="203">
        <v>111.59090799999998</v>
      </c>
      <c r="AB39" s="202">
        <v>45473</v>
      </c>
      <c r="AC39" s="203">
        <v>116.44799999999999</v>
      </c>
      <c r="AE39" s="208"/>
      <c r="AG39" s="131"/>
    </row>
    <row r="40" spans="3:33" outlineLevel="1" x14ac:dyDescent="0.25">
      <c r="C40" s="14" t="s">
        <v>87</v>
      </c>
      <c r="D40" s="14" t="s">
        <v>165</v>
      </c>
      <c r="E40" s="14" t="s">
        <v>138</v>
      </c>
      <c r="F40" s="14" t="s">
        <v>157</v>
      </c>
      <c r="G40" s="14" t="s">
        <v>72</v>
      </c>
      <c r="H40" s="197">
        <v>44196</v>
      </c>
      <c r="I40" s="198">
        <v>140</v>
      </c>
      <c r="J40" s="200">
        <v>44377</v>
      </c>
      <c r="K40" s="201">
        <v>139.97749999999999</v>
      </c>
      <c r="L40" s="200">
        <v>44377</v>
      </c>
      <c r="M40" s="201">
        <v>139.97749999999999</v>
      </c>
      <c r="N40" s="200">
        <v>44377</v>
      </c>
      <c r="O40" s="201">
        <v>139.97749999999999</v>
      </c>
      <c r="P40" s="200">
        <v>44377</v>
      </c>
      <c r="Q40" s="201">
        <v>139.97749999999999</v>
      </c>
      <c r="R40" s="200">
        <v>44377</v>
      </c>
      <c r="S40" s="201">
        <v>139.97749999999999</v>
      </c>
      <c r="T40" s="200">
        <v>44742</v>
      </c>
      <c r="U40" s="201">
        <v>139.97749999999999</v>
      </c>
      <c r="V40" s="200">
        <v>44742</v>
      </c>
      <c r="W40" s="201">
        <v>150.94030000000001</v>
      </c>
      <c r="X40" s="200">
        <v>45107</v>
      </c>
      <c r="Y40" s="201">
        <v>140.36100000000002</v>
      </c>
      <c r="Z40" s="202">
        <v>45473</v>
      </c>
      <c r="AA40" s="203">
        <v>139.97749999999999</v>
      </c>
      <c r="AB40" s="202">
        <v>45473</v>
      </c>
      <c r="AC40" s="203">
        <v>145.0145</v>
      </c>
      <c r="AE40" s="208"/>
      <c r="AG40" s="131"/>
    </row>
    <row r="41" spans="3:33" outlineLevel="1" x14ac:dyDescent="0.25">
      <c r="C41" s="14" t="s">
        <v>87</v>
      </c>
      <c r="D41" s="14" t="s">
        <v>166</v>
      </c>
      <c r="E41" s="14" t="s">
        <v>138</v>
      </c>
      <c r="F41" s="14" t="s">
        <v>157</v>
      </c>
      <c r="G41" s="14" t="s">
        <v>72</v>
      </c>
      <c r="H41" s="197">
        <v>44196</v>
      </c>
      <c r="I41" s="198">
        <v>59.859999999999992</v>
      </c>
      <c r="J41" s="200">
        <v>44377</v>
      </c>
      <c r="K41" s="201">
        <v>80.007999999999996</v>
      </c>
      <c r="L41" s="200">
        <v>44377</v>
      </c>
      <c r="M41" s="201">
        <v>80.007999999999996</v>
      </c>
      <c r="N41" s="200">
        <v>44377</v>
      </c>
      <c r="O41" s="201">
        <v>80.007999999999996</v>
      </c>
      <c r="P41" s="200">
        <v>44377</v>
      </c>
      <c r="Q41" s="201">
        <v>80.007999999999996</v>
      </c>
      <c r="R41" s="200">
        <v>44377</v>
      </c>
      <c r="S41" s="201">
        <v>80.007999999999996</v>
      </c>
      <c r="T41" s="200">
        <v>44742</v>
      </c>
      <c r="U41" s="201">
        <v>85.008499999999998</v>
      </c>
      <c r="V41" s="200">
        <v>44742</v>
      </c>
      <c r="W41" s="201">
        <v>96.782799999999995</v>
      </c>
      <c r="X41" s="200">
        <v>45107</v>
      </c>
      <c r="Y41" s="201">
        <v>90.218999999999994</v>
      </c>
      <c r="Z41" s="202">
        <v>45473</v>
      </c>
      <c r="AA41" s="203">
        <v>89.972499999999997</v>
      </c>
      <c r="AB41" s="202">
        <v>45473</v>
      </c>
      <c r="AC41" s="203">
        <v>94.972999999999999</v>
      </c>
      <c r="AE41" s="208"/>
      <c r="AG41" s="131"/>
    </row>
    <row r="42" spans="3:33" outlineLevel="1" x14ac:dyDescent="0.25">
      <c r="C42" s="14" t="s">
        <v>87</v>
      </c>
      <c r="D42" s="39" t="s">
        <v>167</v>
      </c>
      <c r="E42" s="14" t="s">
        <v>138</v>
      </c>
      <c r="F42" s="14" t="s">
        <v>157</v>
      </c>
      <c r="G42" s="14" t="s">
        <v>73</v>
      </c>
      <c r="H42" s="197">
        <v>44196</v>
      </c>
      <c r="I42" s="198">
        <v>106</v>
      </c>
      <c r="J42" s="200">
        <v>44377</v>
      </c>
      <c r="K42" s="201">
        <v>111.11</v>
      </c>
      <c r="L42" s="200">
        <v>44377</v>
      </c>
      <c r="M42" s="201">
        <v>111.11</v>
      </c>
      <c r="N42" s="200">
        <v>44377</v>
      </c>
      <c r="O42" s="201">
        <v>111.11</v>
      </c>
      <c r="P42" s="200">
        <v>44377</v>
      </c>
      <c r="Q42" s="201">
        <v>111.11</v>
      </c>
      <c r="R42" s="200">
        <v>44377</v>
      </c>
      <c r="S42" s="201">
        <v>111.11</v>
      </c>
      <c r="T42" s="200">
        <v>44742</v>
      </c>
      <c r="U42" s="201">
        <v>125.072</v>
      </c>
      <c r="V42" s="200">
        <v>44742</v>
      </c>
      <c r="W42" s="201">
        <v>143.56729999999999</v>
      </c>
      <c r="X42" s="200">
        <v>45107</v>
      </c>
      <c r="Y42" s="201">
        <v>132.87190000000001</v>
      </c>
      <c r="Z42" s="202">
        <v>45473</v>
      </c>
      <c r="AA42" s="203">
        <v>141.1585</v>
      </c>
      <c r="AB42" s="202">
        <v>45473</v>
      </c>
      <c r="AC42" s="203">
        <v>138.51015094671718</v>
      </c>
      <c r="AE42" s="208"/>
      <c r="AG42" s="131"/>
    </row>
    <row r="43" spans="3:33" outlineLevel="1" x14ac:dyDescent="0.25">
      <c r="C43" s="14" t="s">
        <v>87</v>
      </c>
      <c r="D43" s="14" t="s">
        <v>168</v>
      </c>
      <c r="E43" s="14" t="s">
        <v>138</v>
      </c>
      <c r="F43" s="14" t="s">
        <v>157</v>
      </c>
      <c r="G43" s="14" t="s">
        <v>73</v>
      </c>
      <c r="H43" s="197">
        <v>44196</v>
      </c>
      <c r="I43" s="198">
        <v>160</v>
      </c>
      <c r="J43" s="200">
        <v>44377</v>
      </c>
      <c r="K43" s="201">
        <v>160.01599999999999</v>
      </c>
      <c r="L43" s="200">
        <v>44377</v>
      </c>
      <c r="M43" s="201">
        <v>160.01599999999999</v>
      </c>
      <c r="N43" s="200">
        <v>44377</v>
      </c>
      <c r="O43" s="201">
        <v>160.01599999999999</v>
      </c>
      <c r="P43" s="200">
        <v>44377</v>
      </c>
      <c r="Q43" s="201">
        <v>160.01599999999999</v>
      </c>
      <c r="R43" s="200">
        <v>44377</v>
      </c>
      <c r="S43" s="201">
        <v>160.01599999999999</v>
      </c>
      <c r="T43" s="200">
        <v>44742</v>
      </c>
      <c r="U43" s="201">
        <v>160.01599999999999</v>
      </c>
      <c r="V43" s="200">
        <v>44742</v>
      </c>
      <c r="W43" s="201">
        <v>172.54820000000001</v>
      </c>
      <c r="X43" s="200">
        <v>45107</v>
      </c>
      <c r="Y43" s="201">
        <v>150.42600000000002</v>
      </c>
      <c r="Z43" s="202">
        <v>45473</v>
      </c>
      <c r="AA43" s="203">
        <v>150.01499999999999</v>
      </c>
      <c r="AB43" s="202">
        <v>45473</v>
      </c>
      <c r="AC43" s="203">
        <v>154.97899999999998</v>
      </c>
      <c r="AE43" s="208"/>
      <c r="AG43" s="131"/>
    </row>
    <row r="44" spans="3:33" outlineLevel="1" x14ac:dyDescent="0.25">
      <c r="C44" s="14" t="s">
        <v>87</v>
      </c>
      <c r="D44" s="14" t="s">
        <v>169</v>
      </c>
      <c r="E44" s="14" t="s">
        <v>138</v>
      </c>
      <c r="F44" s="14" t="s">
        <v>157</v>
      </c>
      <c r="G44" s="14" t="s">
        <v>73</v>
      </c>
      <c r="H44" s="197">
        <v>44196</v>
      </c>
      <c r="I44" s="198">
        <v>118.741</v>
      </c>
      <c r="J44" s="200">
        <v>44377</v>
      </c>
      <c r="K44" s="201">
        <v>134.46600000000001</v>
      </c>
      <c r="L44" s="200">
        <v>44377</v>
      </c>
      <c r="M44" s="201">
        <v>134.46600000000001</v>
      </c>
      <c r="N44" s="200">
        <v>44377</v>
      </c>
      <c r="O44" s="201">
        <v>134.46600000000001</v>
      </c>
      <c r="P44" s="200">
        <v>44377</v>
      </c>
      <c r="Q44" s="201">
        <v>134.46600000000001</v>
      </c>
      <c r="R44" s="200">
        <v>44377</v>
      </c>
      <c r="S44" s="201">
        <v>134.46600000000001</v>
      </c>
      <c r="T44" s="200">
        <v>44742</v>
      </c>
      <c r="U44" s="201">
        <v>136.95400000000001</v>
      </c>
      <c r="V44" s="200">
        <v>44742</v>
      </c>
      <c r="W44" s="201">
        <v>150.54509999999999</v>
      </c>
      <c r="X44" s="200">
        <v>45107</v>
      </c>
      <c r="Y44" s="201">
        <v>147.858</v>
      </c>
      <c r="Z44" s="202">
        <v>45473</v>
      </c>
      <c r="AA44" s="203">
        <v>170.39664509999997</v>
      </c>
      <c r="AB44" s="202">
        <v>45473</v>
      </c>
      <c r="AC44" s="203">
        <v>177.74199999999999</v>
      </c>
      <c r="AE44" s="208"/>
      <c r="AG44" s="131"/>
    </row>
    <row r="45" spans="3:33" outlineLevel="1" x14ac:dyDescent="0.25">
      <c r="C45" s="14" t="s">
        <v>87</v>
      </c>
      <c r="D45" s="14" t="s">
        <v>170</v>
      </c>
      <c r="E45" s="14" t="s">
        <v>138</v>
      </c>
      <c r="F45" s="14" t="s">
        <v>157</v>
      </c>
      <c r="G45" s="14" t="s">
        <v>73</v>
      </c>
      <c r="H45" s="197">
        <v>44196</v>
      </c>
      <c r="I45" s="198">
        <v>180</v>
      </c>
      <c r="J45" s="200">
        <v>44377</v>
      </c>
      <c r="K45" s="201">
        <v>179.98150000000001</v>
      </c>
      <c r="L45" s="200">
        <v>44377</v>
      </c>
      <c r="M45" s="201">
        <v>179.98150000000001</v>
      </c>
      <c r="N45" s="200">
        <v>44377</v>
      </c>
      <c r="O45" s="201">
        <v>179.98150000000001</v>
      </c>
      <c r="P45" s="200">
        <v>44377</v>
      </c>
      <c r="Q45" s="201">
        <v>179.98150000000001</v>
      </c>
      <c r="R45" s="200">
        <v>44377</v>
      </c>
      <c r="S45" s="201">
        <v>179.98150000000001</v>
      </c>
      <c r="T45" s="200">
        <v>44742</v>
      </c>
      <c r="U45" s="201">
        <v>179.98150000000001</v>
      </c>
      <c r="V45" s="200">
        <v>44742</v>
      </c>
      <c r="W45" s="201">
        <v>194.07730000000001</v>
      </c>
      <c r="X45" s="200">
        <v>45107</v>
      </c>
      <c r="Y45" s="201">
        <v>180.47460000000001</v>
      </c>
      <c r="Z45" s="202">
        <v>45473</v>
      </c>
      <c r="AA45" s="203">
        <v>179.98150000000001</v>
      </c>
      <c r="AB45" s="202">
        <v>45473</v>
      </c>
      <c r="AC45" s="203">
        <v>189.98249999999999</v>
      </c>
      <c r="AE45" s="208"/>
      <c r="AG45" s="131"/>
    </row>
    <row r="46" spans="3:33" outlineLevel="1" x14ac:dyDescent="0.25">
      <c r="C46" s="14" t="s">
        <v>87</v>
      </c>
      <c r="D46" s="14" t="s">
        <v>171</v>
      </c>
      <c r="E46" s="14" t="s">
        <v>138</v>
      </c>
      <c r="F46" s="14" t="s">
        <v>157</v>
      </c>
      <c r="G46" s="14" t="s">
        <v>73</v>
      </c>
      <c r="H46" s="197">
        <v>44196</v>
      </c>
      <c r="I46" s="198">
        <v>79.861999999999995</v>
      </c>
      <c r="J46" s="200">
        <v>44377</v>
      </c>
      <c r="K46" s="201">
        <v>120.01199999999999</v>
      </c>
      <c r="L46" s="200">
        <v>44377</v>
      </c>
      <c r="M46" s="201">
        <v>120.01199999999999</v>
      </c>
      <c r="N46" s="200">
        <v>44377</v>
      </c>
      <c r="O46" s="201">
        <v>120.01199999999999</v>
      </c>
      <c r="P46" s="200">
        <v>44377</v>
      </c>
      <c r="Q46" s="201">
        <v>120.01199999999999</v>
      </c>
      <c r="R46" s="200">
        <v>44377</v>
      </c>
      <c r="S46" s="201">
        <v>120.01199999999999</v>
      </c>
      <c r="T46" s="200">
        <v>44742</v>
      </c>
      <c r="U46" s="201">
        <v>130.01300000000001</v>
      </c>
      <c r="V46" s="200">
        <v>44742</v>
      </c>
      <c r="W46" s="201">
        <v>145.19390000000001</v>
      </c>
      <c r="X46" s="200">
        <v>45107</v>
      </c>
      <c r="Y46" s="201">
        <v>140.36100000000002</v>
      </c>
      <c r="Z46" s="202">
        <v>45473</v>
      </c>
      <c r="AA46" s="203">
        <v>150.01499999999999</v>
      </c>
      <c r="AB46" s="202">
        <v>45473</v>
      </c>
      <c r="AC46" s="203">
        <v>154.97899999999998</v>
      </c>
      <c r="AE46" s="208"/>
      <c r="AG46" s="131"/>
    </row>
    <row r="47" spans="3:33" outlineLevel="1" x14ac:dyDescent="0.25">
      <c r="C47" s="14" t="s">
        <v>87</v>
      </c>
      <c r="D47" s="14" t="s">
        <v>172</v>
      </c>
      <c r="E47" s="14" t="s">
        <v>138</v>
      </c>
      <c r="F47" s="14" t="s">
        <v>157</v>
      </c>
      <c r="G47" s="14" t="s">
        <v>72</v>
      </c>
      <c r="H47" s="197" t="s">
        <v>54</v>
      </c>
      <c r="I47" s="197" t="s">
        <v>54</v>
      </c>
      <c r="J47" s="200">
        <v>44377</v>
      </c>
      <c r="K47" s="201">
        <v>111.11</v>
      </c>
      <c r="L47" s="200">
        <v>44377</v>
      </c>
      <c r="M47" s="201">
        <v>111.11</v>
      </c>
      <c r="N47" s="200">
        <v>44377</v>
      </c>
      <c r="O47" s="201">
        <v>111.11</v>
      </c>
      <c r="P47" s="200">
        <v>44377</v>
      </c>
      <c r="Q47" s="201">
        <v>111.11</v>
      </c>
      <c r="R47" s="200">
        <v>44377</v>
      </c>
      <c r="S47" s="201">
        <v>111.11</v>
      </c>
      <c r="T47" s="200">
        <v>44742</v>
      </c>
      <c r="U47" s="201">
        <v>125.072</v>
      </c>
      <c r="V47" s="200">
        <v>44742</v>
      </c>
      <c r="W47" s="201">
        <v>143.56729999999999</v>
      </c>
      <c r="X47" s="200">
        <v>45107</v>
      </c>
      <c r="Y47" s="201">
        <v>132.87190000000001</v>
      </c>
      <c r="Z47" s="202">
        <v>45473</v>
      </c>
      <c r="AA47" s="203">
        <v>141.1585</v>
      </c>
      <c r="AB47" s="202">
        <v>45473</v>
      </c>
      <c r="AC47" s="203">
        <v>138.51015094671718</v>
      </c>
      <c r="AE47" s="208"/>
      <c r="AG47" s="131"/>
    </row>
    <row r="48" spans="3:33" outlineLevel="1" x14ac:dyDescent="0.25">
      <c r="C48" s="14" t="s">
        <v>87</v>
      </c>
      <c r="D48" s="14" t="s">
        <v>173</v>
      </c>
      <c r="E48" s="14" t="s">
        <v>138</v>
      </c>
      <c r="F48" s="14" t="s">
        <v>157</v>
      </c>
      <c r="G48" s="14" t="s">
        <v>72</v>
      </c>
      <c r="H48" s="197" t="s">
        <v>54</v>
      </c>
      <c r="I48" s="197" t="s">
        <v>54</v>
      </c>
      <c r="J48" s="200">
        <v>44377</v>
      </c>
      <c r="K48" s="201">
        <v>90.009</v>
      </c>
      <c r="L48" s="200">
        <v>44377</v>
      </c>
      <c r="M48" s="201">
        <v>90.009</v>
      </c>
      <c r="N48" s="200">
        <v>44377</v>
      </c>
      <c r="O48" s="201">
        <v>90.009</v>
      </c>
      <c r="P48" s="200">
        <v>44377</v>
      </c>
      <c r="Q48" s="201">
        <v>90.009</v>
      </c>
      <c r="R48" s="200">
        <v>44377</v>
      </c>
      <c r="S48" s="201">
        <v>90.009</v>
      </c>
      <c r="T48" s="200">
        <v>44377</v>
      </c>
      <c r="U48" s="201">
        <v>90.009</v>
      </c>
      <c r="V48" s="200">
        <v>44742</v>
      </c>
      <c r="W48" s="201">
        <v>97.058300000000003</v>
      </c>
      <c r="X48" s="200">
        <v>45107</v>
      </c>
      <c r="Y48" s="201">
        <v>90.255600000000001</v>
      </c>
      <c r="Z48" s="202">
        <v>45473</v>
      </c>
      <c r="AA48" s="203">
        <v>90.009</v>
      </c>
      <c r="AB48" s="202">
        <v>45473</v>
      </c>
      <c r="AC48" s="203">
        <v>94.972999999999999</v>
      </c>
      <c r="AE48" s="208"/>
      <c r="AG48" s="131"/>
    </row>
    <row r="49" spans="3:33" outlineLevel="1" x14ac:dyDescent="0.25">
      <c r="C49" s="14" t="s">
        <v>87</v>
      </c>
      <c r="D49" s="14" t="s">
        <v>174</v>
      </c>
      <c r="E49" s="14" t="s">
        <v>138</v>
      </c>
      <c r="F49" s="14" t="s">
        <v>157</v>
      </c>
      <c r="G49" s="14" t="s">
        <v>72</v>
      </c>
      <c r="H49" s="197" t="s">
        <v>54</v>
      </c>
      <c r="I49" s="197" t="s">
        <v>54</v>
      </c>
      <c r="J49" s="200">
        <v>44377</v>
      </c>
      <c r="K49" s="201">
        <v>82.195999999999998</v>
      </c>
      <c r="L49" s="200">
        <v>44377</v>
      </c>
      <c r="M49" s="201">
        <v>82.195999999999998</v>
      </c>
      <c r="N49" s="200">
        <v>44377</v>
      </c>
      <c r="O49" s="201">
        <v>82.195999999999998</v>
      </c>
      <c r="P49" s="200">
        <v>44377</v>
      </c>
      <c r="Q49" s="201">
        <v>82.195999999999998</v>
      </c>
      <c r="R49" s="200">
        <v>44377</v>
      </c>
      <c r="S49" s="201">
        <v>82.195999999999998</v>
      </c>
      <c r="T49" s="200">
        <v>44377</v>
      </c>
      <c r="U49" s="201">
        <v>89.69</v>
      </c>
      <c r="V49" s="200">
        <v>44742</v>
      </c>
      <c r="W49" s="201">
        <v>105.053</v>
      </c>
      <c r="X49" s="200">
        <v>45107</v>
      </c>
      <c r="Y49" s="201">
        <v>96.846999999999994</v>
      </c>
      <c r="Z49" s="202">
        <v>45473</v>
      </c>
      <c r="AA49" s="203">
        <v>111.59090799999998</v>
      </c>
      <c r="AB49" s="202">
        <v>45473</v>
      </c>
      <c r="AC49" s="203">
        <v>116.44799999999999</v>
      </c>
      <c r="AE49" s="208"/>
      <c r="AG49" s="131"/>
    </row>
    <row r="50" spans="3:33" outlineLevel="1" x14ac:dyDescent="0.25">
      <c r="C50" s="14" t="s">
        <v>87</v>
      </c>
      <c r="D50" s="14" t="s">
        <v>175</v>
      </c>
      <c r="E50" s="14" t="s">
        <v>138</v>
      </c>
      <c r="F50" s="14" t="s">
        <v>157</v>
      </c>
      <c r="G50" s="14" t="s">
        <v>72</v>
      </c>
      <c r="H50" s="197" t="s">
        <v>54</v>
      </c>
      <c r="I50" s="197" t="s">
        <v>54</v>
      </c>
      <c r="J50" s="200">
        <v>44377</v>
      </c>
      <c r="K50" s="201">
        <v>139.97749999999999</v>
      </c>
      <c r="L50" s="200">
        <v>44377</v>
      </c>
      <c r="M50" s="201">
        <v>139.97749999999999</v>
      </c>
      <c r="N50" s="200">
        <v>44377</v>
      </c>
      <c r="O50" s="201">
        <v>139.97749999999999</v>
      </c>
      <c r="P50" s="200">
        <v>44377</v>
      </c>
      <c r="Q50" s="201">
        <v>139.97749999999999</v>
      </c>
      <c r="R50" s="200">
        <v>44377</v>
      </c>
      <c r="S50" s="201">
        <v>139.97749999999999</v>
      </c>
      <c r="T50" s="200">
        <v>44377</v>
      </c>
      <c r="U50" s="201">
        <v>139.97749999999999</v>
      </c>
      <c r="V50" s="200">
        <v>44742</v>
      </c>
      <c r="W50" s="201">
        <v>150.94030000000001</v>
      </c>
      <c r="X50" s="200">
        <v>45107</v>
      </c>
      <c r="Y50" s="201">
        <v>140.36100000000002</v>
      </c>
      <c r="Z50" s="202">
        <v>45473</v>
      </c>
      <c r="AA50" s="203">
        <v>139.97749999999999</v>
      </c>
      <c r="AB50" s="202">
        <v>45473</v>
      </c>
      <c r="AC50" s="203">
        <v>145.0145</v>
      </c>
      <c r="AE50" s="208"/>
      <c r="AG50" s="131"/>
    </row>
    <row r="51" spans="3:33" outlineLevel="1" x14ac:dyDescent="0.25">
      <c r="C51" s="14" t="s">
        <v>87</v>
      </c>
      <c r="D51" s="14" t="s">
        <v>176</v>
      </c>
      <c r="E51" s="14" t="s">
        <v>138</v>
      </c>
      <c r="F51" s="14" t="s">
        <v>157</v>
      </c>
      <c r="G51" s="14" t="s">
        <v>72</v>
      </c>
      <c r="H51" s="197" t="s">
        <v>54</v>
      </c>
      <c r="I51" s="197" t="s">
        <v>54</v>
      </c>
      <c r="J51" s="200">
        <v>44377</v>
      </c>
      <c r="K51" s="201">
        <v>80.007999999999996</v>
      </c>
      <c r="L51" s="200">
        <v>44377</v>
      </c>
      <c r="M51" s="201">
        <v>80.007999999999996</v>
      </c>
      <c r="N51" s="200">
        <v>44377</v>
      </c>
      <c r="O51" s="201">
        <v>80.007999999999996</v>
      </c>
      <c r="P51" s="200">
        <v>44377</v>
      </c>
      <c r="Q51" s="201">
        <v>80.007999999999996</v>
      </c>
      <c r="R51" s="200">
        <v>44377</v>
      </c>
      <c r="S51" s="201">
        <v>80.007999999999996</v>
      </c>
      <c r="T51" s="200">
        <v>44377</v>
      </c>
      <c r="U51" s="201">
        <v>85.008499999999998</v>
      </c>
      <c r="V51" s="200">
        <v>44742</v>
      </c>
      <c r="W51" s="201">
        <v>96.782799999999995</v>
      </c>
      <c r="X51" s="200">
        <v>45107</v>
      </c>
      <c r="Y51" s="201">
        <v>90.218999999999994</v>
      </c>
      <c r="Z51" s="202">
        <v>45473</v>
      </c>
      <c r="AA51" s="203">
        <v>89.972499999999997</v>
      </c>
      <c r="AB51" s="202">
        <v>45473</v>
      </c>
      <c r="AC51" s="203">
        <v>94.972999999999999</v>
      </c>
      <c r="AE51" s="208"/>
      <c r="AG51" s="131"/>
    </row>
    <row r="52" spans="3:33" outlineLevel="1" x14ac:dyDescent="0.25">
      <c r="C52" s="14" t="s">
        <v>87</v>
      </c>
      <c r="D52" s="39" t="s">
        <v>177</v>
      </c>
      <c r="E52" s="14" t="s">
        <v>138</v>
      </c>
      <c r="F52" s="14" t="s">
        <v>157</v>
      </c>
      <c r="G52" s="14" t="s">
        <v>73</v>
      </c>
      <c r="H52" s="197" t="s">
        <v>54</v>
      </c>
      <c r="I52" s="197" t="s">
        <v>54</v>
      </c>
      <c r="J52" s="200">
        <v>44377</v>
      </c>
      <c r="K52" s="201">
        <v>111.11</v>
      </c>
      <c r="L52" s="200">
        <v>44377</v>
      </c>
      <c r="M52" s="201">
        <v>111.11</v>
      </c>
      <c r="N52" s="200">
        <v>44377</v>
      </c>
      <c r="O52" s="201">
        <v>111.11</v>
      </c>
      <c r="P52" s="200">
        <v>44377</v>
      </c>
      <c r="Q52" s="201">
        <v>111.11</v>
      </c>
      <c r="R52" s="200">
        <v>44377</v>
      </c>
      <c r="S52" s="201">
        <v>111.11</v>
      </c>
      <c r="T52" s="200">
        <v>44377</v>
      </c>
      <c r="U52" s="201">
        <v>125.072</v>
      </c>
      <c r="V52" s="200">
        <v>44742</v>
      </c>
      <c r="W52" s="201">
        <v>143.56729999999999</v>
      </c>
      <c r="X52" s="200">
        <v>45107</v>
      </c>
      <c r="Y52" s="201">
        <v>132.87190000000001</v>
      </c>
      <c r="Z52" s="202">
        <v>45473</v>
      </c>
      <c r="AA52" s="203">
        <v>141.1585</v>
      </c>
      <c r="AB52" s="202">
        <v>45473</v>
      </c>
      <c r="AC52" s="203">
        <v>138.51015094671718</v>
      </c>
      <c r="AE52" s="208"/>
      <c r="AG52" s="131"/>
    </row>
    <row r="53" spans="3:33" outlineLevel="1" x14ac:dyDescent="0.25">
      <c r="C53" s="14" t="s">
        <v>87</v>
      </c>
      <c r="D53" s="14" t="s">
        <v>178</v>
      </c>
      <c r="E53" s="14" t="s">
        <v>138</v>
      </c>
      <c r="F53" s="14" t="s">
        <v>157</v>
      </c>
      <c r="G53" s="14" t="s">
        <v>73</v>
      </c>
      <c r="H53" s="197" t="s">
        <v>54</v>
      </c>
      <c r="I53" s="197" t="s">
        <v>54</v>
      </c>
      <c r="J53" s="200">
        <v>44377</v>
      </c>
      <c r="K53" s="201">
        <v>160.01599999999999</v>
      </c>
      <c r="L53" s="200">
        <v>44377</v>
      </c>
      <c r="M53" s="201">
        <v>160.01599999999999</v>
      </c>
      <c r="N53" s="200">
        <v>44377</v>
      </c>
      <c r="O53" s="201">
        <v>160.01599999999999</v>
      </c>
      <c r="P53" s="200">
        <v>44377</v>
      </c>
      <c r="Q53" s="201">
        <v>160.01599999999999</v>
      </c>
      <c r="R53" s="200">
        <v>44377</v>
      </c>
      <c r="S53" s="201">
        <v>160.01599999999999</v>
      </c>
      <c r="T53" s="200">
        <v>44377</v>
      </c>
      <c r="U53" s="201">
        <v>160.01599999999999</v>
      </c>
      <c r="V53" s="200">
        <v>44742</v>
      </c>
      <c r="W53" s="201">
        <v>172.54820000000001</v>
      </c>
      <c r="X53" s="200">
        <v>45107</v>
      </c>
      <c r="Y53" s="201">
        <v>150.42600000000002</v>
      </c>
      <c r="Z53" s="202">
        <v>45473</v>
      </c>
      <c r="AA53" s="203">
        <v>150.01499999999999</v>
      </c>
      <c r="AB53" s="202">
        <v>45473</v>
      </c>
      <c r="AC53" s="203">
        <v>154.97899999999998</v>
      </c>
      <c r="AE53" s="208"/>
      <c r="AG53" s="131"/>
    </row>
    <row r="54" spans="3:33" outlineLevel="1" x14ac:dyDescent="0.25">
      <c r="C54" s="14" t="s">
        <v>87</v>
      </c>
      <c r="D54" s="14" t="s">
        <v>179</v>
      </c>
      <c r="E54" s="14" t="s">
        <v>138</v>
      </c>
      <c r="F54" s="14" t="s">
        <v>157</v>
      </c>
      <c r="G54" s="14" t="s">
        <v>73</v>
      </c>
      <c r="H54" s="197" t="s">
        <v>54</v>
      </c>
      <c r="I54" s="197" t="s">
        <v>54</v>
      </c>
      <c r="J54" s="200">
        <v>44377</v>
      </c>
      <c r="K54" s="201">
        <v>242.124</v>
      </c>
      <c r="L54" s="200">
        <v>44377</v>
      </c>
      <c r="M54" s="201">
        <v>242.124</v>
      </c>
      <c r="N54" s="200">
        <v>44377</v>
      </c>
      <c r="O54" s="201">
        <v>242.124</v>
      </c>
      <c r="P54" s="200">
        <v>44377</v>
      </c>
      <c r="Q54" s="201">
        <v>242.124</v>
      </c>
      <c r="R54" s="200">
        <v>44377</v>
      </c>
      <c r="S54" s="201">
        <v>242.124</v>
      </c>
      <c r="T54" s="200">
        <v>44377</v>
      </c>
      <c r="U54" s="201">
        <v>244.18</v>
      </c>
      <c r="V54" s="200">
        <v>44742</v>
      </c>
      <c r="W54" s="201">
        <v>267.34640000000002</v>
      </c>
      <c r="X54" s="200">
        <v>45107</v>
      </c>
      <c r="Y54" s="201">
        <v>265.79300000000001</v>
      </c>
      <c r="Z54" s="202">
        <v>45473</v>
      </c>
      <c r="AA54" s="203">
        <v>303.69970000000001</v>
      </c>
      <c r="AB54" s="202">
        <v>45473</v>
      </c>
      <c r="AC54" s="203">
        <v>278.77499999999998</v>
      </c>
      <c r="AE54" s="208"/>
      <c r="AG54" s="131"/>
    </row>
    <row r="55" spans="3:33" outlineLevel="1" x14ac:dyDescent="0.25">
      <c r="C55" s="14" t="s">
        <v>87</v>
      </c>
      <c r="D55" s="14" t="s">
        <v>180</v>
      </c>
      <c r="E55" s="14" t="s">
        <v>138</v>
      </c>
      <c r="F55" s="14" t="s">
        <v>157</v>
      </c>
      <c r="G55" s="14" t="s">
        <v>73</v>
      </c>
      <c r="H55" s="197" t="s">
        <v>54</v>
      </c>
      <c r="I55" s="197" t="s">
        <v>54</v>
      </c>
      <c r="J55" s="200">
        <v>44377</v>
      </c>
      <c r="K55" s="201">
        <v>179.98150000000001</v>
      </c>
      <c r="L55" s="200">
        <v>44377</v>
      </c>
      <c r="M55" s="201">
        <v>179.98150000000001</v>
      </c>
      <c r="N55" s="200">
        <v>44377</v>
      </c>
      <c r="O55" s="201">
        <v>179.98150000000001</v>
      </c>
      <c r="P55" s="200">
        <v>44377</v>
      </c>
      <c r="Q55" s="201">
        <v>179.98150000000001</v>
      </c>
      <c r="R55" s="200">
        <v>44377</v>
      </c>
      <c r="S55" s="201">
        <v>179.98150000000001</v>
      </c>
      <c r="T55" s="200">
        <v>44377</v>
      </c>
      <c r="U55" s="201">
        <v>179.98150000000001</v>
      </c>
      <c r="V55" s="200">
        <v>44742</v>
      </c>
      <c r="W55" s="201">
        <v>194.07730000000001</v>
      </c>
      <c r="X55" s="200">
        <v>45107</v>
      </c>
      <c r="Y55" s="201">
        <v>180.47460000000001</v>
      </c>
      <c r="Z55" s="202">
        <v>45473</v>
      </c>
      <c r="AA55" s="203">
        <v>179.98150000000001</v>
      </c>
      <c r="AB55" s="202">
        <v>45473</v>
      </c>
      <c r="AC55" s="203">
        <v>189.98249999999999</v>
      </c>
      <c r="AE55" s="208"/>
      <c r="AG55" s="131"/>
    </row>
    <row r="56" spans="3:33" outlineLevel="1" x14ac:dyDescent="0.25">
      <c r="C56" s="14" t="s">
        <v>87</v>
      </c>
      <c r="D56" s="14" t="s">
        <v>181</v>
      </c>
      <c r="E56" s="14" t="s">
        <v>138</v>
      </c>
      <c r="F56" s="14" t="s">
        <v>157</v>
      </c>
      <c r="G56" s="14" t="s">
        <v>73</v>
      </c>
      <c r="H56" s="197" t="s">
        <v>54</v>
      </c>
      <c r="I56" s="197" t="s">
        <v>54</v>
      </c>
      <c r="J56" s="200">
        <v>44377</v>
      </c>
      <c r="K56" s="201">
        <v>120.01199999999999</v>
      </c>
      <c r="L56" s="200">
        <v>44377</v>
      </c>
      <c r="M56" s="201">
        <v>120.01199999999999</v>
      </c>
      <c r="N56" s="200">
        <v>44377</v>
      </c>
      <c r="O56" s="201">
        <v>120.01199999999999</v>
      </c>
      <c r="P56" s="200">
        <v>44377</v>
      </c>
      <c r="Q56" s="201">
        <v>120.01199999999999</v>
      </c>
      <c r="R56" s="200">
        <v>44377</v>
      </c>
      <c r="S56" s="201">
        <v>120.01199999999999</v>
      </c>
      <c r="T56" s="200">
        <v>44377</v>
      </c>
      <c r="U56" s="201">
        <v>130.01300000000001</v>
      </c>
      <c r="V56" s="200">
        <v>44742</v>
      </c>
      <c r="W56" s="201">
        <v>145.19390000000001</v>
      </c>
      <c r="X56" s="200">
        <v>45107</v>
      </c>
      <c r="Y56" s="201">
        <v>140.36100000000002</v>
      </c>
      <c r="Z56" s="202">
        <v>45473</v>
      </c>
      <c r="AA56" s="203">
        <v>150.01499999999999</v>
      </c>
      <c r="AB56" s="202">
        <v>45473</v>
      </c>
      <c r="AC56" s="203">
        <v>154.97899999999998</v>
      </c>
      <c r="AE56" s="208"/>
      <c r="AG56" s="131"/>
    </row>
    <row r="57" spans="3:33" ht="15.75" customHeight="1" outlineLevel="1" x14ac:dyDescent="0.25">
      <c r="C57" s="14" t="s">
        <v>182</v>
      </c>
      <c r="D57" s="14" t="s">
        <v>183</v>
      </c>
      <c r="E57" s="14" t="s">
        <v>184</v>
      </c>
      <c r="F57" s="14" t="s">
        <v>185</v>
      </c>
      <c r="G57" s="14" t="s">
        <v>72</v>
      </c>
      <c r="H57" s="197">
        <v>44196</v>
      </c>
      <c r="I57" s="198">
        <v>94.02</v>
      </c>
      <c r="J57" s="197">
        <v>44196</v>
      </c>
      <c r="K57" s="199">
        <v>94.02</v>
      </c>
      <c r="L57" s="197">
        <v>44196</v>
      </c>
      <c r="M57" s="198">
        <v>94.02</v>
      </c>
      <c r="N57" s="200">
        <v>44561</v>
      </c>
      <c r="O57" s="201">
        <v>70.94</v>
      </c>
      <c r="P57" s="200">
        <v>44926</v>
      </c>
      <c r="Q57" s="201">
        <v>71.42</v>
      </c>
      <c r="R57" s="200">
        <v>44742</v>
      </c>
      <c r="S57" s="201">
        <v>76.81</v>
      </c>
      <c r="T57" s="200">
        <v>44742</v>
      </c>
      <c r="U57" s="201">
        <v>81.459999999999994</v>
      </c>
      <c r="V57" s="200">
        <v>45107</v>
      </c>
      <c r="W57" s="201">
        <v>160.58000000000001</v>
      </c>
      <c r="X57" s="200">
        <v>45107</v>
      </c>
      <c r="Y57" s="201">
        <v>155.06744437670935</v>
      </c>
      <c r="Z57" s="202">
        <v>45473</v>
      </c>
      <c r="AA57" s="203">
        <v>121.13</v>
      </c>
      <c r="AB57" s="202">
        <f>Input_ForRateCalc[[#This Row],[D-NextVDO_InputDate]]</f>
        <v>45473</v>
      </c>
      <c r="AC57" s="203">
        <v>122.17</v>
      </c>
      <c r="AE57" s="208"/>
      <c r="AG57" s="131"/>
    </row>
    <row r="58" spans="3:33" ht="15.75" customHeight="1" outlineLevel="1" x14ac:dyDescent="0.25">
      <c r="C58" s="14" t="s">
        <v>182</v>
      </c>
      <c r="D58" s="14" t="s">
        <v>186</v>
      </c>
      <c r="E58" s="14" t="s">
        <v>184</v>
      </c>
      <c r="F58" s="14" t="s">
        <v>185</v>
      </c>
      <c r="G58" s="14" t="s">
        <v>72</v>
      </c>
      <c r="H58" s="197">
        <v>44196</v>
      </c>
      <c r="I58" s="198">
        <v>88.84</v>
      </c>
      <c r="J58" s="197">
        <v>44196</v>
      </c>
      <c r="K58" s="199">
        <v>88.84</v>
      </c>
      <c r="L58" s="197">
        <v>44196</v>
      </c>
      <c r="M58" s="198">
        <v>88.84</v>
      </c>
      <c r="N58" s="200">
        <v>44561</v>
      </c>
      <c r="O58" s="201">
        <v>67.239999999999995</v>
      </c>
      <c r="P58" s="200">
        <v>44926</v>
      </c>
      <c r="Q58" s="201">
        <v>67.8</v>
      </c>
      <c r="R58" s="200">
        <v>44742</v>
      </c>
      <c r="S58" s="201">
        <v>70.64</v>
      </c>
      <c r="T58" s="200">
        <v>44742</v>
      </c>
      <c r="U58" s="201">
        <v>76.56</v>
      </c>
      <c r="V58" s="200">
        <v>45107</v>
      </c>
      <c r="W58" s="201">
        <v>146.4</v>
      </c>
      <c r="X58" s="200">
        <v>45107</v>
      </c>
      <c r="Y58" s="201">
        <v>136.36461307557079</v>
      </c>
      <c r="Z58" s="202">
        <v>45473</v>
      </c>
      <c r="AA58" s="203">
        <v>105.35</v>
      </c>
      <c r="AB58" s="202">
        <f>Input_ForRateCalc[[#This Row],[D-NextVDO_InputDate]]</f>
        <v>45473</v>
      </c>
      <c r="AC58" s="203">
        <v>101.67</v>
      </c>
      <c r="AE58" s="208"/>
      <c r="AG58" s="131"/>
    </row>
    <row r="59" spans="3:33" ht="15.75" customHeight="1" outlineLevel="1" x14ac:dyDescent="0.25">
      <c r="C59" s="14" t="s">
        <v>182</v>
      </c>
      <c r="D59" s="14" t="s">
        <v>187</v>
      </c>
      <c r="E59" s="14" t="s">
        <v>184</v>
      </c>
      <c r="F59" s="14" t="s">
        <v>185</v>
      </c>
      <c r="G59" s="14" t="s">
        <v>72</v>
      </c>
      <c r="H59" s="197">
        <v>44196</v>
      </c>
      <c r="I59" s="198">
        <v>97.8</v>
      </c>
      <c r="J59" s="197">
        <v>44196</v>
      </c>
      <c r="K59" s="199">
        <v>97.8</v>
      </c>
      <c r="L59" s="197">
        <v>44196</v>
      </c>
      <c r="M59" s="198">
        <v>97.8</v>
      </c>
      <c r="N59" s="200">
        <v>44561</v>
      </c>
      <c r="O59" s="201">
        <v>73.25</v>
      </c>
      <c r="P59" s="200">
        <v>44926</v>
      </c>
      <c r="Q59" s="201">
        <v>73.680000000000007</v>
      </c>
      <c r="R59" s="200">
        <v>44742</v>
      </c>
      <c r="S59" s="201">
        <v>77.59</v>
      </c>
      <c r="T59" s="200">
        <v>44742</v>
      </c>
      <c r="U59" s="201">
        <v>81.819999999999993</v>
      </c>
      <c r="V59" s="200">
        <v>45107</v>
      </c>
      <c r="W59" s="201">
        <v>160.86000000000001</v>
      </c>
      <c r="X59" s="200">
        <v>45107</v>
      </c>
      <c r="Y59" s="201">
        <v>152.23433176569594</v>
      </c>
      <c r="Z59" s="202">
        <v>45473</v>
      </c>
      <c r="AA59" s="203">
        <v>118.9</v>
      </c>
      <c r="AB59" s="202">
        <f>Input_ForRateCalc[[#This Row],[D-NextVDO_InputDate]]</f>
        <v>45473</v>
      </c>
      <c r="AC59" s="203">
        <v>118.91</v>
      </c>
      <c r="AE59" s="208"/>
      <c r="AG59" s="131"/>
    </row>
    <row r="60" spans="3:33" ht="15.75" customHeight="1" outlineLevel="1" x14ac:dyDescent="0.25">
      <c r="C60" s="14" t="s">
        <v>182</v>
      </c>
      <c r="D60" s="14" t="s">
        <v>188</v>
      </c>
      <c r="E60" s="14" t="s">
        <v>184</v>
      </c>
      <c r="F60" s="14" t="s">
        <v>185</v>
      </c>
      <c r="G60" s="14" t="s">
        <v>72</v>
      </c>
      <c r="H60" s="197">
        <v>44196</v>
      </c>
      <c r="I60" s="198">
        <v>92.03</v>
      </c>
      <c r="J60" s="197">
        <v>44196</v>
      </c>
      <c r="K60" s="199">
        <v>92.03</v>
      </c>
      <c r="L60" s="197">
        <v>44196</v>
      </c>
      <c r="M60" s="198">
        <v>92.03</v>
      </c>
      <c r="N60" s="200">
        <v>44561</v>
      </c>
      <c r="O60" s="201">
        <v>69.23</v>
      </c>
      <c r="P60" s="200">
        <v>44926</v>
      </c>
      <c r="Q60" s="201">
        <v>69.78</v>
      </c>
      <c r="R60" s="200">
        <v>44742</v>
      </c>
      <c r="S60" s="201">
        <v>75.069999999999993</v>
      </c>
      <c r="T60" s="200">
        <v>44742</v>
      </c>
      <c r="U60" s="201">
        <v>80.25</v>
      </c>
      <c r="V60" s="200">
        <v>45107</v>
      </c>
      <c r="W60" s="201">
        <v>158.29</v>
      </c>
      <c r="X60" s="200">
        <v>45107</v>
      </c>
      <c r="Y60" s="201">
        <v>152.94289200433886</v>
      </c>
      <c r="Z60" s="202">
        <v>45473</v>
      </c>
      <c r="AA60" s="203">
        <v>120.35</v>
      </c>
      <c r="AB60" s="202">
        <f>Input_ForRateCalc[[#This Row],[D-NextVDO_InputDate]]</f>
        <v>45473</v>
      </c>
      <c r="AC60" s="203">
        <v>121.96</v>
      </c>
      <c r="AE60" s="208"/>
      <c r="AG60" s="131"/>
    </row>
    <row r="61" spans="3:33" ht="15.75" customHeight="1" outlineLevel="1" x14ac:dyDescent="0.25">
      <c r="C61" s="14" t="s">
        <v>182</v>
      </c>
      <c r="D61" s="14" t="s">
        <v>189</v>
      </c>
      <c r="E61" s="14" t="s">
        <v>184</v>
      </c>
      <c r="F61" s="14" t="s">
        <v>185</v>
      </c>
      <c r="G61" s="14" t="s">
        <v>72</v>
      </c>
      <c r="H61" s="197">
        <v>44196</v>
      </c>
      <c r="I61" s="198">
        <v>98.18</v>
      </c>
      <c r="J61" s="197">
        <v>44196</v>
      </c>
      <c r="K61" s="199">
        <v>98.18</v>
      </c>
      <c r="L61" s="197">
        <v>44196</v>
      </c>
      <c r="M61" s="198">
        <v>98.18</v>
      </c>
      <c r="N61" s="200">
        <v>44561</v>
      </c>
      <c r="O61" s="201">
        <v>73.75</v>
      </c>
      <c r="P61" s="200">
        <v>44926</v>
      </c>
      <c r="Q61" s="201">
        <v>74.19</v>
      </c>
      <c r="R61" s="200">
        <v>44742</v>
      </c>
      <c r="S61" s="201">
        <v>76.900000000000006</v>
      </c>
      <c r="T61" s="200">
        <v>44742</v>
      </c>
      <c r="U61" s="201">
        <v>81.03</v>
      </c>
      <c r="V61" s="200">
        <v>45107</v>
      </c>
      <c r="W61" s="201">
        <v>158.96</v>
      </c>
      <c r="X61" s="200">
        <v>45107</v>
      </c>
      <c r="Y61" s="201">
        <v>149.74862262361765</v>
      </c>
      <c r="Z61" s="202">
        <v>45473</v>
      </c>
      <c r="AA61" s="203">
        <v>116.51</v>
      </c>
      <c r="AB61" s="202">
        <f>Input_ForRateCalc[[#This Row],[D-NextVDO_InputDate]]</f>
        <v>45473</v>
      </c>
      <c r="AC61" s="203">
        <v>115.85</v>
      </c>
      <c r="AE61" s="208"/>
      <c r="AG61" s="131"/>
    </row>
    <row r="62" spans="3:33" ht="15.75" customHeight="1" outlineLevel="1" x14ac:dyDescent="0.25">
      <c r="C62" s="14" t="s">
        <v>182</v>
      </c>
      <c r="D62" s="14" t="s">
        <v>190</v>
      </c>
      <c r="E62" s="14" t="s">
        <v>184</v>
      </c>
      <c r="F62" s="14" t="s">
        <v>185</v>
      </c>
      <c r="G62" s="14" t="s">
        <v>72</v>
      </c>
      <c r="H62" s="197">
        <v>44196</v>
      </c>
      <c r="I62" s="198">
        <v>0.48</v>
      </c>
      <c r="J62" s="197">
        <v>44196</v>
      </c>
      <c r="K62" s="199">
        <v>0.48</v>
      </c>
      <c r="L62" s="197">
        <v>44196</v>
      </c>
      <c r="M62" s="198">
        <v>0.48</v>
      </c>
      <c r="N62" s="200">
        <v>44561</v>
      </c>
      <c r="O62" s="201">
        <v>0.3</v>
      </c>
      <c r="P62" s="200">
        <v>44926</v>
      </c>
      <c r="Q62" s="201">
        <v>0.27</v>
      </c>
      <c r="R62" s="200">
        <v>44742</v>
      </c>
      <c r="S62" s="201">
        <v>0.27</v>
      </c>
      <c r="T62" s="200">
        <v>44742</v>
      </c>
      <c r="U62" s="201">
        <v>0.38</v>
      </c>
      <c r="V62" s="200">
        <v>45107</v>
      </c>
      <c r="W62" s="201">
        <v>0.43</v>
      </c>
      <c r="X62" s="200">
        <v>45107</v>
      </c>
      <c r="Y62" s="201">
        <v>0.75597283903685197</v>
      </c>
      <c r="Z62" s="202">
        <v>45473</v>
      </c>
      <c r="AA62" s="203">
        <v>0.28999999999999998</v>
      </c>
      <c r="AB62" s="202">
        <f>Input_ForRateCalc[[#This Row],[D-NextVDO_InputDate]]</f>
        <v>45473</v>
      </c>
      <c r="AC62" s="203">
        <v>0.48</v>
      </c>
      <c r="AE62" s="208"/>
      <c r="AG62" s="131"/>
    </row>
    <row r="63" spans="3:33" ht="15.75" customHeight="1" outlineLevel="1" x14ac:dyDescent="0.25">
      <c r="C63" s="14" t="s">
        <v>182</v>
      </c>
      <c r="D63" s="14" t="s">
        <v>191</v>
      </c>
      <c r="E63" s="14" t="s">
        <v>184</v>
      </c>
      <c r="F63" s="14" t="s">
        <v>185</v>
      </c>
      <c r="G63" s="14" t="s">
        <v>72</v>
      </c>
      <c r="H63" s="197">
        <v>44196</v>
      </c>
      <c r="I63" s="198">
        <v>0.47</v>
      </c>
      <c r="J63" s="197">
        <v>44196</v>
      </c>
      <c r="K63" s="199">
        <v>0.47</v>
      </c>
      <c r="L63" s="197">
        <v>44196</v>
      </c>
      <c r="M63" s="198">
        <v>0.47</v>
      </c>
      <c r="N63" s="200">
        <v>44561</v>
      </c>
      <c r="O63" s="201">
        <v>0.3</v>
      </c>
      <c r="P63" s="200">
        <v>44926</v>
      </c>
      <c r="Q63" s="201">
        <v>0.28000000000000003</v>
      </c>
      <c r="R63" s="200">
        <v>44742</v>
      </c>
      <c r="S63" s="201">
        <v>0.31</v>
      </c>
      <c r="T63" s="200">
        <v>44742</v>
      </c>
      <c r="U63" s="201">
        <v>0.4</v>
      </c>
      <c r="V63" s="200">
        <v>45107</v>
      </c>
      <c r="W63" s="201">
        <v>0.36</v>
      </c>
      <c r="X63" s="200">
        <v>45107</v>
      </c>
      <c r="Y63" s="201">
        <v>0.63406351167904607</v>
      </c>
      <c r="Z63" s="202">
        <v>45473</v>
      </c>
      <c r="AA63" s="203">
        <v>0.24</v>
      </c>
      <c r="AB63" s="202">
        <f>Input_ForRateCalc[[#This Row],[D-NextVDO_InputDate]]</f>
        <v>45473</v>
      </c>
      <c r="AC63" s="203">
        <v>0.21</v>
      </c>
      <c r="AE63" s="208"/>
      <c r="AG63" s="131"/>
    </row>
    <row r="64" spans="3:33" ht="15.75" customHeight="1" outlineLevel="1" x14ac:dyDescent="0.25">
      <c r="C64" s="14" t="s">
        <v>182</v>
      </c>
      <c r="D64" s="14" t="s">
        <v>192</v>
      </c>
      <c r="E64" s="14" t="s">
        <v>184</v>
      </c>
      <c r="F64" s="14" t="s">
        <v>185</v>
      </c>
      <c r="G64" s="14" t="s">
        <v>72</v>
      </c>
      <c r="H64" s="197">
        <v>44196</v>
      </c>
      <c r="I64" s="198">
        <v>0.45</v>
      </c>
      <c r="J64" s="197">
        <v>44196</v>
      </c>
      <c r="K64" s="199">
        <v>0.45</v>
      </c>
      <c r="L64" s="197">
        <v>44196</v>
      </c>
      <c r="M64" s="198">
        <v>0.45</v>
      </c>
      <c r="N64" s="200">
        <v>44561</v>
      </c>
      <c r="O64" s="201">
        <v>0.3</v>
      </c>
      <c r="P64" s="200">
        <v>44926</v>
      </c>
      <c r="Q64" s="201">
        <v>0.27</v>
      </c>
      <c r="R64" s="200">
        <v>44742</v>
      </c>
      <c r="S64" s="201">
        <v>0.25</v>
      </c>
      <c r="T64" s="200">
        <v>44742</v>
      </c>
      <c r="U64" s="201">
        <v>0.39</v>
      </c>
      <c r="V64" s="200">
        <v>45107</v>
      </c>
      <c r="W64" s="201">
        <v>0.42</v>
      </c>
      <c r="X64" s="200">
        <v>45107</v>
      </c>
      <c r="Y64" s="201">
        <v>0.75975138343267379</v>
      </c>
      <c r="Z64" s="202">
        <v>45473</v>
      </c>
      <c r="AA64" s="203">
        <v>0.3</v>
      </c>
      <c r="AB64" s="202">
        <f>Input_ForRateCalc[[#This Row],[D-NextVDO_InputDate]]</f>
        <v>45473</v>
      </c>
      <c r="AC64" s="203">
        <v>0.38</v>
      </c>
      <c r="AE64" s="208"/>
      <c r="AG64" s="131"/>
    </row>
    <row r="65" spans="3:33" ht="15.75" customHeight="1" outlineLevel="1" x14ac:dyDescent="0.25">
      <c r="C65" s="14" t="s">
        <v>182</v>
      </c>
      <c r="D65" s="14" t="s">
        <v>193</v>
      </c>
      <c r="E65" s="14" t="s">
        <v>184</v>
      </c>
      <c r="F65" s="14" t="s">
        <v>185</v>
      </c>
      <c r="G65" s="14" t="s">
        <v>72</v>
      </c>
      <c r="H65" s="197">
        <v>44196</v>
      </c>
      <c r="I65" s="198">
        <v>0.42</v>
      </c>
      <c r="J65" s="197">
        <v>44196</v>
      </c>
      <c r="K65" s="199">
        <v>0.42</v>
      </c>
      <c r="L65" s="197">
        <v>44196</v>
      </c>
      <c r="M65" s="198">
        <v>0.42</v>
      </c>
      <c r="N65" s="200">
        <v>44561</v>
      </c>
      <c r="O65" s="201">
        <v>0.3</v>
      </c>
      <c r="P65" s="200">
        <v>44926</v>
      </c>
      <c r="Q65" s="201">
        <v>0.28000000000000003</v>
      </c>
      <c r="R65" s="200">
        <v>44742</v>
      </c>
      <c r="S65" s="201">
        <v>0.32</v>
      </c>
      <c r="T65" s="200">
        <v>44742</v>
      </c>
      <c r="U65" s="201">
        <v>0.46</v>
      </c>
      <c r="V65" s="200">
        <v>45107</v>
      </c>
      <c r="W65" s="201">
        <v>0.39</v>
      </c>
      <c r="X65" s="200">
        <v>45107</v>
      </c>
      <c r="Y65" s="201">
        <v>0.77200647873025952</v>
      </c>
      <c r="Z65" s="202">
        <v>45473</v>
      </c>
      <c r="AA65" s="203">
        <v>0.33</v>
      </c>
      <c r="AB65" s="202">
        <f>Input_ForRateCalc[[#This Row],[D-NextVDO_InputDate]]</f>
        <v>45473</v>
      </c>
      <c r="AC65" s="203">
        <v>0.46</v>
      </c>
      <c r="AE65" s="208"/>
      <c r="AG65" s="131"/>
    </row>
    <row r="66" spans="3:33" ht="15.75" customHeight="1" outlineLevel="1" x14ac:dyDescent="0.25">
      <c r="C66" s="14" t="s">
        <v>182</v>
      </c>
      <c r="D66" s="14" t="s">
        <v>194</v>
      </c>
      <c r="E66" s="14" t="s">
        <v>184</v>
      </c>
      <c r="F66" s="14" t="s">
        <v>185</v>
      </c>
      <c r="G66" s="14" t="s">
        <v>72</v>
      </c>
      <c r="H66" s="197">
        <v>44196</v>
      </c>
      <c r="I66" s="198">
        <v>0.49</v>
      </c>
      <c r="J66" s="197">
        <v>44196</v>
      </c>
      <c r="K66" s="199">
        <v>0.49</v>
      </c>
      <c r="L66" s="197">
        <v>44196</v>
      </c>
      <c r="M66" s="198">
        <v>0.49</v>
      </c>
      <c r="N66" s="200">
        <v>44561</v>
      </c>
      <c r="O66" s="201">
        <v>0.33</v>
      </c>
      <c r="P66" s="200">
        <v>44926</v>
      </c>
      <c r="Q66" s="201">
        <v>0.3</v>
      </c>
      <c r="R66" s="200">
        <v>44742</v>
      </c>
      <c r="S66" s="201">
        <v>0.31</v>
      </c>
      <c r="T66" s="200">
        <v>44742</v>
      </c>
      <c r="U66" s="201">
        <v>0.48</v>
      </c>
      <c r="V66" s="200">
        <v>45107</v>
      </c>
      <c r="W66" s="201">
        <v>0.38</v>
      </c>
      <c r="X66" s="200">
        <v>45107</v>
      </c>
      <c r="Y66" s="201">
        <v>0.72106076586370949</v>
      </c>
      <c r="Z66" s="202">
        <v>45473</v>
      </c>
      <c r="AA66" s="203">
        <v>0.28999999999999998</v>
      </c>
      <c r="AB66" s="202">
        <f>Input_ForRateCalc[[#This Row],[D-NextVDO_InputDate]]</f>
        <v>45473</v>
      </c>
      <c r="AC66" s="203">
        <v>0.36</v>
      </c>
      <c r="AE66" s="210"/>
      <c r="AG66" s="131"/>
    </row>
    <row r="67" spans="3:33" ht="15.75" customHeight="1" outlineLevel="1" x14ac:dyDescent="0.25">
      <c r="C67" s="14" t="s">
        <v>182</v>
      </c>
      <c r="D67" s="14" t="s">
        <v>195</v>
      </c>
      <c r="E67" s="14" t="s">
        <v>184</v>
      </c>
      <c r="F67" s="14" t="s">
        <v>185</v>
      </c>
      <c r="G67" s="14" t="s">
        <v>73</v>
      </c>
      <c r="H67" s="197">
        <v>44196</v>
      </c>
      <c r="I67" s="198">
        <v>82.28</v>
      </c>
      <c r="J67" s="197">
        <v>44196</v>
      </c>
      <c r="K67" s="199">
        <v>82.28</v>
      </c>
      <c r="L67" s="197">
        <v>44196</v>
      </c>
      <c r="M67" s="198">
        <v>82.28</v>
      </c>
      <c r="N67" s="200">
        <v>44561</v>
      </c>
      <c r="O67" s="201">
        <v>62.64</v>
      </c>
      <c r="P67" s="200">
        <v>44926</v>
      </c>
      <c r="Q67" s="201">
        <v>62.76</v>
      </c>
      <c r="R67" s="200">
        <v>44742</v>
      </c>
      <c r="S67" s="201">
        <v>64.87</v>
      </c>
      <c r="T67" s="200">
        <v>44742</v>
      </c>
      <c r="U67" s="201">
        <v>70.17</v>
      </c>
      <c r="V67" s="200">
        <v>45107</v>
      </c>
      <c r="W67" s="201">
        <v>130.16</v>
      </c>
      <c r="X67" s="200">
        <v>45107</v>
      </c>
      <c r="Y67" s="201">
        <v>127.99318301307451</v>
      </c>
      <c r="Z67" s="202">
        <v>45473</v>
      </c>
      <c r="AA67" s="203">
        <v>98</v>
      </c>
      <c r="AB67" s="202">
        <f>Input_ForRateCalc[[#This Row],[D-NextVDO_InputDate]]</f>
        <v>45473</v>
      </c>
      <c r="AC67" s="203">
        <v>93.91</v>
      </c>
      <c r="AE67" s="210"/>
      <c r="AG67" s="131"/>
    </row>
    <row r="68" spans="3:33" ht="15.75" customHeight="1" outlineLevel="1" x14ac:dyDescent="0.25">
      <c r="C68" s="14" t="s">
        <v>182</v>
      </c>
      <c r="D68" s="14" t="s">
        <v>196</v>
      </c>
      <c r="E68" s="14" t="s">
        <v>184</v>
      </c>
      <c r="F68" s="14" t="s">
        <v>185</v>
      </c>
      <c r="G68" s="14" t="s">
        <v>73</v>
      </c>
      <c r="H68" s="197">
        <v>44196</v>
      </c>
      <c r="I68" s="198">
        <v>85.08</v>
      </c>
      <c r="J68" s="197">
        <v>44196</v>
      </c>
      <c r="K68" s="199">
        <v>85.08</v>
      </c>
      <c r="L68" s="197">
        <v>44196</v>
      </c>
      <c r="M68" s="198">
        <v>85.08</v>
      </c>
      <c r="N68" s="200">
        <v>44561</v>
      </c>
      <c r="O68" s="201">
        <v>63.9</v>
      </c>
      <c r="P68" s="200">
        <v>44926</v>
      </c>
      <c r="Q68" s="201">
        <v>63.89</v>
      </c>
      <c r="R68" s="200">
        <v>44742</v>
      </c>
      <c r="S68" s="201">
        <v>66.540000000000006</v>
      </c>
      <c r="T68" s="200">
        <v>44742</v>
      </c>
      <c r="U68" s="201">
        <v>70.16</v>
      </c>
      <c r="V68" s="200">
        <v>45107</v>
      </c>
      <c r="W68" s="201">
        <v>128.35</v>
      </c>
      <c r="X68" s="200">
        <v>45107</v>
      </c>
      <c r="Y68" s="201">
        <v>125.81685844288594</v>
      </c>
      <c r="Z68" s="202">
        <v>45473</v>
      </c>
      <c r="AA68" s="203">
        <v>94.73</v>
      </c>
      <c r="AB68" s="202">
        <f>Input_ForRateCalc[[#This Row],[D-NextVDO_InputDate]]</f>
        <v>45473</v>
      </c>
      <c r="AC68" s="203">
        <v>89.71</v>
      </c>
      <c r="AE68" s="210"/>
      <c r="AG68" s="131"/>
    </row>
    <row r="69" spans="3:33" outlineLevel="1" x14ac:dyDescent="0.25">
      <c r="C69" s="14" t="s">
        <v>182</v>
      </c>
      <c r="D69" s="14" t="s">
        <v>197</v>
      </c>
      <c r="E69" s="14" t="s">
        <v>184</v>
      </c>
      <c r="F69" s="14" t="s">
        <v>185</v>
      </c>
      <c r="G69" s="14" t="s">
        <v>73</v>
      </c>
      <c r="H69" s="197">
        <v>44196</v>
      </c>
      <c r="I69" s="198">
        <v>84.51</v>
      </c>
      <c r="J69" s="197">
        <v>44196</v>
      </c>
      <c r="K69" s="199">
        <v>84.51</v>
      </c>
      <c r="L69" s="197">
        <v>44196</v>
      </c>
      <c r="M69" s="198">
        <v>84.51</v>
      </c>
      <c r="N69" s="200">
        <v>44561</v>
      </c>
      <c r="O69" s="201">
        <v>63.96</v>
      </c>
      <c r="P69" s="200">
        <v>44926</v>
      </c>
      <c r="Q69" s="201">
        <v>63.96</v>
      </c>
      <c r="R69" s="200">
        <v>44742</v>
      </c>
      <c r="S69" s="201">
        <v>65.7</v>
      </c>
      <c r="T69" s="200">
        <v>44742</v>
      </c>
      <c r="U69" s="201">
        <v>68.78</v>
      </c>
      <c r="V69" s="200">
        <v>45107</v>
      </c>
      <c r="W69" s="201">
        <v>131.53</v>
      </c>
      <c r="X69" s="200">
        <v>45107</v>
      </c>
      <c r="Y69" s="201">
        <v>129.5909934656539</v>
      </c>
      <c r="Z69" s="202">
        <v>45473</v>
      </c>
      <c r="AA69" s="203">
        <v>100.36</v>
      </c>
      <c r="AB69" s="202">
        <f>Input_ForRateCalc[[#This Row],[D-NextVDO_InputDate]]</f>
        <v>45473</v>
      </c>
      <c r="AC69" s="203">
        <v>95.01</v>
      </c>
      <c r="AG69" s="131"/>
    </row>
    <row r="70" spans="3:33" outlineLevel="1" x14ac:dyDescent="0.25">
      <c r="C70" s="14" t="s">
        <v>182</v>
      </c>
      <c r="D70" s="14" t="s">
        <v>198</v>
      </c>
      <c r="E70" s="14" t="s">
        <v>184</v>
      </c>
      <c r="F70" s="14" t="s">
        <v>185</v>
      </c>
      <c r="G70" s="14" t="s">
        <v>73</v>
      </c>
      <c r="H70" s="197">
        <v>44196</v>
      </c>
      <c r="I70" s="198">
        <v>80.11</v>
      </c>
      <c r="J70" s="197">
        <v>44196</v>
      </c>
      <c r="K70" s="199">
        <v>80.11</v>
      </c>
      <c r="L70" s="197">
        <v>44196</v>
      </c>
      <c r="M70" s="198">
        <v>80.11</v>
      </c>
      <c r="N70" s="200">
        <v>44561</v>
      </c>
      <c r="O70" s="201">
        <v>60.92</v>
      </c>
      <c r="P70" s="200">
        <v>44926</v>
      </c>
      <c r="Q70" s="201">
        <v>61.05</v>
      </c>
      <c r="R70" s="200">
        <v>44742</v>
      </c>
      <c r="S70" s="201">
        <v>63.68</v>
      </c>
      <c r="T70" s="200">
        <v>44742</v>
      </c>
      <c r="U70" s="201">
        <v>69.63</v>
      </c>
      <c r="V70" s="200">
        <v>45107</v>
      </c>
      <c r="W70" s="201">
        <v>126.71</v>
      </c>
      <c r="X70" s="200">
        <v>45107</v>
      </c>
      <c r="Y70" s="201">
        <v>124.83628413435757</v>
      </c>
      <c r="Z70" s="202">
        <v>45473</v>
      </c>
      <c r="AA70" s="203">
        <v>96.18</v>
      </c>
      <c r="AB70" s="202">
        <f>Input_ForRateCalc[[#This Row],[D-NextVDO_InputDate]]</f>
        <v>45473</v>
      </c>
      <c r="AC70" s="203">
        <v>93.23</v>
      </c>
      <c r="AG70" s="131"/>
    </row>
    <row r="71" spans="3:33" outlineLevel="1" x14ac:dyDescent="0.25">
      <c r="C71" s="14" t="s">
        <v>182</v>
      </c>
      <c r="D71" s="14" t="s">
        <v>199</v>
      </c>
      <c r="E71" s="14" t="s">
        <v>184</v>
      </c>
      <c r="F71" s="14" t="s">
        <v>185</v>
      </c>
      <c r="G71" s="14" t="s">
        <v>73</v>
      </c>
      <c r="H71" s="197">
        <v>44196</v>
      </c>
      <c r="I71" s="198">
        <v>86.63</v>
      </c>
      <c r="J71" s="197">
        <v>44196</v>
      </c>
      <c r="K71" s="199">
        <v>86.63</v>
      </c>
      <c r="L71" s="197">
        <v>44196</v>
      </c>
      <c r="M71" s="198">
        <v>86.63</v>
      </c>
      <c r="N71" s="200">
        <v>44561</v>
      </c>
      <c r="O71" s="201">
        <v>65.260000000000005</v>
      </c>
      <c r="P71" s="200">
        <v>44926</v>
      </c>
      <c r="Q71" s="201">
        <v>65.22</v>
      </c>
      <c r="R71" s="200">
        <v>44742</v>
      </c>
      <c r="S71" s="201">
        <v>66.55</v>
      </c>
      <c r="T71" s="200">
        <v>44742</v>
      </c>
      <c r="U71" s="201">
        <v>68.95</v>
      </c>
      <c r="V71" s="200">
        <v>45107</v>
      </c>
      <c r="W71" s="201">
        <v>131.87</v>
      </c>
      <c r="X71" s="200">
        <v>45107</v>
      </c>
      <c r="Y71" s="201">
        <v>129.74650834657041</v>
      </c>
      <c r="Z71" s="202">
        <v>45473</v>
      </c>
      <c r="AA71" s="203">
        <v>99.62</v>
      </c>
      <c r="AB71" s="202">
        <f>Input_ForRateCalc[[#This Row],[D-NextVDO_InputDate]]</f>
        <v>45473</v>
      </c>
      <c r="AC71" s="203">
        <v>94.25</v>
      </c>
      <c r="AE71" s="210"/>
      <c r="AG71" s="131"/>
    </row>
    <row r="72" spans="3:33" outlineLevel="1" x14ac:dyDescent="0.25">
      <c r="C72" s="14" t="s">
        <v>182</v>
      </c>
      <c r="D72" s="14" t="s">
        <v>200</v>
      </c>
      <c r="E72" s="14" t="s">
        <v>184</v>
      </c>
      <c r="F72" s="14" t="s">
        <v>185</v>
      </c>
      <c r="G72" s="14" t="s">
        <v>73</v>
      </c>
      <c r="H72" s="197">
        <v>44196</v>
      </c>
      <c r="I72" s="198">
        <v>0.34</v>
      </c>
      <c r="J72" s="197">
        <v>44196</v>
      </c>
      <c r="K72" s="199">
        <v>0.34</v>
      </c>
      <c r="L72" s="197">
        <v>44196</v>
      </c>
      <c r="M72" s="198">
        <v>0.34</v>
      </c>
      <c r="N72" s="200">
        <v>44561</v>
      </c>
      <c r="O72" s="201">
        <v>0.24</v>
      </c>
      <c r="P72" s="200">
        <v>44926</v>
      </c>
      <c r="Q72" s="201">
        <v>0.23</v>
      </c>
      <c r="R72" s="200">
        <v>44742</v>
      </c>
      <c r="S72" s="201">
        <v>0.32</v>
      </c>
      <c r="T72" s="200">
        <v>44742</v>
      </c>
      <c r="U72" s="201">
        <v>0.44</v>
      </c>
      <c r="V72" s="200">
        <v>45107</v>
      </c>
      <c r="W72" s="201">
        <v>0.46</v>
      </c>
      <c r="X72" s="200">
        <v>45107</v>
      </c>
      <c r="Y72" s="201">
        <v>0.56983788306049488</v>
      </c>
      <c r="Z72" s="202">
        <v>45473</v>
      </c>
      <c r="AA72" s="203">
        <v>0.25</v>
      </c>
      <c r="AB72" s="202">
        <f>Input_ForRateCalc[[#This Row],[D-NextVDO_InputDate]]</f>
        <v>45473</v>
      </c>
      <c r="AC72" s="203">
        <f>Input_ForRateCalc[[#This Row],[D-NextVDO_Input]]</f>
        <v>0.25</v>
      </c>
      <c r="AE72" s="210"/>
      <c r="AG72" s="131"/>
    </row>
    <row r="73" spans="3:33" outlineLevel="1" x14ac:dyDescent="0.25">
      <c r="C73" s="14" t="s">
        <v>182</v>
      </c>
      <c r="D73" s="14" t="s">
        <v>201</v>
      </c>
      <c r="E73" s="14" t="s">
        <v>184</v>
      </c>
      <c r="F73" s="14" t="s">
        <v>185</v>
      </c>
      <c r="G73" s="14" t="s">
        <v>73</v>
      </c>
      <c r="H73" s="197">
        <v>44196</v>
      </c>
      <c r="I73" s="198">
        <v>0.4</v>
      </c>
      <c r="J73" s="197">
        <v>44196</v>
      </c>
      <c r="K73" s="199">
        <v>0.4</v>
      </c>
      <c r="L73" s="197">
        <v>44196</v>
      </c>
      <c r="M73" s="198">
        <v>0.4</v>
      </c>
      <c r="N73" s="200">
        <v>44561</v>
      </c>
      <c r="O73" s="201">
        <v>0.23</v>
      </c>
      <c r="P73" s="200">
        <v>44926</v>
      </c>
      <c r="Q73" s="201">
        <v>0.22</v>
      </c>
      <c r="R73" s="200">
        <v>44742</v>
      </c>
      <c r="S73" s="201">
        <v>0.44</v>
      </c>
      <c r="T73" s="200">
        <v>44742</v>
      </c>
      <c r="U73" s="201">
        <v>0.5</v>
      </c>
      <c r="V73" s="200">
        <v>45107</v>
      </c>
      <c r="W73" s="201">
        <v>0.49</v>
      </c>
      <c r="X73" s="200">
        <v>45107</v>
      </c>
      <c r="Y73" s="201">
        <v>0.66754117444073446</v>
      </c>
      <c r="Z73" s="202">
        <v>45473</v>
      </c>
      <c r="AA73" s="203">
        <v>0.27</v>
      </c>
      <c r="AB73" s="202">
        <f>Input_ForRateCalc[[#This Row],[D-NextVDO_InputDate]]</f>
        <v>45473</v>
      </c>
      <c r="AC73" s="203">
        <f>Input_ForRateCalc[[#This Row],[D-NextVDO_Input]]</f>
        <v>0.27</v>
      </c>
      <c r="AE73" s="210"/>
      <c r="AG73" s="131"/>
    </row>
    <row r="74" spans="3:33" outlineLevel="1" x14ac:dyDescent="0.25">
      <c r="C74" s="14" t="s">
        <v>182</v>
      </c>
      <c r="D74" s="14" t="s">
        <v>202</v>
      </c>
      <c r="E74" s="14" t="s">
        <v>184</v>
      </c>
      <c r="F74" s="14" t="s">
        <v>185</v>
      </c>
      <c r="G74" s="14" t="s">
        <v>73</v>
      </c>
      <c r="H74" s="197">
        <v>44196</v>
      </c>
      <c r="I74" s="198">
        <v>0.36</v>
      </c>
      <c r="J74" s="197">
        <v>44196</v>
      </c>
      <c r="K74" s="199">
        <v>0.36</v>
      </c>
      <c r="L74" s="197">
        <v>44196</v>
      </c>
      <c r="M74" s="198">
        <v>0.36</v>
      </c>
      <c r="N74" s="200">
        <v>44561</v>
      </c>
      <c r="O74" s="201">
        <v>0.23</v>
      </c>
      <c r="P74" s="200">
        <v>44926</v>
      </c>
      <c r="Q74" s="201">
        <v>0.22</v>
      </c>
      <c r="R74" s="200">
        <v>44742</v>
      </c>
      <c r="S74" s="201">
        <v>0.41</v>
      </c>
      <c r="T74" s="200">
        <v>44742</v>
      </c>
      <c r="U74" s="201">
        <v>0.55000000000000004</v>
      </c>
      <c r="V74" s="200">
        <v>45107</v>
      </c>
      <c r="W74" s="201">
        <v>0.54</v>
      </c>
      <c r="X74" s="200">
        <v>45107</v>
      </c>
      <c r="Y74" s="201">
        <v>0.61921571486875526</v>
      </c>
      <c r="Z74" s="202">
        <v>45473</v>
      </c>
      <c r="AA74" s="203">
        <v>0.3</v>
      </c>
      <c r="AB74" s="202">
        <f>Input_ForRateCalc[[#This Row],[D-NextVDO_InputDate]]</f>
        <v>45473</v>
      </c>
      <c r="AC74" s="203">
        <v>0.28000000000000003</v>
      </c>
      <c r="AE74" s="210"/>
      <c r="AG74" s="131"/>
    </row>
    <row r="75" spans="3:33" outlineLevel="1" x14ac:dyDescent="0.25">
      <c r="C75" s="14" t="s">
        <v>182</v>
      </c>
      <c r="D75" s="14" t="s">
        <v>203</v>
      </c>
      <c r="E75" s="14" t="s">
        <v>184</v>
      </c>
      <c r="F75" s="14" t="s">
        <v>185</v>
      </c>
      <c r="G75" s="14" t="s">
        <v>73</v>
      </c>
      <c r="H75" s="197">
        <v>44196</v>
      </c>
      <c r="I75" s="198">
        <v>0.31</v>
      </c>
      <c r="J75" s="197">
        <v>44196</v>
      </c>
      <c r="K75" s="199">
        <v>0.31</v>
      </c>
      <c r="L75" s="197">
        <v>44196</v>
      </c>
      <c r="M75" s="198">
        <v>0.31</v>
      </c>
      <c r="N75" s="200">
        <v>44561</v>
      </c>
      <c r="O75" s="201">
        <v>0.19</v>
      </c>
      <c r="P75" s="200">
        <v>44926</v>
      </c>
      <c r="Q75" s="201">
        <v>0.18</v>
      </c>
      <c r="R75" s="200">
        <v>44742</v>
      </c>
      <c r="S75" s="201">
        <v>0.31</v>
      </c>
      <c r="T75" s="200">
        <v>44742</v>
      </c>
      <c r="U75" s="201">
        <v>0.44</v>
      </c>
      <c r="V75" s="200">
        <v>45107</v>
      </c>
      <c r="W75" s="201">
        <v>0.45</v>
      </c>
      <c r="X75" s="200">
        <v>45107</v>
      </c>
      <c r="Y75" s="201">
        <v>0.64465204102732077</v>
      </c>
      <c r="Z75" s="202">
        <v>45473</v>
      </c>
      <c r="AA75" s="203">
        <v>0.25</v>
      </c>
      <c r="AB75" s="202">
        <f>Input_ForRateCalc[[#This Row],[D-NextVDO_InputDate]]</f>
        <v>45473</v>
      </c>
      <c r="AC75" s="203">
        <v>0.24</v>
      </c>
      <c r="AE75" s="210"/>
      <c r="AG75" s="131"/>
    </row>
    <row r="76" spans="3:33" outlineLevel="1" x14ac:dyDescent="0.25">
      <c r="C76" s="14" t="s">
        <v>182</v>
      </c>
      <c r="D76" s="14" t="s">
        <v>204</v>
      </c>
      <c r="E76" s="14" t="s">
        <v>184</v>
      </c>
      <c r="F76" s="14" t="s">
        <v>185</v>
      </c>
      <c r="G76" s="14" t="s">
        <v>73</v>
      </c>
      <c r="H76" s="197">
        <v>44196</v>
      </c>
      <c r="I76" s="198">
        <v>0.41</v>
      </c>
      <c r="J76" s="197">
        <v>44196</v>
      </c>
      <c r="K76" s="199">
        <v>0.41</v>
      </c>
      <c r="L76" s="197">
        <v>44196</v>
      </c>
      <c r="M76" s="198">
        <v>0.41</v>
      </c>
      <c r="N76" s="200">
        <v>44561</v>
      </c>
      <c r="O76" s="201">
        <v>0.24</v>
      </c>
      <c r="P76" s="200">
        <v>44926</v>
      </c>
      <c r="Q76" s="201">
        <v>0.23</v>
      </c>
      <c r="R76" s="200">
        <v>44742</v>
      </c>
      <c r="S76" s="201">
        <v>0.45</v>
      </c>
      <c r="T76" s="200">
        <v>44742</v>
      </c>
      <c r="U76" s="201">
        <v>0.59</v>
      </c>
      <c r="V76" s="200">
        <v>45107</v>
      </c>
      <c r="W76" s="201">
        <v>0.57999999999999996</v>
      </c>
      <c r="X76" s="200">
        <v>45107</v>
      </c>
      <c r="Y76" s="201">
        <v>0.62903452585661535</v>
      </c>
      <c r="Z76" s="202">
        <v>45473</v>
      </c>
      <c r="AA76" s="203">
        <v>0.28999999999999998</v>
      </c>
      <c r="AB76" s="202">
        <f>Input_ForRateCalc[[#This Row],[D-NextVDO_InputDate]]</f>
        <v>45473</v>
      </c>
      <c r="AC76" s="203">
        <v>0.27</v>
      </c>
      <c r="AE76" s="210"/>
      <c r="AG76" s="131"/>
    </row>
    <row r="77" spans="3:33" outlineLevel="1" x14ac:dyDescent="0.25">
      <c r="C77" s="14" t="s">
        <v>89</v>
      </c>
      <c r="D77" s="14" t="s">
        <v>205</v>
      </c>
      <c r="E77" s="14" t="s">
        <v>184</v>
      </c>
      <c r="F77" s="14" t="s">
        <v>206</v>
      </c>
      <c r="G77" s="14" t="s">
        <v>139</v>
      </c>
      <c r="H77" s="197">
        <v>44104</v>
      </c>
      <c r="I77" s="198">
        <v>32.379354863483861</v>
      </c>
      <c r="J77" s="197">
        <v>44104</v>
      </c>
      <c r="K77" s="199">
        <v>32.379354863483861</v>
      </c>
      <c r="L77" s="197">
        <v>44104</v>
      </c>
      <c r="M77" s="198">
        <v>32.379354863483861</v>
      </c>
      <c r="N77" s="200">
        <v>44377</v>
      </c>
      <c r="O77" s="201">
        <v>49.642986107494764</v>
      </c>
      <c r="P77" s="200">
        <v>44377</v>
      </c>
      <c r="Q77" s="211">
        <v>56.939318273848677</v>
      </c>
      <c r="R77" s="200">
        <v>44742</v>
      </c>
      <c r="S77" s="201">
        <v>74.135088797592729</v>
      </c>
      <c r="T77" s="200">
        <v>44742</v>
      </c>
      <c r="U77" s="201">
        <v>73.624003962523105</v>
      </c>
      <c r="V77" s="200">
        <v>45107</v>
      </c>
      <c r="W77" s="201">
        <v>69.000004115230098</v>
      </c>
      <c r="X77" s="200">
        <v>45107</v>
      </c>
      <c r="Y77" s="201">
        <v>68.562227396360115</v>
      </c>
      <c r="Z77" s="202">
        <v>45473</v>
      </c>
      <c r="AA77" s="203">
        <v>77.150000000000006</v>
      </c>
      <c r="AB77" s="202">
        <v>45473</v>
      </c>
      <c r="AC77" s="203">
        <v>87.009314726670354</v>
      </c>
      <c r="AG77" s="131"/>
    </row>
    <row r="78" spans="3:33" outlineLevel="1" x14ac:dyDescent="0.25">
      <c r="C78" s="14" t="s">
        <v>89</v>
      </c>
      <c r="D78" s="14" t="s">
        <v>207</v>
      </c>
      <c r="E78" s="14" t="s">
        <v>184</v>
      </c>
      <c r="F78" s="14" t="s">
        <v>206</v>
      </c>
      <c r="G78" s="14" t="s">
        <v>139</v>
      </c>
      <c r="H78" s="197">
        <v>44196</v>
      </c>
      <c r="I78" s="198">
        <v>35.75</v>
      </c>
      <c r="J78" s="197">
        <v>44196</v>
      </c>
      <c r="K78" s="199">
        <v>35.75</v>
      </c>
      <c r="L78" s="197">
        <v>44196</v>
      </c>
      <c r="M78" s="198">
        <v>35.75</v>
      </c>
      <c r="N78" s="200">
        <v>44561</v>
      </c>
      <c r="O78" s="201">
        <v>34.01</v>
      </c>
      <c r="P78" s="200">
        <v>44561</v>
      </c>
      <c r="Q78" s="201">
        <v>34.44</v>
      </c>
      <c r="R78" s="200">
        <v>44742</v>
      </c>
      <c r="S78" s="201">
        <v>40.28</v>
      </c>
      <c r="T78" s="200">
        <v>44742</v>
      </c>
      <c r="U78" s="201">
        <v>35.46</v>
      </c>
      <c r="V78" s="200">
        <v>45107</v>
      </c>
      <c r="W78" s="201">
        <v>54.66</v>
      </c>
      <c r="X78" s="200">
        <v>45107</v>
      </c>
      <c r="Y78" s="201">
        <v>54.83</v>
      </c>
      <c r="Z78" s="202">
        <v>45473</v>
      </c>
      <c r="AA78" s="203">
        <v>48.36</v>
      </c>
      <c r="AB78" s="202">
        <v>45473</v>
      </c>
      <c r="AC78" s="203">
        <v>49.03</v>
      </c>
      <c r="AG78" s="131"/>
    </row>
    <row r="79" spans="3:33" outlineLevel="1" x14ac:dyDescent="0.25">
      <c r="C79" s="14" t="s">
        <v>89</v>
      </c>
      <c r="D79" s="14" t="s">
        <v>208</v>
      </c>
      <c r="E79" s="14" t="s">
        <v>184</v>
      </c>
      <c r="F79" s="14" t="s">
        <v>206</v>
      </c>
      <c r="G79" s="14" t="s">
        <v>139</v>
      </c>
      <c r="H79" s="197">
        <v>44196</v>
      </c>
      <c r="I79" s="198">
        <v>40</v>
      </c>
      <c r="J79" s="197">
        <v>44196</v>
      </c>
      <c r="K79" s="199">
        <v>40</v>
      </c>
      <c r="L79" s="197">
        <v>44196</v>
      </c>
      <c r="M79" s="198">
        <v>40</v>
      </c>
      <c r="N79" s="200">
        <v>44561</v>
      </c>
      <c r="O79" s="201">
        <v>40</v>
      </c>
      <c r="P79" s="200">
        <v>44561</v>
      </c>
      <c r="Q79" s="201">
        <v>40</v>
      </c>
      <c r="R79" s="200">
        <v>44742</v>
      </c>
      <c r="S79" s="207">
        <v>40</v>
      </c>
      <c r="T79" s="200">
        <v>44742</v>
      </c>
      <c r="U79" s="201">
        <v>40</v>
      </c>
      <c r="V79" s="200">
        <v>45107</v>
      </c>
      <c r="W79" s="201">
        <v>40</v>
      </c>
      <c r="X79" s="200">
        <v>45107</v>
      </c>
      <c r="Y79" s="201">
        <v>40</v>
      </c>
      <c r="Z79" s="202">
        <v>45473</v>
      </c>
      <c r="AA79" s="203">
        <v>40</v>
      </c>
      <c r="AB79" s="202">
        <v>45473</v>
      </c>
      <c r="AC79" s="203">
        <v>40</v>
      </c>
      <c r="AG79" s="131"/>
    </row>
    <row r="80" spans="3:33" outlineLevel="1" x14ac:dyDescent="0.25">
      <c r="C80" s="14" t="s">
        <v>89</v>
      </c>
      <c r="D80" s="14" t="s">
        <v>209</v>
      </c>
      <c r="E80" s="14" t="s">
        <v>184</v>
      </c>
      <c r="F80" s="14" t="s">
        <v>210</v>
      </c>
      <c r="G80" s="14" t="s">
        <v>139</v>
      </c>
      <c r="H80" s="197" t="s">
        <v>54</v>
      </c>
      <c r="I80" s="198">
        <v>0.17255000000000001</v>
      </c>
      <c r="J80" s="197" t="s">
        <v>54</v>
      </c>
      <c r="K80" s="212">
        <v>0.17255000000000001</v>
      </c>
      <c r="L80" s="197" t="s">
        <v>54</v>
      </c>
      <c r="M80" s="198">
        <v>0.17255000000000001</v>
      </c>
      <c r="N80" s="200" t="s">
        <v>54</v>
      </c>
      <c r="O80" s="201">
        <v>0.17255000000000001</v>
      </c>
      <c r="P80" s="200" t="s">
        <v>54</v>
      </c>
      <c r="Q80" s="205">
        <v>0.17255000000000001</v>
      </c>
      <c r="R80" s="200" t="s">
        <v>54</v>
      </c>
      <c r="S80" s="201">
        <v>0.16113</v>
      </c>
      <c r="T80" s="200" t="s">
        <v>54</v>
      </c>
      <c r="U80" s="201">
        <v>0.16113</v>
      </c>
      <c r="V80" s="200">
        <v>45107</v>
      </c>
      <c r="W80" s="201">
        <v>0.16306999999999999</v>
      </c>
      <c r="X80" s="200">
        <v>45107</v>
      </c>
      <c r="Y80" s="201">
        <v>0.16306999999999999</v>
      </c>
      <c r="Z80" s="202">
        <v>45473</v>
      </c>
      <c r="AA80" s="203">
        <v>0.15240000000000001</v>
      </c>
      <c r="AB80" s="202">
        <v>45473</v>
      </c>
      <c r="AC80" s="203">
        <v>0.15243999999999999</v>
      </c>
      <c r="AG80" s="131"/>
    </row>
    <row r="81" spans="1:33" outlineLevel="1" x14ac:dyDescent="0.25">
      <c r="C81" s="14" t="s">
        <v>89</v>
      </c>
      <c r="D81" s="14" t="s">
        <v>211</v>
      </c>
      <c r="E81" s="14" t="s">
        <v>184</v>
      </c>
      <c r="F81" s="14" t="s">
        <v>210</v>
      </c>
      <c r="G81" s="14" t="s">
        <v>139</v>
      </c>
      <c r="H81" s="197" t="s">
        <v>54</v>
      </c>
      <c r="I81" s="198">
        <v>0.1883</v>
      </c>
      <c r="J81" s="197" t="s">
        <v>54</v>
      </c>
      <c r="K81" s="198">
        <v>0.1883</v>
      </c>
      <c r="L81" s="197" t="s">
        <v>54</v>
      </c>
      <c r="M81" s="198">
        <v>0.1883</v>
      </c>
      <c r="N81" s="200" t="s">
        <v>54</v>
      </c>
      <c r="O81" s="201">
        <v>0.18540000000000001</v>
      </c>
      <c r="P81" s="200" t="s">
        <v>54</v>
      </c>
      <c r="Q81" s="201">
        <v>0.18540000000000001</v>
      </c>
      <c r="R81" s="200">
        <v>44742</v>
      </c>
      <c r="S81" s="201">
        <v>0.18640000000000001</v>
      </c>
      <c r="T81" s="200">
        <v>44742</v>
      </c>
      <c r="U81" s="201">
        <v>0.18640000000000001</v>
      </c>
      <c r="V81" s="200">
        <v>45107</v>
      </c>
      <c r="W81" s="201">
        <v>0.18959999999999999</v>
      </c>
      <c r="X81" s="200">
        <v>45107</v>
      </c>
      <c r="Y81" s="201">
        <v>0.18959999999999999</v>
      </c>
      <c r="Z81" s="202">
        <v>45473</v>
      </c>
      <c r="AA81" s="203">
        <v>0.18959999999999999</v>
      </c>
      <c r="AB81" s="202">
        <v>45473</v>
      </c>
      <c r="AC81" s="203">
        <v>0.18479999999999999</v>
      </c>
      <c r="AG81" s="131"/>
    </row>
    <row r="82" spans="1:33" outlineLevel="1" x14ac:dyDescent="0.25">
      <c r="C82" s="14" t="s">
        <v>89</v>
      </c>
      <c r="D82" s="14" t="s">
        <v>212</v>
      </c>
      <c r="E82" s="14" t="s">
        <v>184</v>
      </c>
      <c r="F82" s="14" t="s">
        <v>210</v>
      </c>
      <c r="G82" s="14" t="s">
        <v>139</v>
      </c>
      <c r="H82" s="197" t="s">
        <v>54</v>
      </c>
      <c r="I82" s="198">
        <v>-1.0655881611320278E-2</v>
      </c>
      <c r="J82" s="197" t="s">
        <v>54</v>
      </c>
      <c r="K82" s="198">
        <v>-1.0655881611320278E-2</v>
      </c>
      <c r="L82" s="197" t="s">
        <v>54</v>
      </c>
      <c r="M82" s="198">
        <v>-1.0655881611320278E-2</v>
      </c>
      <c r="N82" s="200" t="s">
        <v>54</v>
      </c>
      <c r="O82" s="201" t="s">
        <v>54</v>
      </c>
      <c r="P82" s="200" t="s">
        <v>54</v>
      </c>
      <c r="Q82" s="201" t="s">
        <v>54</v>
      </c>
      <c r="R82" s="200" t="s">
        <v>54</v>
      </c>
      <c r="S82" s="201">
        <v>0</v>
      </c>
      <c r="T82" s="200" t="s">
        <v>54</v>
      </c>
      <c r="U82" s="213">
        <v>0</v>
      </c>
      <c r="V82" s="214" t="s">
        <v>54</v>
      </c>
      <c r="W82" s="213">
        <v>0</v>
      </c>
      <c r="X82" s="214" t="s">
        <v>54</v>
      </c>
      <c r="Y82" s="201">
        <v>0</v>
      </c>
      <c r="Z82" s="202" t="s">
        <v>54</v>
      </c>
      <c r="AA82" s="203">
        <v>0</v>
      </c>
      <c r="AB82" s="202" t="s">
        <v>54</v>
      </c>
      <c r="AC82" s="203">
        <v>0</v>
      </c>
      <c r="AG82" s="131"/>
    </row>
    <row r="83" spans="1:33" outlineLevel="1" x14ac:dyDescent="0.25">
      <c r="C83" s="14" t="s">
        <v>89</v>
      </c>
      <c r="D83" s="14" t="s">
        <v>213</v>
      </c>
      <c r="E83" s="14" t="s">
        <v>184</v>
      </c>
      <c r="F83" s="14" t="s">
        <v>210</v>
      </c>
      <c r="G83" s="14" t="s">
        <v>139</v>
      </c>
      <c r="H83" s="197" t="s">
        <v>54</v>
      </c>
      <c r="I83" s="198">
        <v>0.219</v>
      </c>
      <c r="J83" s="197" t="s">
        <v>54</v>
      </c>
      <c r="K83" s="198">
        <v>0.219</v>
      </c>
      <c r="L83" s="197" t="s">
        <v>54</v>
      </c>
      <c r="M83" s="198">
        <v>0.219</v>
      </c>
      <c r="N83" s="200" t="s">
        <v>54</v>
      </c>
      <c r="O83" s="201">
        <v>0.25600000000000001</v>
      </c>
      <c r="P83" s="200" t="s">
        <v>54</v>
      </c>
      <c r="Q83" s="201">
        <v>0.25600000000000001</v>
      </c>
      <c r="R83" s="200">
        <v>44742</v>
      </c>
      <c r="S83" s="201">
        <v>0.248</v>
      </c>
      <c r="T83" s="200">
        <v>44742</v>
      </c>
      <c r="U83" s="201">
        <v>0.248</v>
      </c>
      <c r="V83" s="200">
        <v>45107</v>
      </c>
      <c r="W83" s="201">
        <v>0.1714</v>
      </c>
      <c r="X83" s="200">
        <v>45107</v>
      </c>
      <c r="Y83" s="201">
        <v>0.1714</v>
      </c>
      <c r="Z83" s="202">
        <v>45473</v>
      </c>
      <c r="AA83" s="203">
        <v>0.16389999999999999</v>
      </c>
      <c r="AB83" s="202">
        <v>45473</v>
      </c>
      <c r="AC83" s="203">
        <v>0.187</v>
      </c>
      <c r="AG83" s="131"/>
    </row>
    <row r="84" spans="1:33" outlineLevel="1" x14ac:dyDescent="0.25">
      <c r="C84" s="14" t="s">
        <v>89</v>
      </c>
      <c r="D84" s="14" t="s">
        <v>546</v>
      </c>
      <c r="E84" s="14" t="s">
        <v>184</v>
      </c>
      <c r="F84" s="14" t="s">
        <v>210</v>
      </c>
      <c r="G84" s="14" t="s">
        <v>139</v>
      </c>
      <c r="H84" s="197" t="s">
        <v>54</v>
      </c>
      <c r="I84" s="198">
        <v>6.25E-2</v>
      </c>
      <c r="J84" s="197" t="s">
        <v>54</v>
      </c>
      <c r="K84" s="198">
        <v>6.25E-2</v>
      </c>
      <c r="L84" s="197" t="s">
        <v>54</v>
      </c>
      <c r="M84" s="198">
        <v>6.25E-2</v>
      </c>
      <c r="N84" s="200" t="s">
        <v>54</v>
      </c>
      <c r="O84" s="201" t="s">
        <v>54</v>
      </c>
      <c r="P84" s="200" t="s">
        <v>54</v>
      </c>
      <c r="Q84" s="201" t="s">
        <v>54</v>
      </c>
      <c r="R84" s="200" t="s">
        <v>54</v>
      </c>
      <c r="S84" s="201">
        <v>0</v>
      </c>
      <c r="T84" s="200" t="s">
        <v>54</v>
      </c>
      <c r="U84" s="213">
        <v>0</v>
      </c>
      <c r="V84" s="214" t="s">
        <v>54</v>
      </c>
      <c r="W84" s="213">
        <v>0</v>
      </c>
      <c r="X84" s="214" t="s">
        <v>54</v>
      </c>
      <c r="Y84" s="201">
        <v>0</v>
      </c>
      <c r="Z84" s="202" t="s">
        <v>54</v>
      </c>
      <c r="AA84" s="203">
        <v>0</v>
      </c>
      <c r="AB84" s="202" t="s">
        <v>54</v>
      </c>
      <c r="AC84" s="203">
        <v>0</v>
      </c>
      <c r="AG84" s="131"/>
    </row>
    <row r="85" spans="1:33" outlineLevel="1" x14ac:dyDescent="0.25">
      <c r="C85" s="14" t="s">
        <v>147</v>
      </c>
      <c r="D85" s="14" t="s">
        <v>214</v>
      </c>
      <c r="E85" s="14" t="s">
        <v>184</v>
      </c>
      <c r="F85" s="14" t="s">
        <v>185</v>
      </c>
      <c r="G85" s="14" t="s">
        <v>139</v>
      </c>
      <c r="H85" s="197">
        <v>44012</v>
      </c>
      <c r="I85" s="198">
        <v>0.36799999999999999</v>
      </c>
      <c r="J85" s="197">
        <v>44012</v>
      </c>
      <c r="K85" s="199">
        <v>0.36799999999999999</v>
      </c>
      <c r="L85" s="197">
        <v>44012</v>
      </c>
      <c r="M85" s="198">
        <v>0.36799999999999999</v>
      </c>
      <c r="N85" s="200">
        <v>44377</v>
      </c>
      <c r="O85" s="201">
        <v>0.40001999999999999</v>
      </c>
      <c r="P85" s="200">
        <v>44377</v>
      </c>
      <c r="Q85" s="206">
        <v>0.40001999999999999</v>
      </c>
      <c r="R85" s="200">
        <v>44377</v>
      </c>
      <c r="S85" s="206">
        <v>0.40001999999999999</v>
      </c>
      <c r="T85" s="200">
        <v>44742</v>
      </c>
      <c r="U85" s="201">
        <v>0.75403769999999992</v>
      </c>
      <c r="V85" s="200">
        <v>45107</v>
      </c>
      <c r="W85" s="205">
        <v>0.78793000000000002</v>
      </c>
      <c r="X85" s="200">
        <v>45107</v>
      </c>
      <c r="Y85" s="201">
        <v>0.28255000000000002</v>
      </c>
      <c r="Z85" s="202">
        <v>45473</v>
      </c>
      <c r="AA85" s="203">
        <v>0.29530000000000001</v>
      </c>
      <c r="AB85" s="202">
        <v>45473</v>
      </c>
      <c r="AC85" s="203">
        <v>0.29525000000000001</v>
      </c>
      <c r="AG85" s="131"/>
    </row>
    <row r="86" spans="1:33" outlineLevel="1" x14ac:dyDescent="0.25">
      <c r="C86" s="14" t="s">
        <v>147</v>
      </c>
      <c r="D86" s="14" t="s">
        <v>215</v>
      </c>
      <c r="E86" s="14" t="s">
        <v>184</v>
      </c>
      <c r="F86" s="14" t="s">
        <v>185</v>
      </c>
      <c r="G86" s="14" t="s">
        <v>139</v>
      </c>
      <c r="H86" s="197" t="s">
        <v>54</v>
      </c>
      <c r="I86" s="198" t="s">
        <v>54</v>
      </c>
      <c r="J86" s="197" t="s">
        <v>54</v>
      </c>
      <c r="K86" s="199" t="s">
        <v>54</v>
      </c>
      <c r="L86" s="197" t="s">
        <v>54</v>
      </c>
      <c r="M86" s="198" t="s">
        <v>54</v>
      </c>
      <c r="N86" s="200" t="s">
        <v>54</v>
      </c>
      <c r="O86" s="201" t="s">
        <v>54</v>
      </c>
      <c r="P86" s="200" t="s">
        <v>54</v>
      </c>
      <c r="Q86" s="201" t="s">
        <v>54</v>
      </c>
      <c r="R86" s="200" t="s">
        <v>54</v>
      </c>
      <c r="S86" s="201">
        <v>0</v>
      </c>
      <c r="T86" s="200" t="s">
        <v>54</v>
      </c>
      <c r="U86" s="213">
        <v>0</v>
      </c>
      <c r="V86" s="214" t="s">
        <v>54</v>
      </c>
      <c r="W86" s="213">
        <v>0</v>
      </c>
      <c r="X86" s="214" t="s">
        <v>54</v>
      </c>
      <c r="Y86" s="201">
        <v>0</v>
      </c>
      <c r="Z86" s="202" t="s">
        <v>54</v>
      </c>
      <c r="AA86" s="203">
        <v>0</v>
      </c>
      <c r="AB86" s="202" t="s">
        <v>54</v>
      </c>
      <c r="AC86" s="203">
        <v>0</v>
      </c>
      <c r="AG86" s="131"/>
    </row>
    <row r="87" spans="1:33" outlineLevel="1" x14ac:dyDescent="0.25">
      <c r="C87" s="14" t="s">
        <v>147</v>
      </c>
      <c r="D87" s="14" t="s">
        <v>216</v>
      </c>
      <c r="E87" s="14" t="s">
        <v>184</v>
      </c>
      <c r="F87" s="14" t="s">
        <v>185</v>
      </c>
      <c r="G87" s="14" t="s">
        <v>139</v>
      </c>
      <c r="H87" s="197">
        <v>44012</v>
      </c>
      <c r="I87" s="198">
        <v>0</v>
      </c>
      <c r="J87" s="197">
        <v>44012</v>
      </c>
      <c r="K87" s="199">
        <v>0</v>
      </c>
      <c r="L87" s="197">
        <v>44012</v>
      </c>
      <c r="M87" s="198">
        <v>0</v>
      </c>
      <c r="N87" s="200">
        <v>44377</v>
      </c>
      <c r="O87" s="201">
        <v>0</v>
      </c>
      <c r="P87" s="200">
        <v>44377</v>
      </c>
      <c r="Q87" s="201">
        <v>0</v>
      </c>
      <c r="R87" s="200">
        <v>44377</v>
      </c>
      <c r="S87" s="201">
        <v>0</v>
      </c>
      <c r="T87" s="200">
        <v>44377</v>
      </c>
      <c r="U87" s="213">
        <v>0</v>
      </c>
      <c r="V87" s="214">
        <v>45107</v>
      </c>
      <c r="W87" s="213">
        <v>0</v>
      </c>
      <c r="X87" s="214">
        <v>45107</v>
      </c>
      <c r="Y87" s="201">
        <v>0</v>
      </c>
      <c r="Z87" s="202">
        <v>45473</v>
      </c>
      <c r="AA87" s="203">
        <v>0</v>
      </c>
      <c r="AB87" s="202">
        <v>45473</v>
      </c>
      <c r="AC87" s="203">
        <v>0</v>
      </c>
      <c r="AG87" s="131"/>
    </row>
    <row r="88" spans="1:33" outlineLevel="1" x14ac:dyDescent="0.25">
      <c r="C88" s="14" t="s">
        <v>147</v>
      </c>
      <c r="D88" s="14" t="s">
        <v>217</v>
      </c>
      <c r="E88" s="14" t="s">
        <v>184</v>
      </c>
      <c r="F88" s="14" t="s">
        <v>185</v>
      </c>
      <c r="G88" s="14" t="s">
        <v>139</v>
      </c>
      <c r="H88" s="197">
        <v>44196</v>
      </c>
      <c r="I88" s="198">
        <v>0.36029616847724721</v>
      </c>
      <c r="J88" s="197">
        <v>44196</v>
      </c>
      <c r="K88" s="199">
        <v>0.36029616847724721</v>
      </c>
      <c r="L88" s="197">
        <v>44196</v>
      </c>
      <c r="M88" s="198">
        <v>0.36029616847724721</v>
      </c>
      <c r="N88" s="200">
        <v>44561</v>
      </c>
      <c r="O88" s="201">
        <v>0.29909999999999998</v>
      </c>
      <c r="P88" s="200">
        <v>44561</v>
      </c>
      <c r="Q88" s="201">
        <v>0.32597970254075737</v>
      </c>
      <c r="R88" s="200">
        <v>44742</v>
      </c>
      <c r="S88" s="201">
        <v>0.34689976369582542</v>
      </c>
      <c r="T88" s="200">
        <v>44742</v>
      </c>
      <c r="U88" s="201">
        <v>0.3504897504915403</v>
      </c>
      <c r="V88" s="200">
        <v>45107</v>
      </c>
      <c r="W88" s="201">
        <v>0.41831170394204698</v>
      </c>
      <c r="X88" s="200">
        <v>45107</v>
      </c>
      <c r="Y88" s="201">
        <v>0.4837213664661002</v>
      </c>
      <c r="Z88" s="202">
        <v>45473</v>
      </c>
      <c r="AA88" s="203">
        <v>0.37009999999999998</v>
      </c>
      <c r="AB88" s="202">
        <v>45473</v>
      </c>
      <c r="AC88" s="203">
        <v>0.28120728749374796</v>
      </c>
      <c r="AG88" s="131"/>
    </row>
    <row r="89" spans="1:33" outlineLevel="1" x14ac:dyDescent="0.25">
      <c r="C89" s="14" t="s">
        <v>147</v>
      </c>
      <c r="D89" s="14" t="s">
        <v>218</v>
      </c>
      <c r="E89" s="14" t="s">
        <v>184</v>
      </c>
      <c r="F89" s="14" t="s">
        <v>185</v>
      </c>
      <c r="G89" s="14" t="s">
        <v>139</v>
      </c>
      <c r="H89" s="197" t="s">
        <v>54</v>
      </c>
      <c r="I89" s="197" t="s">
        <v>54</v>
      </c>
      <c r="J89" s="197" t="s">
        <v>54</v>
      </c>
      <c r="K89" s="197" t="s">
        <v>54</v>
      </c>
      <c r="L89" s="197" t="s">
        <v>54</v>
      </c>
      <c r="M89" s="197" t="s">
        <v>54</v>
      </c>
      <c r="N89" s="200" t="s">
        <v>54</v>
      </c>
      <c r="O89" s="200" t="s">
        <v>54</v>
      </c>
      <c r="P89" s="200">
        <v>44377</v>
      </c>
      <c r="Q89" s="205">
        <v>0.12325</v>
      </c>
      <c r="R89" s="200">
        <v>44377</v>
      </c>
      <c r="S89" s="205">
        <v>0.12325</v>
      </c>
      <c r="T89" s="200">
        <v>44742</v>
      </c>
      <c r="U89" s="201">
        <v>0.21326610021196996</v>
      </c>
      <c r="V89" s="200">
        <v>45107</v>
      </c>
      <c r="W89" s="201">
        <v>0.22286715000000001</v>
      </c>
      <c r="X89" s="200">
        <v>45107</v>
      </c>
      <c r="Y89" s="201">
        <v>9.9959999999999993E-2</v>
      </c>
      <c r="Z89" s="202">
        <v>45473</v>
      </c>
      <c r="AA89" s="203">
        <v>9.9959999999999993E-2</v>
      </c>
      <c r="AB89" s="202">
        <v>45473</v>
      </c>
      <c r="AC89" s="203">
        <v>9.8610000000000003E-2</v>
      </c>
      <c r="AG89" s="131"/>
    </row>
    <row r="90" spans="1:33" outlineLevel="1" x14ac:dyDescent="0.25">
      <c r="C90" s="14" t="s">
        <v>147</v>
      </c>
      <c r="D90" s="14" t="s">
        <v>219</v>
      </c>
      <c r="E90" s="14" t="s">
        <v>184</v>
      </c>
      <c r="F90" s="14" t="s">
        <v>185</v>
      </c>
      <c r="G90" s="14" t="s">
        <v>139</v>
      </c>
      <c r="H90" s="197" t="s">
        <v>54</v>
      </c>
      <c r="I90" s="197" t="s">
        <v>54</v>
      </c>
      <c r="J90" s="197" t="s">
        <v>54</v>
      </c>
      <c r="K90" s="197" t="s">
        <v>54</v>
      </c>
      <c r="L90" s="197" t="s">
        <v>54</v>
      </c>
      <c r="M90" s="197" t="s">
        <v>54</v>
      </c>
      <c r="N90" s="200" t="s">
        <v>54</v>
      </c>
      <c r="O90" s="200" t="s">
        <v>54</v>
      </c>
      <c r="P90" s="200">
        <v>44377</v>
      </c>
      <c r="Q90" s="205">
        <v>2.623E-2</v>
      </c>
      <c r="R90" s="200">
        <v>44377</v>
      </c>
      <c r="S90" s="205">
        <v>2.623E-2</v>
      </c>
      <c r="T90" s="200">
        <v>44742</v>
      </c>
      <c r="U90" s="201">
        <v>2.0535522828283654E-2</v>
      </c>
      <c r="V90" s="200">
        <v>45107</v>
      </c>
      <c r="W90" s="201">
        <v>2.4891900000000002E-2</v>
      </c>
      <c r="X90" s="200">
        <v>45107</v>
      </c>
      <c r="Y90" s="201">
        <v>1.184E-2</v>
      </c>
      <c r="Z90" s="202">
        <v>45473</v>
      </c>
      <c r="AA90" s="203">
        <v>1.184E-2</v>
      </c>
      <c r="AB90" s="202">
        <v>45473</v>
      </c>
      <c r="AC90" s="203">
        <v>0.11022999999999999</v>
      </c>
      <c r="AG90" s="131"/>
    </row>
    <row r="91" spans="1:33" outlineLevel="1" x14ac:dyDescent="0.25">
      <c r="A91" t="s">
        <v>220</v>
      </c>
      <c r="C91" s="14" t="s">
        <v>147</v>
      </c>
      <c r="D91" s="39" t="s">
        <v>221</v>
      </c>
      <c r="E91" s="14" t="s">
        <v>184</v>
      </c>
      <c r="F91" s="14" t="s">
        <v>185</v>
      </c>
      <c r="G91" s="14" t="s">
        <v>139</v>
      </c>
      <c r="H91" s="197"/>
      <c r="I91" s="197"/>
      <c r="J91" s="197"/>
      <c r="K91" s="197"/>
      <c r="L91" s="197"/>
      <c r="M91" s="197"/>
      <c r="N91" s="200"/>
      <c r="O91" s="200"/>
      <c r="P91" s="200"/>
      <c r="Q91" s="205"/>
      <c r="R91" s="200"/>
      <c r="S91" s="205"/>
      <c r="T91" s="200"/>
      <c r="U91" s="201"/>
      <c r="V91" s="200">
        <v>45107</v>
      </c>
      <c r="W91" s="201">
        <v>0.702952628440218</v>
      </c>
      <c r="X91" s="200">
        <v>45107</v>
      </c>
      <c r="Y91" s="201">
        <v>0.67748437528737049</v>
      </c>
      <c r="Z91" s="202">
        <v>45473</v>
      </c>
      <c r="AA91" s="203">
        <v>3.2720000000000002E-3</v>
      </c>
      <c r="AB91" s="202">
        <v>45473</v>
      </c>
      <c r="AC91" s="203">
        <v>3.2721571877481958E-3</v>
      </c>
      <c r="AG91" s="131"/>
    </row>
    <row r="92" spans="1:33" outlineLevel="1" x14ac:dyDescent="0.25">
      <c r="A92" t="s">
        <v>220</v>
      </c>
      <c r="C92" s="14" t="s">
        <v>147</v>
      </c>
      <c r="D92" s="39" t="s">
        <v>222</v>
      </c>
      <c r="E92" s="14" t="s">
        <v>184</v>
      </c>
      <c r="F92" s="14" t="s">
        <v>185</v>
      </c>
      <c r="G92" s="14" t="s">
        <v>139</v>
      </c>
      <c r="H92" s="197"/>
      <c r="I92" s="197"/>
      <c r="J92" s="197"/>
      <c r="K92" s="197"/>
      <c r="L92" s="197"/>
      <c r="M92" s="197"/>
      <c r="N92" s="200"/>
      <c r="O92" s="200"/>
      <c r="P92" s="200"/>
      <c r="Q92" s="205"/>
      <c r="R92" s="200"/>
      <c r="S92" s="205"/>
      <c r="T92" s="200"/>
      <c r="U92" s="201"/>
      <c r="V92" s="200">
        <v>45107</v>
      </c>
      <c r="W92" s="201">
        <v>9.3802817381832604E-2</v>
      </c>
      <c r="X92" s="200">
        <v>45107</v>
      </c>
      <c r="Y92" s="201">
        <v>0.12361749867236572</v>
      </c>
      <c r="Z92" s="202">
        <v>45473</v>
      </c>
      <c r="AA92" s="203">
        <v>0</v>
      </c>
      <c r="AB92" s="202">
        <v>45473</v>
      </c>
      <c r="AC92" s="203">
        <v>0</v>
      </c>
      <c r="AG92" s="131"/>
    </row>
    <row r="93" spans="1:33" outlineLevel="1" x14ac:dyDescent="0.25">
      <c r="A93" t="s">
        <v>220</v>
      </c>
      <c r="C93" s="14" t="s">
        <v>147</v>
      </c>
      <c r="D93" s="39" t="s">
        <v>223</v>
      </c>
      <c r="E93" s="14" t="s">
        <v>184</v>
      </c>
      <c r="F93" s="14" t="s">
        <v>185</v>
      </c>
      <c r="G93" s="14" t="s">
        <v>139</v>
      </c>
      <c r="H93" s="197"/>
      <c r="I93" s="197"/>
      <c r="J93" s="197"/>
      <c r="K93" s="197"/>
      <c r="L93" s="197"/>
      <c r="M93" s="197"/>
      <c r="N93" s="200"/>
      <c r="O93" s="200"/>
      <c r="P93" s="200"/>
      <c r="Q93" s="205"/>
      <c r="R93" s="200"/>
      <c r="S93" s="205"/>
      <c r="T93" s="200"/>
      <c r="U93" s="201"/>
      <c r="V93" s="200">
        <v>45107</v>
      </c>
      <c r="W93" s="201">
        <v>0</v>
      </c>
      <c r="X93" s="200">
        <v>45107</v>
      </c>
      <c r="Y93" s="201">
        <v>0</v>
      </c>
      <c r="Z93" s="202">
        <v>45473</v>
      </c>
      <c r="AA93" s="203">
        <v>0</v>
      </c>
      <c r="AB93" s="202">
        <v>45473</v>
      </c>
      <c r="AC93" s="203">
        <v>0</v>
      </c>
      <c r="AG93" s="131"/>
    </row>
    <row r="94" spans="1:33" outlineLevel="1" x14ac:dyDescent="0.25">
      <c r="C94" s="14" t="s">
        <v>87</v>
      </c>
      <c r="D94" s="14" t="s">
        <v>224</v>
      </c>
      <c r="E94" s="14" t="s">
        <v>184</v>
      </c>
      <c r="F94" s="14" t="s">
        <v>225</v>
      </c>
      <c r="G94" s="14" t="s">
        <v>72</v>
      </c>
      <c r="H94" s="197">
        <v>44196</v>
      </c>
      <c r="I94" s="198">
        <v>10.535</v>
      </c>
      <c r="J94" s="200">
        <v>44377</v>
      </c>
      <c r="K94" s="201">
        <v>11.4503</v>
      </c>
      <c r="L94" s="200">
        <v>44377</v>
      </c>
      <c r="M94" s="201">
        <v>11.4503</v>
      </c>
      <c r="N94" s="200">
        <v>44377</v>
      </c>
      <c r="O94" s="201">
        <v>11.4503</v>
      </c>
      <c r="P94" s="200">
        <v>44377</v>
      </c>
      <c r="Q94" s="201">
        <v>11.4503</v>
      </c>
      <c r="R94" s="200">
        <v>44377</v>
      </c>
      <c r="S94" s="201">
        <v>11.4503</v>
      </c>
      <c r="T94" s="200">
        <v>44377</v>
      </c>
      <c r="U94" s="201">
        <v>12.7212</v>
      </c>
      <c r="V94" s="200">
        <v>44742</v>
      </c>
      <c r="W94" s="201">
        <v>13.601000000000001</v>
      </c>
      <c r="X94" s="200">
        <v>45107</v>
      </c>
      <c r="Y94" s="201">
        <v>13.09807741874299</v>
      </c>
      <c r="Z94" s="202">
        <v>45473</v>
      </c>
      <c r="AA94" s="203">
        <v>13.469799999999999</v>
      </c>
      <c r="AB94" s="202">
        <v>45473</v>
      </c>
      <c r="AC94" s="203">
        <v>13.647160516883984</v>
      </c>
      <c r="AE94" s="131"/>
      <c r="AG94" s="131"/>
    </row>
    <row r="95" spans="1:33" outlineLevel="1" x14ac:dyDescent="0.25">
      <c r="C95" s="14" t="s">
        <v>87</v>
      </c>
      <c r="D95" s="14" t="s">
        <v>226</v>
      </c>
      <c r="E95" s="14" t="s">
        <v>184</v>
      </c>
      <c r="F95" s="14" t="s">
        <v>225</v>
      </c>
      <c r="G95" s="14" t="s">
        <v>72</v>
      </c>
      <c r="H95" s="197">
        <v>44196</v>
      </c>
      <c r="I95" s="198">
        <v>12.073700000000001</v>
      </c>
      <c r="J95" s="200">
        <v>44377</v>
      </c>
      <c r="K95" s="201">
        <v>12.838200000000001</v>
      </c>
      <c r="L95" s="200">
        <v>44377</v>
      </c>
      <c r="M95" s="201">
        <v>12.838200000000001</v>
      </c>
      <c r="N95" s="200">
        <v>44377</v>
      </c>
      <c r="O95" s="201">
        <v>12.838200000000001</v>
      </c>
      <c r="P95" s="200">
        <v>44377</v>
      </c>
      <c r="Q95" s="201">
        <v>12.838200000000001</v>
      </c>
      <c r="R95" s="200">
        <v>44377</v>
      </c>
      <c r="S95" s="201">
        <v>12.838200000000001</v>
      </c>
      <c r="T95" s="200">
        <v>44377</v>
      </c>
      <c r="U95" s="201">
        <v>14.2392</v>
      </c>
      <c r="V95" s="200">
        <v>44742</v>
      </c>
      <c r="W95" s="201">
        <v>14.676500000000001</v>
      </c>
      <c r="X95" s="200">
        <v>45107</v>
      </c>
      <c r="Y95" s="201">
        <v>13.989069468735993</v>
      </c>
      <c r="Z95" s="202">
        <v>45473</v>
      </c>
      <c r="AA95" s="203">
        <v>13.7372</v>
      </c>
      <c r="AB95" s="202">
        <v>45473</v>
      </c>
      <c r="AC95" s="203">
        <v>14.341531316444666</v>
      </c>
      <c r="AE95" s="131"/>
      <c r="AG95" s="131"/>
    </row>
    <row r="96" spans="1:33" outlineLevel="1" x14ac:dyDescent="0.25">
      <c r="C96" s="14" t="s">
        <v>87</v>
      </c>
      <c r="D96" s="14" t="s">
        <v>227</v>
      </c>
      <c r="E96" s="14" t="s">
        <v>184</v>
      </c>
      <c r="F96" s="14" t="s">
        <v>225</v>
      </c>
      <c r="G96" s="14" t="s">
        <v>72</v>
      </c>
      <c r="H96" s="197">
        <v>44196</v>
      </c>
      <c r="I96" s="198">
        <v>6.47</v>
      </c>
      <c r="J96" s="200">
        <v>44377</v>
      </c>
      <c r="K96" s="201">
        <v>8.0500000000000007</v>
      </c>
      <c r="L96" s="200">
        <v>44377</v>
      </c>
      <c r="M96" s="201">
        <v>8.0500000000000007</v>
      </c>
      <c r="N96" s="200">
        <v>44377</v>
      </c>
      <c r="O96" s="201">
        <v>8.0500000000000007</v>
      </c>
      <c r="P96" s="200">
        <v>44377</v>
      </c>
      <c r="Q96" s="201">
        <v>8.0500000000000007</v>
      </c>
      <c r="R96" s="200">
        <v>44377</v>
      </c>
      <c r="S96" s="201">
        <v>8.0500000000000007</v>
      </c>
      <c r="T96" s="200">
        <v>44377</v>
      </c>
      <c r="U96" s="201">
        <v>7.4</v>
      </c>
      <c r="V96" s="200">
        <v>44742</v>
      </c>
      <c r="W96" s="201">
        <v>8.4431999999999992</v>
      </c>
      <c r="X96" s="200">
        <v>45107</v>
      </c>
      <c r="Y96" s="201">
        <v>7.37</v>
      </c>
      <c r="Z96" s="202">
        <v>45473</v>
      </c>
      <c r="AA96" s="203">
        <v>8.0299999999999994</v>
      </c>
      <c r="AB96" s="202">
        <v>45473</v>
      </c>
      <c r="AC96" s="203">
        <v>8.1</v>
      </c>
      <c r="AE96" s="131"/>
      <c r="AG96" s="131"/>
    </row>
    <row r="97" spans="3:33" outlineLevel="1" x14ac:dyDescent="0.25">
      <c r="C97" s="14" t="s">
        <v>87</v>
      </c>
      <c r="D97" s="14" t="s">
        <v>228</v>
      </c>
      <c r="E97" s="14" t="s">
        <v>184</v>
      </c>
      <c r="F97" s="14" t="s">
        <v>225</v>
      </c>
      <c r="G97" s="14" t="s">
        <v>72</v>
      </c>
      <c r="H97" s="197">
        <v>44196</v>
      </c>
      <c r="I97" s="198">
        <v>7.4139999999999997</v>
      </c>
      <c r="J97" s="200">
        <v>44377</v>
      </c>
      <c r="K97" s="201">
        <v>8.67</v>
      </c>
      <c r="L97" s="200">
        <v>44377</v>
      </c>
      <c r="M97" s="201">
        <v>8.67</v>
      </c>
      <c r="N97" s="200">
        <v>44377</v>
      </c>
      <c r="O97" s="201">
        <v>8.67</v>
      </c>
      <c r="P97" s="200">
        <v>44377</v>
      </c>
      <c r="Q97" s="201">
        <v>8.67</v>
      </c>
      <c r="R97" s="200">
        <v>44377</v>
      </c>
      <c r="S97" s="201">
        <v>8.67</v>
      </c>
      <c r="T97" s="200">
        <v>44377</v>
      </c>
      <c r="U97" s="201">
        <v>8.2509999999999994</v>
      </c>
      <c r="V97" s="200">
        <v>44742</v>
      </c>
      <c r="W97" s="201">
        <v>8.8778000000000006</v>
      </c>
      <c r="X97" s="200">
        <v>45107</v>
      </c>
      <c r="Y97" s="201">
        <v>8.9770000000000003</v>
      </c>
      <c r="Z97" s="202">
        <v>45473</v>
      </c>
      <c r="AA97" s="203">
        <v>10.189499020000001</v>
      </c>
      <c r="AB97" s="202">
        <v>45473</v>
      </c>
      <c r="AC97" s="203">
        <v>10.345000000000001</v>
      </c>
      <c r="AE97" s="131"/>
      <c r="AG97" s="131"/>
    </row>
    <row r="98" spans="3:33" outlineLevel="1" x14ac:dyDescent="0.25">
      <c r="C98" s="14" t="s">
        <v>87</v>
      </c>
      <c r="D98" s="14" t="s">
        <v>229</v>
      </c>
      <c r="E98" s="14" t="s">
        <v>184</v>
      </c>
      <c r="F98" s="14" t="s">
        <v>225</v>
      </c>
      <c r="G98" s="14" t="s">
        <v>72</v>
      </c>
      <c r="H98" s="197">
        <v>44196</v>
      </c>
      <c r="I98" s="198">
        <v>6.74</v>
      </c>
      <c r="J98" s="200">
        <v>44377</v>
      </c>
      <c r="K98" s="201">
        <v>8.15</v>
      </c>
      <c r="L98" s="200">
        <v>44377</v>
      </c>
      <c r="M98" s="201">
        <v>8.15</v>
      </c>
      <c r="N98" s="200">
        <v>44377</v>
      </c>
      <c r="O98" s="201">
        <v>8.15</v>
      </c>
      <c r="P98" s="200">
        <v>44377</v>
      </c>
      <c r="Q98" s="201">
        <v>8.15</v>
      </c>
      <c r="R98" s="200">
        <v>44377</v>
      </c>
      <c r="S98" s="201">
        <v>8.15</v>
      </c>
      <c r="T98" s="200">
        <v>44377</v>
      </c>
      <c r="U98" s="201">
        <v>8.15</v>
      </c>
      <c r="V98" s="200">
        <v>44742</v>
      </c>
      <c r="W98" s="201">
        <v>9.3705999999999996</v>
      </c>
      <c r="X98" s="200">
        <v>45107</v>
      </c>
      <c r="Y98" s="201">
        <v>8.77</v>
      </c>
      <c r="Z98" s="202">
        <v>45473</v>
      </c>
      <c r="AA98" s="203">
        <v>9.4700000000000006</v>
      </c>
      <c r="AB98" s="202">
        <v>45473</v>
      </c>
      <c r="AC98" s="203">
        <v>9.67</v>
      </c>
      <c r="AE98" s="131"/>
      <c r="AG98" s="131"/>
    </row>
    <row r="99" spans="3:33" outlineLevel="1" x14ac:dyDescent="0.25">
      <c r="C99" s="14" t="s">
        <v>87</v>
      </c>
      <c r="D99" s="14" t="s">
        <v>230</v>
      </c>
      <c r="E99" s="14" t="s">
        <v>184</v>
      </c>
      <c r="F99" s="14" t="s">
        <v>225</v>
      </c>
      <c r="G99" s="14" t="s">
        <v>72</v>
      </c>
      <c r="H99" s="197">
        <v>44196</v>
      </c>
      <c r="I99" s="198">
        <v>7.67</v>
      </c>
      <c r="J99" s="200">
        <v>44377</v>
      </c>
      <c r="K99" s="201">
        <v>7.99</v>
      </c>
      <c r="L99" s="200">
        <v>44377</v>
      </c>
      <c r="M99" s="201">
        <v>7.99</v>
      </c>
      <c r="N99" s="200">
        <v>44377</v>
      </c>
      <c r="O99" s="201">
        <v>7.99</v>
      </c>
      <c r="P99" s="200">
        <v>44377</v>
      </c>
      <c r="Q99" s="201">
        <v>7.99</v>
      </c>
      <c r="R99" s="200">
        <v>44377</v>
      </c>
      <c r="S99" s="201">
        <v>7.99</v>
      </c>
      <c r="T99" s="200">
        <v>44377</v>
      </c>
      <c r="U99" s="201">
        <v>8.3000000000000007</v>
      </c>
      <c r="V99" s="200">
        <v>44742</v>
      </c>
      <c r="W99" s="201">
        <v>8.8529999999999998</v>
      </c>
      <c r="X99" s="200">
        <v>45107</v>
      </c>
      <c r="Y99" s="201">
        <v>8.5400000000000009</v>
      </c>
      <c r="Z99" s="202">
        <v>45473</v>
      </c>
      <c r="AA99" s="203">
        <v>8.9700000000000006</v>
      </c>
      <c r="AB99" s="202">
        <v>45473</v>
      </c>
      <c r="AC99" s="203">
        <v>9.25</v>
      </c>
      <c r="AE99" s="131"/>
      <c r="AG99" s="131"/>
    </row>
    <row r="100" spans="3:33" outlineLevel="1" x14ac:dyDescent="0.25">
      <c r="C100" s="14" t="s">
        <v>87</v>
      </c>
      <c r="D100" s="14" t="s">
        <v>231</v>
      </c>
      <c r="E100" s="14" t="s">
        <v>184</v>
      </c>
      <c r="F100" s="14" t="s">
        <v>225</v>
      </c>
      <c r="G100" s="14" t="s">
        <v>73</v>
      </c>
      <c r="H100" s="197">
        <v>44196</v>
      </c>
      <c r="I100" s="198">
        <v>13.9602</v>
      </c>
      <c r="J100" s="200">
        <v>44377</v>
      </c>
      <c r="K100" s="201">
        <v>15.538600000000001</v>
      </c>
      <c r="L100" s="200">
        <v>44377</v>
      </c>
      <c r="M100" s="201">
        <v>15.538600000000001</v>
      </c>
      <c r="N100" s="200">
        <v>44377</v>
      </c>
      <c r="O100" s="201">
        <v>15.538600000000001</v>
      </c>
      <c r="P100" s="200">
        <v>44377</v>
      </c>
      <c r="Q100" s="201">
        <v>15.538600000000001</v>
      </c>
      <c r="R100" s="200">
        <v>44377</v>
      </c>
      <c r="S100" s="201">
        <v>15.538600000000001</v>
      </c>
      <c r="T100" s="200">
        <v>44377</v>
      </c>
      <c r="U100" s="201">
        <v>17.498000000000001</v>
      </c>
      <c r="V100" s="200">
        <v>44742</v>
      </c>
      <c r="W100" s="201">
        <v>19.335999999999999</v>
      </c>
      <c r="X100" s="200">
        <v>45107</v>
      </c>
      <c r="Y100" s="201">
        <v>18.668411930490375</v>
      </c>
      <c r="Z100" s="202">
        <v>45473</v>
      </c>
      <c r="AA100" s="203">
        <v>19.387499999999999</v>
      </c>
      <c r="AB100" s="202">
        <v>45473</v>
      </c>
      <c r="AC100" s="203">
        <v>19.308159653482594</v>
      </c>
      <c r="AE100" s="131"/>
      <c r="AG100" s="131"/>
    </row>
    <row r="101" spans="3:33" outlineLevel="1" x14ac:dyDescent="0.25">
      <c r="C101" s="14" t="s">
        <v>87</v>
      </c>
      <c r="D101" s="14" t="s">
        <v>232</v>
      </c>
      <c r="E101" s="14" t="s">
        <v>184</v>
      </c>
      <c r="F101" s="14" t="s">
        <v>225</v>
      </c>
      <c r="G101" s="14" t="s">
        <v>73</v>
      </c>
      <c r="H101" s="197">
        <v>44196</v>
      </c>
      <c r="I101" s="198">
        <v>16.934899999999999</v>
      </c>
      <c r="J101" s="200">
        <v>44377</v>
      </c>
      <c r="K101" s="201">
        <v>18.2667</v>
      </c>
      <c r="L101" s="200">
        <v>44377</v>
      </c>
      <c r="M101" s="201">
        <v>18.2667</v>
      </c>
      <c r="N101" s="200">
        <v>44377</v>
      </c>
      <c r="O101" s="201">
        <v>18.2667</v>
      </c>
      <c r="P101" s="200">
        <v>44377</v>
      </c>
      <c r="Q101" s="201">
        <v>18.2667</v>
      </c>
      <c r="R101" s="200">
        <v>44377</v>
      </c>
      <c r="S101" s="201">
        <v>18.2667</v>
      </c>
      <c r="T101" s="200">
        <v>44377</v>
      </c>
      <c r="U101" s="201">
        <v>20.5366</v>
      </c>
      <c r="V101" s="200">
        <v>44742</v>
      </c>
      <c r="W101" s="201">
        <v>21.572399999999998</v>
      </c>
      <c r="X101" s="200">
        <v>45107</v>
      </c>
      <c r="Y101" s="201">
        <v>20.620858559880922</v>
      </c>
      <c r="Z101" s="202">
        <v>45473</v>
      </c>
      <c r="AA101" s="203">
        <v>20.384699999999999</v>
      </c>
      <c r="AB101" s="202">
        <v>45473</v>
      </c>
      <c r="AC101" s="203">
        <v>20.237137578661478</v>
      </c>
      <c r="AE101" s="131"/>
      <c r="AG101" s="131"/>
    </row>
    <row r="102" spans="3:33" outlineLevel="1" x14ac:dyDescent="0.25">
      <c r="C102" s="14" t="s">
        <v>87</v>
      </c>
      <c r="D102" s="14" t="s">
        <v>233</v>
      </c>
      <c r="E102" s="14" t="s">
        <v>184</v>
      </c>
      <c r="F102" s="14" t="s">
        <v>225</v>
      </c>
      <c r="G102" s="14" t="s">
        <v>73</v>
      </c>
      <c r="H102" s="197">
        <v>44196</v>
      </c>
      <c r="I102" s="198">
        <v>7.54</v>
      </c>
      <c r="J102" s="200">
        <v>44377</v>
      </c>
      <c r="K102" s="201">
        <v>8.2100000000000009</v>
      </c>
      <c r="L102" s="200">
        <v>44377</v>
      </c>
      <c r="M102" s="201">
        <v>8.2100000000000009</v>
      </c>
      <c r="N102" s="200">
        <v>44377</v>
      </c>
      <c r="O102" s="201">
        <v>8.2100000000000009</v>
      </c>
      <c r="P102" s="200">
        <v>44377</v>
      </c>
      <c r="Q102" s="201">
        <v>8.2100000000000009</v>
      </c>
      <c r="R102" s="200">
        <v>44377</v>
      </c>
      <c r="S102" s="201">
        <v>8.2100000000000009</v>
      </c>
      <c r="T102" s="200">
        <v>44377</v>
      </c>
      <c r="U102" s="201">
        <v>8.0299999999999994</v>
      </c>
      <c r="V102" s="200">
        <v>44742</v>
      </c>
      <c r="W102" s="201">
        <v>9.1548999999999996</v>
      </c>
      <c r="X102" s="200">
        <v>45107</v>
      </c>
      <c r="Y102" s="201">
        <v>8.15</v>
      </c>
      <c r="Z102" s="202">
        <v>45473</v>
      </c>
      <c r="AA102" s="203">
        <v>8.8800000000000008</v>
      </c>
      <c r="AB102" s="202">
        <v>45473</v>
      </c>
      <c r="AC102" s="203">
        <v>8.9500000000000011</v>
      </c>
      <c r="AE102" s="131"/>
      <c r="AG102" s="131"/>
    </row>
    <row r="103" spans="3:33" outlineLevel="1" x14ac:dyDescent="0.25">
      <c r="C103" s="14" t="s">
        <v>87</v>
      </c>
      <c r="D103" s="14" t="s">
        <v>234</v>
      </c>
      <c r="E103" s="14" t="s">
        <v>184</v>
      </c>
      <c r="F103" s="14" t="s">
        <v>225</v>
      </c>
      <c r="G103" s="14" t="s">
        <v>73</v>
      </c>
      <c r="H103" s="197">
        <v>44196</v>
      </c>
      <c r="I103" s="198">
        <v>9.3260000000000005</v>
      </c>
      <c r="J103" s="200">
        <v>44377</v>
      </c>
      <c r="K103" s="201">
        <v>10.973000000000001</v>
      </c>
      <c r="L103" s="200">
        <v>44377</v>
      </c>
      <c r="M103" s="201">
        <v>10.973000000000001</v>
      </c>
      <c r="N103" s="200">
        <v>44377</v>
      </c>
      <c r="O103" s="201">
        <v>10.973000000000001</v>
      </c>
      <c r="P103" s="200">
        <v>44377</v>
      </c>
      <c r="Q103" s="201">
        <v>10.973000000000001</v>
      </c>
      <c r="R103" s="200">
        <v>44377</v>
      </c>
      <c r="S103" s="201">
        <v>10.973000000000001</v>
      </c>
      <c r="T103" s="200">
        <v>44377</v>
      </c>
      <c r="U103" s="201">
        <v>10.84</v>
      </c>
      <c r="V103" s="200">
        <v>44742</v>
      </c>
      <c r="W103" s="201">
        <v>11.888500000000001</v>
      </c>
      <c r="X103" s="200">
        <v>45107</v>
      </c>
      <c r="Y103" s="201">
        <v>11.834</v>
      </c>
      <c r="Z103" s="202">
        <v>45473</v>
      </c>
      <c r="AA103" s="203">
        <v>13.40533737</v>
      </c>
      <c r="AB103" s="202">
        <v>45473</v>
      </c>
      <c r="AC103" s="203">
        <v>13.955</v>
      </c>
      <c r="AE103" s="131"/>
      <c r="AG103" s="131"/>
    </row>
    <row r="104" spans="3:33" outlineLevel="1" x14ac:dyDescent="0.25">
      <c r="C104" s="14" t="s">
        <v>87</v>
      </c>
      <c r="D104" s="14" t="s">
        <v>235</v>
      </c>
      <c r="E104" s="14" t="s">
        <v>184</v>
      </c>
      <c r="F104" s="14" t="s">
        <v>225</v>
      </c>
      <c r="G104" s="14" t="s">
        <v>73</v>
      </c>
      <c r="H104" s="197">
        <v>44196</v>
      </c>
      <c r="I104" s="198">
        <v>8.44</v>
      </c>
      <c r="J104" s="200">
        <v>44377</v>
      </c>
      <c r="K104" s="201">
        <v>9.2899999999999991</v>
      </c>
      <c r="L104" s="200">
        <v>44377</v>
      </c>
      <c r="M104" s="201">
        <v>9.2899999999999991</v>
      </c>
      <c r="N104" s="200">
        <v>44377</v>
      </c>
      <c r="O104" s="201">
        <v>9.2899999999999991</v>
      </c>
      <c r="P104" s="200">
        <v>44377</v>
      </c>
      <c r="Q104" s="201">
        <v>9.2899999999999991</v>
      </c>
      <c r="R104" s="200">
        <v>44377</v>
      </c>
      <c r="S104" s="201">
        <v>9.2899999999999991</v>
      </c>
      <c r="T104" s="200">
        <v>44377</v>
      </c>
      <c r="U104" s="201">
        <v>9.2899999999999991</v>
      </c>
      <c r="V104" s="200">
        <v>44742</v>
      </c>
      <c r="W104" s="201">
        <v>10.6861</v>
      </c>
      <c r="X104" s="200">
        <v>45107</v>
      </c>
      <c r="Y104" s="201">
        <v>9.81</v>
      </c>
      <c r="Z104" s="202">
        <v>45473</v>
      </c>
      <c r="AA104" s="203">
        <v>10.59</v>
      </c>
      <c r="AB104" s="202">
        <v>45473</v>
      </c>
      <c r="AC104" s="203">
        <v>10.62</v>
      </c>
      <c r="AE104" s="131"/>
      <c r="AG104" s="131"/>
    </row>
    <row r="105" spans="3:33" outlineLevel="1" x14ac:dyDescent="0.25">
      <c r="C105" s="14" t="s">
        <v>87</v>
      </c>
      <c r="D105" s="14" t="s">
        <v>236</v>
      </c>
      <c r="E105" s="14" t="s">
        <v>184</v>
      </c>
      <c r="F105" s="14" t="s">
        <v>225</v>
      </c>
      <c r="G105" s="14" t="s">
        <v>73</v>
      </c>
      <c r="H105" s="197">
        <v>44196</v>
      </c>
      <c r="I105" s="198">
        <v>9.27</v>
      </c>
      <c r="J105" s="200">
        <v>44377</v>
      </c>
      <c r="K105" s="201">
        <v>8.7899999999999991</v>
      </c>
      <c r="L105" s="200">
        <v>44377</v>
      </c>
      <c r="M105" s="201">
        <v>8.7899999999999991</v>
      </c>
      <c r="N105" s="200">
        <v>44377</v>
      </c>
      <c r="O105" s="201">
        <v>8.7899999999999991</v>
      </c>
      <c r="P105" s="200">
        <v>44377</v>
      </c>
      <c r="Q105" s="201">
        <v>8.7899999999999991</v>
      </c>
      <c r="R105" s="200">
        <v>44377</v>
      </c>
      <c r="S105" s="201">
        <v>8.7899999999999991</v>
      </c>
      <c r="T105" s="200">
        <v>44377</v>
      </c>
      <c r="U105" s="201">
        <v>9.14</v>
      </c>
      <c r="V105" s="200">
        <v>44742</v>
      </c>
      <c r="W105" s="201">
        <v>9.7479999999999993</v>
      </c>
      <c r="X105" s="200">
        <v>45107</v>
      </c>
      <c r="Y105" s="201">
        <v>9.39</v>
      </c>
      <c r="Z105" s="202">
        <v>45473</v>
      </c>
      <c r="AA105" s="203">
        <v>9.86</v>
      </c>
      <c r="AB105" s="202">
        <v>45473</v>
      </c>
      <c r="AC105" s="203">
        <v>10.29</v>
      </c>
      <c r="AE105" s="131"/>
      <c r="AG105" s="131"/>
    </row>
    <row r="106" spans="3:33" outlineLevel="1" x14ac:dyDescent="0.25">
      <c r="C106" s="14" t="s">
        <v>87</v>
      </c>
      <c r="D106" s="14" t="s">
        <v>237</v>
      </c>
      <c r="E106" s="14" t="s">
        <v>184</v>
      </c>
      <c r="F106" s="14" t="s">
        <v>225</v>
      </c>
      <c r="G106" s="14" t="s">
        <v>72</v>
      </c>
      <c r="H106" s="197" t="s">
        <v>54</v>
      </c>
      <c r="I106" s="198" t="s">
        <v>54</v>
      </c>
      <c r="J106" s="200">
        <v>44377</v>
      </c>
      <c r="K106" s="201">
        <v>20.853200000000001</v>
      </c>
      <c r="L106" s="200">
        <v>44377</v>
      </c>
      <c r="M106" s="201">
        <v>20.853200000000001</v>
      </c>
      <c r="N106" s="200">
        <v>44377</v>
      </c>
      <c r="O106" s="201">
        <v>20.853200000000001</v>
      </c>
      <c r="P106" s="200">
        <v>44377</v>
      </c>
      <c r="Q106" s="201">
        <v>20.853200000000001</v>
      </c>
      <c r="R106" s="200">
        <v>44377</v>
      </c>
      <c r="S106" s="201">
        <v>20.853200000000001</v>
      </c>
      <c r="T106" s="200">
        <v>44377</v>
      </c>
      <c r="U106" s="201">
        <v>22.9085</v>
      </c>
      <c r="V106" s="200">
        <v>44742</v>
      </c>
      <c r="W106" s="201">
        <v>25.066600000000001</v>
      </c>
      <c r="X106" s="200">
        <v>45107</v>
      </c>
      <c r="Y106" s="201">
        <v>22.405517942110716</v>
      </c>
      <c r="Z106" s="202">
        <v>45473</v>
      </c>
      <c r="AA106" s="203">
        <v>23.836541229470225</v>
      </c>
      <c r="AB106" s="202">
        <v>45473</v>
      </c>
      <c r="AC106" s="203">
        <v>23.801248423131881</v>
      </c>
      <c r="AE106" s="131"/>
      <c r="AG106" s="131"/>
    </row>
    <row r="107" spans="3:33" outlineLevel="1" x14ac:dyDescent="0.25">
      <c r="C107" s="14" t="s">
        <v>87</v>
      </c>
      <c r="D107" s="14" t="s">
        <v>238</v>
      </c>
      <c r="E107" s="14" t="s">
        <v>184</v>
      </c>
      <c r="F107" s="14" t="s">
        <v>225</v>
      </c>
      <c r="G107" s="14" t="s">
        <v>72</v>
      </c>
      <c r="H107" s="197" t="s">
        <v>54</v>
      </c>
      <c r="I107" s="198" t="s">
        <v>54</v>
      </c>
      <c r="J107" s="200">
        <v>44377</v>
      </c>
      <c r="K107" s="201">
        <v>15.94</v>
      </c>
      <c r="L107" s="200">
        <v>44377</v>
      </c>
      <c r="M107" s="201">
        <v>15.94</v>
      </c>
      <c r="N107" s="200">
        <v>44377</v>
      </c>
      <c r="O107" s="201">
        <v>15.94</v>
      </c>
      <c r="P107" s="200">
        <v>44377</v>
      </c>
      <c r="Q107" s="201">
        <v>15.94</v>
      </c>
      <c r="R107" s="200">
        <v>44377</v>
      </c>
      <c r="S107" s="201">
        <v>15.94</v>
      </c>
      <c r="T107" s="200">
        <v>44377</v>
      </c>
      <c r="U107" s="201">
        <v>14.7</v>
      </c>
      <c r="V107" s="200">
        <v>44742</v>
      </c>
      <c r="W107" s="201">
        <v>16.767800000000001</v>
      </c>
      <c r="X107" s="200">
        <v>45107</v>
      </c>
      <c r="Y107" s="201">
        <v>14.67</v>
      </c>
      <c r="Z107" s="202">
        <v>45473</v>
      </c>
      <c r="AA107" s="203">
        <v>15.99</v>
      </c>
      <c r="AB107" s="202">
        <v>45473</v>
      </c>
      <c r="AC107" s="203">
        <v>15.6</v>
      </c>
      <c r="AE107" s="131"/>
      <c r="AG107" s="131"/>
    </row>
    <row r="108" spans="3:33" outlineLevel="1" x14ac:dyDescent="0.25">
      <c r="C108" s="14" t="s">
        <v>87</v>
      </c>
      <c r="D108" s="14" t="s">
        <v>239</v>
      </c>
      <c r="E108" s="14" t="s">
        <v>184</v>
      </c>
      <c r="F108" s="14" t="s">
        <v>225</v>
      </c>
      <c r="G108" s="14" t="s">
        <v>72</v>
      </c>
      <c r="H108" s="197" t="s">
        <v>54</v>
      </c>
      <c r="I108" s="198" t="s">
        <v>54</v>
      </c>
      <c r="J108" s="200">
        <v>44377</v>
      </c>
      <c r="K108" s="201">
        <v>13.492000000000001</v>
      </c>
      <c r="L108" s="200">
        <v>44377</v>
      </c>
      <c r="M108" s="201">
        <v>13.492000000000001</v>
      </c>
      <c r="N108" s="200">
        <v>44377</v>
      </c>
      <c r="O108" s="201">
        <v>13.492000000000001</v>
      </c>
      <c r="P108" s="200">
        <v>44377</v>
      </c>
      <c r="Q108" s="201">
        <v>13.492000000000001</v>
      </c>
      <c r="R108" s="200">
        <v>44377</v>
      </c>
      <c r="S108" s="201">
        <v>13.492000000000001</v>
      </c>
      <c r="T108" s="200">
        <v>44377</v>
      </c>
      <c r="U108" s="201">
        <v>13.781000000000001</v>
      </c>
      <c r="V108" s="200">
        <v>44742</v>
      </c>
      <c r="W108" s="201">
        <v>14.6457</v>
      </c>
      <c r="X108" s="200">
        <v>45107</v>
      </c>
      <c r="Y108" s="201">
        <v>14.771999999999998</v>
      </c>
      <c r="Z108" s="202">
        <v>45473</v>
      </c>
      <c r="AA108" s="203">
        <v>16.85285682</v>
      </c>
      <c r="AB108" s="202">
        <v>45473</v>
      </c>
      <c r="AC108" s="203">
        <v>17.367000000000001</v>
      </c>
      <c r="AE108" s="131"/>
      <c r="AG108" s="131"/>
    </row>
    <row r="109" spans="3:33" outlineLevel="1" x14ac:dyDescent="0.25">
      <c r="C109" s="14" t="s">
        <v>87</v>
      </c>
      <c r="D109" s="14" t="s">
        <v>240</v>
      </c>
      <c r="E109" s="14" t="s">
        <v>184</v>
      </c>
      <c r="F109" s="14" t="s">
        <v>225</v>
      </c>
      <c r="G109" s="14" t="s">
        <v>72</v>
      </c>
      <c r="H109" s="197" t="s">
        <v>54</v>
      </c>
      <c r="I109" s="198" t="s">
        <v>54</v>
      </c>
      <c r="J109" s="200">
        <v>44377</v>
      </c>
      <c r="K109" s="201">
        <v>15.87</v>
      </c>
      <c r="L109" s="200">
        <v>44377</v>
      </c>
      <c r="M109" s="201">
        <v>15.87</v>
      </c>
      <c r="N109" s="200">
        <v>44377</v>
      </c>
      <c r="O109" s="201">
        <v>15.87</v>
      </c>
      <c r="P109" s="200">
        <v>44377</v>
      </c>
      <c r="Q109" s="201">
        <v>15.87</v>
      </c>
      <c r="R109" s="200">
        <v>44377</v>
      </c>
      <c r="S109" s="201">
        <v>15.87</v>
      </c>
      <c r="T109" s="200">
        <v>44377</v>
      </c>
      <c r="U109" s="201">
        <v>16.170000000000002</v>
      </c>
      <c r="V109" s="200">
        <v>44742</v>
      </c>
      <c r="W109" s="201">
        <v>18.590199999999999</v>
      </c>
      <c r="X109" s="200">
        <v>45107</v>
      </c>
      <c r="Y109" s="201">
        <v>17.14</v>
      </c>
      <c r="Z109" s="202">
        <v>45473</v>
      </c>
      <c r="AA109" s="203">
        <v>18.510000000000002</v>
      </c>
      <c r="AB109" s="202">
        <v>45473</v>
      </c>
      <c r="AC109" s="203">
        <v>18.34</v>
      </c>
      <c r="AE109" s="131"/>
      <c r="AG109" s="131"/>
    </row>
    <row r="110" spans="3:33" outlineLevel="1" x14ac:dyDescent="0.25">
      <c r="C110" s="14" t="s">
        <v>87</v>
      </c>
      <c r="D110" s="14" t="s">
        <v>241</v>
      </c>
      <c r="E110" s="14" t="s">
        <v>184</v>
      </c>
      <c r="F110" s="14" t="s">
        <v>225</v>
      </c>
      <c r="G110" s="14" t="s">
        <v>72</v>
      </c>
      <c r="H110" s="197" t="s">
        <v>54</v>
      </c>
      <c r="I110" s="198" t="s">
        <v>54</v>
      </c>
      <c r="J110" s="200">
        <v>44377</v>
      </c>
      <c r="K110" s="201">
        <v>15.79</v>
      </c>
      <c r="L110" s="200">
        <v>44377</v>
      </c>
      <c r="M110" s="201">
        <v>15.79</v>
      </c>
      <c r="N110" s="200">
        <v>44377</v>
      </c>
      <c r="O110" s="201">
        <v>15.79</v>
      </c>
      <c r="P110" s="200">
        <v>44377</v>
      </c>
      <c r="Q110" s="201">
        <v>15.79</v>
      </c>
      <c r="R110" s="200">
        <v>44377</v>
      </c>
      <c r="S110" s="201">
        <v>15.79</v>
      </c>
      <c r="T110" s="200">
        <v>44377</v>
      </c>
      <c r="U110" s="201">
        <v>16.22</v>
      </c>
      <c r="V110" s="200">
        <v>44742</v>
      </c>
      <c r="W110" s="201">
        <v>17.317799999999998</v>
      </c>
      <c r="X110" s="200">
        <v>45107</v>
      </c>
      <c r="Y110" s="201">
        <v>16.68</v>
      </c>
      <c r="Z110" s="202">
        <v>45473</v>
      </c>
      <c r="AA110" s="203">
        <v>17.510000000000002</v>
      </c>
      <c r="AB110" s="202">
        <v>45473</v>
      </c>
      <c r="AC110" s="203">
        <v>17.39</v>
      </c>
      <c r="AE110" s="131"/>
      <c r="AG110" s="131"/>
    </row>
    <row r="111" spans="3:33" outlineLevel="1" x14ac:dyDescent="0.25">
      <c r="C111" s="14" t="s">
        <v>87</v>
      </c>
      <c r="D111" s="39" t="s">
        <v>242</v>
      </c>
      <c r="E111" s="14" t="s">
        <v>184</v>
      </c>
      <c r="F111" s="14" t="s">
        <v>225</v>
      </c>
      <c r="G111" s="14" t="s">
        <v>72</v>
      </c>
      <c r="H111" s="197" t="s">
        <v>54</v>
      </c>
      <c r="I111" s="198" t="s">
        <v>54</v>
      </c>
      <c r="J111" s="200">
        <v>44377</v>
      </c>
      <c r="K111" s="201">
        <v>4.3418999999999999</v>
      </c>
      <c r="L111" s="200">
        <v>44377</v>
      </c>
      <c r="M111" s="201">
        <v>4.3418999999999999</v>
      </c>
      <c r="N111" s="200">
        <v>44377</v>
      </c>
      <c r="O111" s="201">
        <v>4.3418999999999999</v>
      </c>
      <c r="P111" s="200">
        <v>44377</v>
      </c>
      <c r="Q111" s="201">
        <v>4.3418999999999999</v>
      </c>
      <c r="R111" s="200">
        <v>44377</v>
      </c>
      <c r="S111" s="201">
        <v>4.3418999999999999</v>
      </c>
      <c r="T111" s="200">
        <v>44377</v>
      </c>
      <c r="U111" s="201">
        <v>4.7720000000000002</v>
      </c>
      <c r="V111" s="200">
        <v>44742</v>
      </c>
      <c r="W111" s="201">
        <v>5.2127999999999997</v>
      </c>
      <c r="X111" s="200">
        <v>45107</v>
      </c>
      <c r="Y111" s="201">
        <v>4.6393863430805986</v>
      </c>
      <c r="Z111" s="202">
        <v>45473</v>
      </c>
      <c r="AA111" s="203">
        <v>4.7878518853913743</v>
      </c>
      <c r="AB111" s="202">
        <v>45473</v>
      </c>
      <c r="AC111" s="203">
        <v>4.827959617987136</v>
      </c>
      <c r="AE111" s="131"/>
      <c r="AG111" s="131"/>
    </row>
    <row r="112" spans="3:33" outlineLevel="1" x14ac:dyDescent="0.25">
      <c r="C112" s="14" t="s">
        <v>87</v>
      </c>
      <c r="D112" s="14" t="s">
        <v>243</v>
      </c>
      <c r="E112" s="14" t="s">
        <v>184</v>
      </c>
      <c r="F112" s="14" t="s">
        <v>225</v>
      </c>
      <c r="G112" s="14" t="s">
        <v>72</v>
      </c>
      <c r="H112" s="197" t="s">
        <v>54</v>
      </c>
      <c r="I112" s="198" t="s">
        <v>54</v>
      </c>
      <c r="J112" s="200">
        <v>44377</v>
      </c>
      <c r="K112" s="201">
        <v>3.98</v>
      </c>
      <c r="L112" s="200">
        <v>44377</v>
      </c>
      <c r="M112" s="201">
        <v>3.98</v>
      </c>
      <c r="N112" s="200">
        <v>44377</v>
      </c>
      <c r="O112" s="201">
        <v>3.98</v>
      </c>
      <c r="P112" s="200">
        <v>44377</v>
      </c>
      <c r="Q112" s="201">
        <v>3.98</v>
      </c>
      <c r="R112" s="200">
        <v>44377</v>
      </c>
      <c r="S112" s="201">
        <v>3.98</v>
      </c>
      <c r="T112" s="200">
        <v>44377</v>
      </c>
      <c r="U112" s="201">
        <v>3.67</v>
      </c>
      <c r="V112" s="200">
        <v>44742</v>
      </c>
      <c r="W112" s="201">
        <v>4.1839000000000004</v>
      </c>
      <c r="X112" s="200">
        <v>45107</v>
      </c>
      <c r="Y112" s="201">
        <v>3.67</v>
      </c>
      <c r="Z112" s="202">
        <v>45473</v>
      </c>
      <c r="AA112" s="203">
        <v>4</v>
      </c>
      <c r="AB112" s="202">
        <v>45473</v>
      </c>
      <c r="AC112" s="203">
        <v>3.8999999999999995</v>
      </c>
      <c r="AE112" s="131"/>
      <c r="AG112" s="131"/>
    </row>
    <row r="113" spans="3:33" outlineLevel="1" x14ac:dyDescent="0.25">
      <c r="C113" s="14" t="s">
        <v>87</v>
      </c>
      <c r="D113" s="14" t="s">
        <v>244</v>
      </c>
      <c r="E113" s="14" t="s">
        <v>184</v>
      </c>
      <c r="F113" s="14" t="s">
        <v>225</v>
      </c>
      <c r="G113" s="14" t="s">
        <v>72</v>
      </c>
      <c r="H113" s="197" t="s">
        <v>54</v>
      </c>
      <c r="I113" s="198" t="s">
        <v>54</v>
      </c>
      <c r="J113" s="200">
        <v>44377</v>
      </c>
      <c r="K113" s="201">
        <v>3.89</v>
      </c>
      <c r="L113" s="200">
        <v>44377</v>
      </c>
      <c r="M113" s="201">
        <v>3.89</v>
      </c>
      <c r="N113" s="200">
        <v>44377</v>
      </c>
      <c r="O113" s="201">
        <v>3.89</v>
      </c>
      <c r="P113" s="200">
        <v>44377</v>
      </c>
      <c r="Q113" s="201">
        <v>3.89</v>
      </c>
      <c r="R113" s="200">
        <v>44377</v>
      </c>
      <c r="S113" s="201">
        <v>3.89</v>
      </c>
      <c r="T113" s="200">
        <v>44377</v>
      </c>
      <c r="U113" s="201">
        <v>3.9809999999999999</v>
      </c>
      <c r="V113" s="200">
        <v>44742</v>
      </c>
      <c r="W113" s="201">
        <v>4.2270000000000003</v>
      </c>
      <c r="X113" s="200">
        <v>45107</v>
      </c>
      <c r="Y113" s="201">
        <v>4.3120000000000003</v>
      </c>
      <c r="Z113" s="202">
        <v>45473</v>
      </c>
      <c r="AA113" s="203">
        <v>4.8303303799999995</v>
      </c>
      <c r="AB113" s="202">
        <v>45473</v>
      </c>
      <c r="AC113" s="203">
        <v>4.8860000000000001</v>
      </c>
      <c r="AE113" s="131"/>
      <c r="AG113" s="131"/>
    </row>
    <row r="114" spans="3:33" outlineLevel="1" x14ac:dyDescent="0.25">
      <c r="C114" s="14" t="s">
        <v>87</v>
      </c>
      <c r="D114" s="14" t="s">
        <v>245</v>
      </c>
      <c r="E114" s="14" t="s">
        <v>184</v>
      </c>
      <c r="F114" s="14" t="s">
        <v>225</v>
      </c>
      <c r="G114" s="14" t="s">
        <v>72</v>
      </c>
      <c r="H114" s="197" t="s">
        <v>54</v>
      </c>
      <c r="I114" s="198" t="s">
        <v>54</v>
      </c>
      <c r="J114" s="200">
        <v>44377</v>
      </c>
      <c r="K114" s="201">
        <v>3.96</v>
      </c>
      <c r="L114" s="200">
        <v>44377</v>
      </c>
      <c r="M114" s="201">
        <v>3.96</v>
      </c>
      <c r="N114" s="200">
        <v>44377</v>
      </c>
      <c r="O114" s="201">
        <v>3.96</v>
      </c>
      <c r="P114" s="200">
        <v>44377</v>
      </c>
      <c r="Q114" s="201">
        <v>3.96</v>
      </c>
      <c r="R114" s="200">
        <v>44377</v>
      </c>
      <c r="S114" s="201">
        <v>3.96</v>
      </c>
      <c r="T114" s="200">
        <v>44377</v>
      </c>
      <c r="U114" s="201">
        <v>4.05</v>
      </c>
      <c r="V114" s="200">
        <v>44742</v>
      </c>
      <c r="W114" s="201">
        <v>4.6582999999999997</v>
      </c>
      <c r="X114" s="200">
        <v>45107</v>
      </c>
      <c r="Y114" s="201">
        <v>4.29</v>
      </c>
      <c r="Z114" s="202">
        <v>45473</v>
      </c>
      <c r="AA114" s="203">
        <v>4.63</v>
      </c>
      <c r="AB114" s="202">
        <v>45473</v>
      </c>
      <c r="AC114" s="203">
        <v>4.6100000000000003</v>
      </c>
      <c r="AE114" s="131"/>
      <c r="AG114" s="131"/>
    </row>
    <row r="115" spans="3:33" outlineLevel="1" x14ac:dyDescent="0.25">
      <c r="C115" s="14" t="s">
        <v>87</v>
      </c>
      <c r="D115" s="14" t="s">
        <v>246</v>
      </c>
      <c r="E115" s="14" t="s">
        <v>184</v>
      </c>
      <c r="F115" s="14" t="s">
        <v>225</v>
      </c>
      <c r="G115" s="14" t="s">
        <v>72</v>
      </c>
      <c r="H115" s="197" t="s">
        <v>54</v>
      </c>
      <c r="I115" s="198" t="s">
        <v>54</v>
      </c>
      <c r="J115" s="200">
        <v>44377</v>
      </c>
      <c r="K115" s="201">
        <v>3.95</v>
      </c>
      <c r="L115" s="200">
        <v>44377</v>
      </c>
      <c r="M115" s="201">
        <v>3.95</v>
      </c>
      <c r="N115" s="200">
        <v>44377</v>
      </c>
      <c r="O115" s="201">
        <v>3.95</v>
      </c>
      <c r="P115" s="200">
        <v>44377</v>
      </c>
      <c r="Q115" s="201">
        <v>3.95</v>
      </c>
      <c r="R115" s="200">
        <v>44377</v>
      </c>
      <c r="S115" s="201">
        <v>3.95</v>
      </c>
      <c r="T115" s="200">
        <v>44377</v>
      </c>
      <c r="U115" s="201">
        <v>4.05</v>
      </c>
      <c r="V115" s="200">
        <v>44742</v>
      </c>
      <c r="W115" s="201">
        <v>4.3240999999999996</v>
      </c>
      <c r="X115" s="200">
        <v>45107</v>
      </c>
      <c r="Y115" s="201">
        <v>4.16</v>
      </c>
      <c r="Z115" s="202">
        <v>45473</v>
      </c>
      <c r="AA115" s="203">
        <v>4.37</v>
      </c>
      <c r="AB115" s="202">
        <v>45473</v>
      </c>
      <c r="AC115" s="203">
        <v>4.33</v>
      </c>
      <c r="AE115" s="131"/>
      <c r="AG115" s="131"/>
    </row>
    <row r="116" spans="3:33" outlineLevel="1" x14ac:dyDescent="0.25">
      <c r="C116" s="14" t="s">
        <v>87</v>
      </c>
      <c r="D116" s="14" t="s">
        <v>247</v>
      </c>
      <c r="E116" s="14" t="s">
        <v>184</v>
      </c>
      <c r="F116" s="14" t="s">
        <v>225</v>
      </c>
      <c r="G116" s="14" t="s">
        <v>73</v>
      </c>
      <c r="H116" s="197" t="s">
        <v>54</v>
      </c>
      <c r="I116" s="198" t="s">
        <v>54</v>
      </c>
      <c r="J116" s="200">
        <v>44377</v>
      </c>
      <c r="K116" s="201">
        <v>17.508700000000001</v>
      </c>
      <c r="L116" s="200">
        <v>44377</v>
      </c>
      <c r="M116" s="201">
        <v>17.508700000000001</v>
      </c>
      <c r="N116" s="200">
        <v>44377</v>
      </c>
      <c r="O116" s="201">
        <v>17.508700000000001</v>
      </c>
      <c r="P116" s="200">
        <v>44377</v>
      </c>
      <c r="Q116" s="201">
        <v>17.508700000000001</v>
      </c>
      <c r="R116" s="200">
        <v>44377</v>
      </c>
      <c r="S116" s="201">
        <v>17.508700000000001</v>
      </c>
      <c r="T116" s="200">
        <v>44377</v>
      </c>
      <c r="U116" s="201">
        <v>19.318200000000001</v>
      </c>
      <c r="V116" s="200">
        <v>44742</v>
      </c>
      <c r="W116" s="201">
        <v>20.665199999999999</v>
      </c>
      <c r="X116" s="200">
        <v>45107</v>
      </c>
      <c r="Y116" s="201">
        <v>19.642449948699095</v>
      </c>
      <c r="Z116" s="202">
        <v>45473</v>
      </c>
      <c r="AA116" s="203">
        <v>20.422266911355628</v>
      </c>
      <c r="AB116" s="202">
        <v>45473</v>
      </c>
      <c r="AC116" s="203">
        <v>20.308918974741299</v>
      </c>
      <c r="AE116" s="131"/>
      <c r="AG116" s="131"/>
    </row>
    <row r="117" spans="3:33" outlineLevel="1" x14ac:dyDescent="0.25">
      <c r="C117" s="14" t="s">
        <v>87</v>
      </c>
      <c r="D117" s="14" t="s">
        <v>248</v>
      </c>
      <c r="E117" s="14" t="s">
        <v>184</v>
      </c>
      <c r="F117" s="14" t="s">
        <v>225</v>
      </c>
      <c r="G117" s="14" t="s">
        <v>73</v>
      </c>
      <c r="H117" s="197" t="s">
        <v>54</v>
      </c>
      <c r="I117" s="198" t="s">
        <v>54</v>
      </c>
      <c r="J117" s="200">
        <v>44377</v>
      </c>
      <c r="K117" s="201">
        <v>13.02</v>
      </c>
      <c r="L117" s="200">
        <v>44377</v>
      </c>
      <c r="M117" s="201">
        <v>13.02</v>
      </c>
      <c r="N117" s="200">
        <v>44377</v>
      </c>
      <c r="O117" s="201">
        <v>13.02</v>
      </c>
      <c r="P117" s="200">
        <v>44377</v>
      </c>
      <c r="Q117" s="201">
        <v>13.02</v>
      </c>
      <c r="R117" s="200">
        <v>44377</v>
      </c>
      <c r="S117" s="201">
        <v>13.02</v>
      </c>
      <c r="T117" s="200">
        <v>44377</v>
      </c>
      <c r="U117" s="201">
        <v>13.33</v>
      </c>
      <c r="V117" s="200">
        <v>44742</v>
      </c>
      <c r="W117" s="201">
        <v>15.2043</v>
      </c>
      <c r="X117" s="200">
        <v>45107</v>
      </c>
      <c r="Y117" s="201">
        <v>13.27</v>
      </c>
      <c r="Z117" s="202">
        <v>45473</v>
      </c>
      <c r="AA117" s="203">
        <v>14.46</v>
      </c>
      <c r="AB117" s="202">
        <v>45473</v>
      </c>
      <c r="AC117" s="203">
        <v>14.25</v>
      </c>
      <c r="AE117" s="131"/>
      <c r="AG117" s="131"/>
    </row>
    <row r="118" spans="3:33" outlineLevel="1" x14ac:dyDescent="0.25">
      <c r="C118" s="14" t="s">
        <v>87</v>
      </c>
      <c r="D118" s="14" t="s">
        <v>249</v>
      </c>
      <c r="E118" s="14" t="s">
        <v>184</v>
      </c>
      <c r="F118" s="14" t="s">
        <v>225</v>
      </c>
      <c r="G118" s="14" t="s">
        <v>73</v>
      </c>
      <c r="H118" s="197" t="s">
        <v>54</v>
      </c>
      <c r="I118" s="198" t="s">
        <v>54</v>
      </c>
      <c r="J118" s="200">
        <v>44377</v>
      </c>
      <c r="K118" s="201">
        <v>14.331</v>
      </c>
      <c r="L118" s="200">
        <v>44377</v>
      </c>
      <c r="M118" s="201">
        <v>14.331</v>
      </c>
      <c r="N118" s="200">
        <v>44377</v>
      </c>
      <c r="O118" s="201">
        <v>14.331</v>
      </c>
      <c r="P118" s="200">
        <v>44377</v>
      </c>
      <c r="Q118" s="201">
        <v>14.331</v>
      </c>
      <c r="R118" s="200">
        <v>44377</v>
      </c>
      <c r="S118" s="201">
        <v>14.331</v>
      </c>
      <c r="T118" s="200">
        <v>44377</v>
      </c>
      <c r="U118" s="201">
        <v>14.099</v>
      </c>
      <c r="V118" s="200">
        <v>44742</v>
      </c>
      <c r="W118" s="201">
        <v>15.4275</v>
      </c>
      <c r="X118" s="200">
        <v>45107</v>
      </c>
      <c r="Y118" s="201">
        <v>15.097</v>
      </c>
      <c r="Z118" s="202">
        <v>45473</v>
      </c>
      <c r="AA118" s="203">
        <v>17.037500000000001</v>
      </c>
      <c r="AB118" s="202">
        <v>45473</v>
      </c>
      <c r="AC118" s="203">
        <v>17.986000000000001</v>
      </c>
      <c r="AE118" s="131"/>
      <c r="AG118" s="131"/>
    </row>
    <row r="119" spans="3:33" outlineLevel="1" x14ac:dyDescent="0.25">
      <c r="C119" s="14" t="s">
        <v>87</v>
      </c>
      <c r="D119" s="14" t="s">
        <v>250</v>
      </c>
      <c r="E119" s="14" t="s">
        <v>184</v>
      </c>
      <c r="F119" s="14" t="s">
        <v>225</v>
      </c>
      <c r="G119" s="14" t="s">
        <v>73</v>
      </c>
      <c r="H119" s="197" t="s">
        <v>54</v>
      </c>
      <c r="I119" s="198" t="s">
        <v>54</v>
      </c>
      <c r="J119" s="200">
        <v>44377</v>
      </c>
      <c r="K119" s="201">
        <v>14.75</v>
      </c>
      <c r="L119" s="200">
        <v>44377</v>
      </c>
      <c r="M119" s="201">
        <v>14.75</v>
      </c>
      <c r="N119" s="200">
        <v>44377</v>
      </c>
      <c r="O119" s="201">
        <v>14.75</v>
      </c>
      <c r="P119" s="200">
        <v>44377</v>
      </c>
      <c r="Q119" s="201">
        <v>14.75</v>
      </c>
      <c r="R119" s="200">
        <v>44377</v>
      </c>
      <c r="S119" s="201">
        <v>14.75</v>
      </c>
      <c r="T119" s="200">
        <v>44377</v>
      </c>
      <c r="U119" s="201">
        <v>16.190000000000001</v>
      </c>
      <c r="V119" s="200">
        <v>44742</v>
      </c>
      <c r="W119" s="201">
        <v>18.611799999999999</v>
      </c>
      <c r="X119" s="200">
        <v>45107</v>
      </c>
      <c r="Y119" s="201">
        <v>17.46</v>
      </c>
      <c r="Z119" s="202">
        <v>45473</v>
      </c>
      <c r="AA119" s="203">
        <v>18.86</v>
      </c>
      <c r="AB119" s="202">
        <v>45473</v>
      </c>
      <c r="AC119" s="203">
        <v>18.73</v>
      </c>
      <c r="AE119" s="131"/>
      <c r="AG119" s="131"/>
    </row>
    <row r="120" spans="3:33" outlineLevel="1" x14ac:dyDescent="0.25">
      <c r="C120" s="14" t="s">
        <v>87</v>
      </c>
      <c r="D120" s="14" t="s">
        <v>251</v>
      </c>
      <c r="E120" s="14" t="s">
        <v>184</v>
      </c>
      <c r="F120" s="14" t="s">
        <v>225</v>
      </c>
      <c r="G120" s="14" t="s">
        <v>73</v>
      </c>
      <c r="H120" s="197" t="s">
        <v>54</v>
      </c>
      <c r="I120" s="198" t="s">
        <v>54</v>
      </c>
      <c r="J120" s="200">
        <v>44377</v>
      </c>
      <c r="K120" s="201">
        <v>13.99</v>
      </c>
      <c r="L120" s="200">
        <v>44377</v>
      </c>
      <c r="M120" s="201">
        <v>13.99</v>
      </c>
      <c r="N120" s="200">
        <v>44377</v>
      </c>
      <c r="O120" s="201">
        <v>13.99</v>
      </c>
      <c r="P120" s="200">
        <v>44377</v>
      </c>
      <c r="Q120" s="201">
        <v>13.99</v>
      </c>
      <c r="R120" s="200">
        <v>44377</v>
      </c>
      <c r="S120" s="201">
        <v>13.99</v>
      </c>
      <c r="T120" s="200">
        <v>44377</v>
      </c>
      <c r="U120" s="201">
        <v>14.98</v>
      </c>
      <c r="V120" s="200">
        <v>44742</v>
      </c>
      <c r="W120" s="201">
        <v>15.9915</v>
      </c>
      <c r="X120" s="200">
        <v>45107</v>
      </c>
      <c r="Y120" s="201">
        <v>15.41</v>
      </c>
      <c r="Z120" s="202">
        <v>45473</v>
      </c>
      <c r="AA120" s="203">
        <v>16.18</v>
      </c>
      <c r="AB120" s="202">
        <v>45473</v>
      </c>
      <c r="AC120" s="203">
        <v>16.41</v>
      </c>
      <c r="AE120" s="131"/>
      <c r="AG120" s="131"/>
    </row>
    <row r="121" spans="3:33" outlineLevel="1" x14ac:dyDescent="0.25">
      <c r="C121" s="14" t="s">
        <v>87</v>
      </c>
      <c r="D121" s="14" t="s">
        <v>252</v>
      </c>
      <c r="E121" s="14" t="s">
        <v>184</v>
      </c>
      <c r="F121" s="14" t="s">
        <v>225</v>
      </c>
      <c r="G121" s="14" t="s">
        <v>73</v>
      </c>
      <c r="H121" s="197" t="s">
        <v>54</v>
      </c>
      <c r="I121" s="198" t="s">
        <v>54</v>
      </c>
      <c r="J121" s="200">
        <v>44377</v>
      </c>
      <c r="K121" s="201">
        <v>4.2656000000000001</v>
      </c>
      <c r="L121" s="200">
        <v>44377</v>
      </c>
      <c r="M121" s="201">
        <v>4.2656000000000001</v>
      </c>
      <c r="N121" s="200">
        <v>44377</v>
      </c>
      <c r="O121" s="201">
        <v>4.2656000000000001</v>
      </c>
      <c r="P121" s="200">
        <v>44377</v>
      </c>
      <c r="Q121" s="201">
        <v>4.2656000000000001</v>
      </c>
      <c r="R121" s="200">
        <v>44377</v>
      </c>
      <c r="S121" s="201">
        <v>4.2656000000000001</v>
      </c>
      <c r="T121" s="200">
        <v>44377</v>
      </c>
      <c r="U121" s="201">
        <v>4.7115</v>
      </c>
      <c r="V121" s="200">
        <v>44742</v>
      </c>
      <c r="W121" s="201">
        <v>5.0449999999999999</v>
      </c>
      <c r="X121" s="200">
        <v>45107</v>
      </c>
      <c r="Y121" s="201">
        <v>4.742575271253056</v>
      </c>
      <c r="Z121" s="202">
        <v>45473</v>
      </c>
      <c r="AA121" s="203">
        <v>4.8104057633506638</v>
      </c>
      <c r="AB121" s="202">
        <v>45473</v>
      </c>
      <c r="AC121" s="203">
        <v>4.815168339090425</v>
      </c>
      <c r="AE121" s="131"/>
      <c r="AG121" s="131"/>
    </row>
    <row r="122" spans="3:33" outlineLevel="1" x14ac:dyDescent="0.25">
      <c r="C122" s="14" t="s">
        <v>87</v>
      </c>
      <c r="D122" s="14" t="s">
        <v>253</v>
      </c>
      <c r="E122" s="14" t="s">
        <v>184</v>
      </c>
      <c r="F122" s="14" t="s">
        <v>225</v>
      </c>
      <c r="G122" s="14" t="s">
        <v>73</v>
      </c>
      <c r="H122" s="197" t="s">
        <v>54</v>
      </c>
      <c r="I122" s="198" t="s">
        <v>54</v>
      </c>
      <c r="J122" s="200">
        <v>44377</v>
      </c>
      <c r="K122" s="201">
        <v>2.89</v>
      </c>
      <c r="L122" s="200">
        <v>44377</v>
      </c>
      <c r="M122" s="201">
        <v>2.89</v>
      </c>
      <c r="N122" s="200">
        <v>44377</v>
      </c>
      <c r="O122" s="201">
        <v>2.89</v>
      </c>
      <c r="P122" s="200">
        <v>44377</v>
      </c>
      <c r="Q122" s="201">
        <v>2.89</v>
      </c>
      <c r="R122" s="200">
        <v>44377</v>
      </c>
      <c r="S122" s="201">
        <v>2.89</v>
      </c>
      <c r="T122" s="200">
        <v>44377</v>
      </c>
      <c r="U122" s="201">
        <v>2.96</v>
      </c>
      <c r="V122" s="200">
        <v>44742</v>
      </c>
      <c r="W122" s="201">
        <v>3.3751000000000002</v>
      </c>
      <c r="X122" s="200">
        <v>45107</v>
      </c>
      <c r="Y122" s="201">
        <v>2.95</v>
      </c>
      <c r="Z122" s="202">
        <v>45473</v>
      </c>
      <c r="AA122" s="203">
        <v>3.22</v>
      </c>
      <c r="AB122" s="202">
        <v>45473</v>
      </c>
      <c r="AC122" s="203">
        <v>3.1599999999999997</v>
      </c>
      <c r="AE122" s="131"/>
      <c r="AG122" s="131"/>
    </row>
    <row r="123" spans="3:33" outlineLevel="1" x14ac:dyDescent="0.25">
      <c r="C123" s="14" t="s">
        <v>87</v>
      </c>
      <c r="D123" s="14" t="s">
        <v>254</v>
      </c>
      <c r="E123" s="14" t="s">
        <v>184</v>
      </c>
      <c r="F123" s="14" t="s">
        <v>225</v>
      </c>
      <c r="G123" s="14" t="s">
        <v>73</v>
      </c>
      <c r="H123" s="197" t="s">
        <v>54</v>
      </c>
      <c r="I123" s="198" t="s">
        <v>54</v>
      </c>
      <c r="J123" s="200">
        <v>44377</v>
      </c>
      <c r="K123" s="201">
        <v>3.052</v>
      </c>
      <c r="L123" s="200">
        <v>44377</v>
      </c>
      <c r="M123" s="201">
        <v>3.052</v>
      </c>
      <c r="N123" s="200">
        <v>44377</v>
      </c>
      <c r="O123" s="201">
        <v>3.052</v>
      </c>
      <c r="P123" s="200">
        <v>44377</v>
      </c>
      <c r="Q123" s="201">
        <v>3.052</v>
      </c>
      <c r="R123" s="200">
        <v>44377</v>
      </c>
      <c r="S123" s="201">
        <v>3.052</v>
      </c>
      <c r="T123" s="200">
        <v>44377</v>
      </c>
      <c r="U123" s="201">
        <v>2.9529999999999998</v>
      </c>
      <c r="V123" s="200">
        <v>44742</v>
      </c>
      <c r="W123" s="201">
        <v>3.2090999999999998</v>
      </c>
      <c r="X123" s="200">
        <v>45107</v>
      </c>
      <c r="Y123" s="201">
        <v>3.226</v>
      </c>
      <c r="Z123" s="202">
        <v>45473</v>
      </c>
      <c r="AA123" s="203">
        <v>3.5709</v>
      </c>
      <c r="AB123" s="202">
        <v>45473</v>
      </c>
      <c r="AC123" s="203">
        <v>3.8610000000000002</v>
      </c>
      <c r="AE123" s="131"/>
      <c r="AG123" s="131"/>
    </row>
    <row r="124" spans="3:33" outlineLevel="1" x14ac:dyDescent="0.25">
      <c r="C124" s="14" t="s">
        <v>87</v>
      </c>
      <c r="D124" s="14" t="s">
        <v>255</v>
      </c>
      <c r="E124" s="14" t="s">
        <v>184</v>
      </c>
      <c r="F124" s="14" t="s">
        <v>225</v>
      </c>
      <c r="G124" s="14" t="s">
        <v>73</v>
      </c>
      <c r="H124" s="197" t="s">
        <v>54</v>
      </c>
      <c r="I124" s="198" t="s">
        <v>54</v>
      </c>
      <c r="J124" s="200">
        <v>44377</v>
      </c>
      <c r="K124" s="201">
        <v>3.28</v>
      </c>
      <c r="L124" s="200">
        <v>44377</v>
      </c>
      <c r="M124" s="201">
        <v>3.28</v>
      </c>
      <c r="N124" s="200">
        <v>44377</v>
      </c>
      <c r="O124" s="201">
        <v>3.28</v>
      </c>
      <c r="P124" s="200">
        <v>44377</v>
      </c>
      <c r="Q124" s="201">
        <v>3.28</v>
      </c>
      <c r="R124" s="200">
        <v>44377</v>
      </c>
      <c r="S124" s="201">
        <v>3.28</v>
      </c>
      <c r="T124" s="200">
        <v>44377</v>
      </c>
      <c r="U124" s="201">
        <v>3.59</v>
      </c>
      <c r="V124" s="200">
        <v>44742</v>
      </c>
      <c r="W124" s="201">
        <v>4.13</v>
      </c>
      <c r="X124" s="200">
        <v>45107</v>
      </c>
      <c r="Y124" s="201">
        <v>3.8800000000000003</v>
      </c>
      <c r="Z124" s="202">
        <v>45473</v>
      </c>
      <c r="AA124" s="203">
        <v>4.1900000000000004</v>
      </c>
      <c r="AB124" s="202">
        <v>45473</v>
      </c>
      <c r="AC124" s="203">
        <v>4.16</v>
      </c>
      <c r="AE124" s="131"/>
      <c r="AG124" s="131"/>
    </row>
    <row r="125" spans="3:33" outlineLevel="1" x14ac:dyDescent="0.25">
      <c r="C125" s="14" t="s">
        <v>87</v>
      </c>
      <c r="D125" s="14" t="s">
        <v>256</v>
      </c>
      <c r="E125" s="14" t="s">
        <v>184</v>
      </c>
      <c r="F125" s="14" t="s">
        <v>225</v>
      </c>
      <c r="G125" s="14" t="s">
        <v>73</v>
      </c>
      <c r="H125" s="197" t="s">
        <v>54</v>
      </c>
      <c r="I125" s="198" t="s">
        <v>54</v>
      </c>
      <c r="J125" s="200">
        <v>44377</v>
      </c>
      <c r="K125" s="201">
        <v>3.11</v>
      </c>
      <c r="L125" s="200">
        <v>44377</v>
      </c>
      <c r="M125" s="201">
        <v>3.11</v>
      </c>
      <c r="N125" s="200">
        <v>44377</v>
      </c>
      <c r="O125" s="201">
        <v>3.11</v>
      </c>
      <c r="P125" s="200">
        <v>44377</v>
      </c>
      <c r="Q125" s="201">
        <v>3.11</v>
      </c>
      <c r="R125" s="200">
        <v>44377</v>
      </c>
      <c r="S125" s="201">
        <v>3.11</v>
      </c>
      <c r="T125" s="200">
        <v>44377</v>
      </c>
      <c r="U125" s="201">
        <v>3.33</v>
      </c>
      <c r="V125" s="200">
        <v>44742</v>
      </c>
      <c r="W125" s="201">
        <v>3.5476999999999999</v>
      </c>
      <c r="X125" s="200">
        <v>45107</v>
      </c>
      <c r="Y125" s="201">
        <v>3.4299999999999997</v>
      </c>
      <c r="Z125" s="202">
        <v>45473</v>
      </c>
      <c r="AA125" s="203">
        <v>3.6</v>
      </c>
      <c r="AB125" s="202">
        <v>45473</v>
      </c>
      <c r="AC125" s="203">
        <v>3.64</v>
      </c>
      <c r="AE125" s="131"/>
      <c r="AG125" s="131"/>
    </row>
    <row r="126" spans="3:33" outlineLevel="1" x14ac:dyDescent="0.25">
      <c r="C126" s="14" t="s">
        <v>87</v>
      </c>
      <c r="D126" s="14" t="s">
        <v>257</v>
      </c>
      <c r="E126" s="14" t="s">
        <v>184</v>
      </c>
      <c r="F126" s="14" t="s">
        <v>225</v>
      </c>
      <c r="G126" s="14" t="s">
        <v>72</v>
      </c>
      <c r="H126" s="197">
        <v>44196</v>
      </c>
      <c r="I126" s="198">
        <v>3.8612000000000002</v>
      </c>
      <c r="J126" s="200">
        <v>44377</v>
      </c>
      <c r="K126" s="201">
        <v>4.2622999999999998</v>
      </c>
      <c r="L126" s="200">
        <v>44377</v>
      </c>
      <c r="M126" s="201">
        <v>4.2622999999999998</v>
      </c>
      <c r="N126" s="200">
        <v>44377</v>
      </c>
      <c r="O126" s="201">
        <v>4.2622999999999998</v>
      </c>
      <c r="P126" s="200">
        <v>44377</v>
      </c>
      <c r="Q126" s="201">
        <v>4.2622999999999998</v>
      </c>
      <c r="R126" s="200">
        <v>44377</v>
      </c>
      <c r="S126" s="201">
        <v>4.2622999999999998</v>
      </c>
      <c r="T126" s="200">
        <v>44377</v>
      </c>
      <c r="U126" s="201">
        <v>4.7466999999999997</v>
      </c>
      <c r="V126" s="200">
        <v>44742</v>
      </c>
      <c r="W126" s="201">
        <v>5.0824999999999996</v>
      </c>
      <c r="X126" s="200">
        <v>45107</v>
      </c>
      <c r="Y126" s="201">
        <v>4.6393863430805986</v>
      </c>
      <c r="Z126" s="202">
        <v>45473</v>
      </c>
      <c r="AA126" s="203">
        <v>4.7878518853913743</v>
      </c>
      <c r="AB126" s="202">
        <v>45473</v>
      </c>
      <c r="AC126" s="203">
        <v>4.827959617987136</v>
      </c>
      <c r="AE126" s="131"/>
      <c r="AG126" s="131"/>
    </row>
    <row r="127" spans="3:33" outlineLevel="1" x14ac:dyDescent="0.25">
      <c r="C127" s="14" t="s">
        <v>87</v>
      </c>
      <c r="D127" s="14" t="s">
        <v>258</v>
      </c>
      <c r="E127" s="14" t="s">
        <v>184</v>
      </c>
      <c r="F127" s="14" t="s">
        <v>225</v>
      </c>
      <c r="G127" s="14" t="s">
        <v>72</v>
      </c>
      <c r="H127" s="197">
        <v>44196</v>
      </c>
      <c r="I127" s="198">
        <v>2.09</v>
      </c>
      <c r="J127" s="200">
        <v>44377</v>
      </c>
      <c r="K127" s="201">
        <v>2.4700000000000002</v>
      </c>
      <c r="L127" s="200">
        <v>44377</v>
      </c>
      <c r="M127" s="201">
        <v>2.4700000000000002</v>
      </c>
      <c r="N127" s="200">
        <v>44377</v>
      </c>
      <c r="O127" s="201">
        <v>2.4700000000000002</v>
      </c>
      <c r="P127" s="200">
        <v>44377</v>
      </c>
      <c r="Q127" s="201">
        <v>2.4700000000000002</v>
      </c>
      <c r="R127" s="200">
        <v>44377</v>
      </c>
      <c r="S127" s="201">
        <v>2.4700000000000002</v>
      </c>
      <c r="T127" s="200">
        <v>44377</v>
      </c>
      <c r="U127" s="201">
        <v>2.2200000000000002</v>
      </c>
      <c r="V127" s="200">
        <v>44742</v>
      </c>
      <c r="W127" s="201">
        <v>2.5339999999999998</v>
      </c>
      <c r="X127" s="200">
        <v>45107</v>
      </c>
      <c r="Y127" s="201">
        <v>2.21</v>
      </c>
      <c r="Z127" s="202">
        <v>45473</v>
      </c>
      <c r="AA127" s="203">
        <v>2.41</v>
      </c>
      <c r="AB127" s="202">
        <v>45473</v>
      </c>
      <c r="AC127" s="203">
        <v>2.2999999999999998</v>
      </c>
      <c r="AE127" s="131"/>
      <c r="AG127" s="131"/>
    </row>
    <row r="128" spans="3:33" outlineLevel="1" x14ac:dyDescent="0.25">
      <c r="C128" s="14" t="s">
        <v>87</v>
      </c>
      <c r="D128" s="14" t="s">
        <v>259</v>
      </c>
      <c r="E128" s="14" t="s">
        <v>184</v>
      </c>
      <c r="F128" s="14" t="s">
        <v>225</v>
      </c>
      <c r="G128" s="14" t="s">
        <v>72</v>
      </c>
      <c r="H128" s="197">
        <v>44196</v>
      </c>
      <c r="I128" s="198">
        <v>2.9159999999999999</v>
      </c>
      <c r="J128" s="200">
        <v>44377</v>
      </c>
      <c r="K128" s="201">
        <v>3.5990000000000002</v>
      </c>
      <c r="L128" s="200">
        <v>44377</v>
      </c>
      <c r="M128" s="201">
        <v>3.5990000000000002</v>
      </c>
      <c r="N128" s="200">
        <v>44377</v>
      </c>
      <c r="O128" s="201">
        <v>3.5990000000000002</v>
      </c>
      <c r="P128" s="200">
        <v>44377</v>
      </c>
      <c r="Q128" s="201">
        <v>3.5990000000000002</v>
      </c>
      <c r="R128" s="200">
        <v>44377</v>
      </c>
      <c r="S128" s="201">
        <v>3.5990000000000002</v>
      </c>
      <c r="T128" s="200">
        <v>44377</v>
      </c>
      <c r="U128" s="201">
        <v>3.448</v>
      </c>
      <c r="V128" s="200">
        <v>44742</v>
      </c>
      <c r="W128" s="201">
        <v>3.7147999999999999</v>
      </c>
      <c r="X128" s="200">
        <v>45107</v>
      </c>
      <c r="Y128" s="201">
        <v>3.6950000000000003</v>
      </c>
      <c r="Z128" s="202">
        <v>45473</v>
      </c>
      <c r="AA128" s="203">
        <v>4.0917499299999998</v>
      </c>
      <c r="AB128" s="202">
        <v>45473</v>
      </c>
      <c r="AC128" s="203">
        <v>4.3879999999999999</v>
      </c>
      <c r="AE128" s="131"/>
      <c r="AG128" s="131"/>
    </row>
    <row r="129" spans="1:33" outlineLevel="1" x14ac:dyDescent="0.25">
      <c r="C129" s="14" t="s">
        <v>87</v>
      </c>
      <c r="D129" s="14" t="s">
        <v>260</v>
      </c>
      <c r="E129" s="14" t="s">
        <v>184</v>
      </c>
      <c r="F129" s="14" t="s">
        <v>225</v>
      </c>
      <c r="G129" s="14" t="s">
        <v>72</v>
      </c>
      <c r="H129" s="197">
        <v>44196</v>
      </c>
      <c r="I129" s="198">
        <v>2.14</v>
      </c>
      <c r="J129" s="200">
        <v>44377</v>
      </c>
      <c r="K129" s="201">
        <v>2.39</v>
      </c>
      <c r="L129" s="200">
        <v>44377</v>
      </c>
      <c r="M129" s="201">
        <v>2.39</v>
      </c>
      <c r="N129" s="200">
        <v>44377</v>
      </c>
      <c r="O129" s="201">
        <v>2.39</v>
      </c>
      <c r="P129" s="200">
        <v>44377</v>
      </c>
      <c r="Q129" s="201">
        <v>2.39</v>
      </c>
      <c r="R129" s="200">
        <v>44377</v>
      </c>
      <c r="S129" s="201">
        <v>2.39</v>
      </c>
      <c r="T129" s="200">
        <v>44377</v>
      </c>
      <c r="U129" s="201">
        <v>2.35</v>
      </c>
      <c r="V129" s="200">
        <v>44742</v>
      </c>
      <c r="W129" s="201">
        <v>2.7065999999999999</v>
      </c>
      <c r="X129" s="200">
        <v>45107</v>
      </c>
      <c r="Y129" s="201">
        <v>2.46</v>
      </c>
      <c r="Z129" s="202">
        <v>45473</v>
      </c>
      <c r="AA129" s="203">
        <v>2.66</v>
      </c>
      <c r="AB129" s="202">
        <v>45473</v>
      </c>
      <c r="AC129" s="203">
        <v>2.62</v>
      </c>
      <c r="AE129" s="131"/>
      <c r="AG129" s="131"/>
    </row>
    <row r="130" spans="1:33" outlineLevel="1" x14ac:dyDescent="0.25">
      <c r="C130" s="31" t="s">
        <v>87</v>
      </c>
      <c r="D130" s="31" t="s">
        <v>261</v>
      </c>
      <c r="E130" s="31" t="s">
        <v>184</v>
      </c>
      <c r="F130" s="31" t="s">
        <v>225</v>
      </c>
      <c r="G130" s="14" t="s">
        <v>72</v>
      </c>
      <c r="H130" s="197">
        <v>44196</v>
      </c>
      <c r="I130" s="198">
        <v>1.73</v>
      </c>
      <c r="J130" s="200">
        <v>44377</v>
      </c>
      <c r="K130" s="201">
        <v>2.17</v>
      </c>
      <c r="L130" s="200">
        <v>44377</v>
      </c>
      <c r="M130" s="201">
        <v>2.17</v>
      </c>
      <c r="N130" s="200">
        <v>44377</v>
      </c>
      <c r="O130" s="201">
        <v>2.17</v>
      </c>
      <c r="P130" s="200">
        <v>44377</v>
      </c>
      <c r="Q130" s="201">
        <v>2.17</v>
      </c>
      <c r="R130" s="200">
        <v>44377</v>
      </c>
      <c r="S130" s="201">
        <v>2.17</v>
      </c>
      <c r="T130" s="200">
        <v>44377</v>
      </c>
      <c r="U130" s="201">
        <v>2.34</v>
      </c>
      <c r="V130" s="200">
        <v>44742</v>
      </c>
      <c r="W130" s="201">
        <v>2.5017</v>
      </c>
      <c r="X130" s="200">
        <v>45107</v>
      </c>
      <c r="Y130" s="201">
        <v>2.44</v>
      </c>
      <c r="Z130" s="202">
        <v>45473</v>
      </c>
      <c r="AA130" s="203">
        <v>2.56</v>
      </c>
      <c r="AB130" s="202">
        <v>45473</v>
      </c>
      <c r="AC130" s="203">
        <v>2.54</v>
      </c>
      <c r="AE130" s="131"/>
      <c r="AG130" s="131"/>
    </row>
    <row r="131" spans="1:33" outlineLevel="1" x14ac:dyDescent="0.25">
      <c r="C131" s="14" t="s">
        <v>262</v>
      </c>
      <c r="D131" s="14" t="s">
        <v>263</v>
      </c>
      <c r="E131" s="14" t="s">
        <v>64</v>
      </c>
      <c r="F131" s="14" t="s">
        <v>264</v>
      </c>
      <c r="G131" s="14" t="s">
        <v>139</v>
      </c>
      <c r="H131" s="197" t="s">
        <v>54</v>
      </c>
      <c r="I131" s="198">
        <v>6.0400000000000002E-2</v>
      </c>
      <c r="J131" s="197" t="s">
        <v>54</v>
      </c>
      <c r="K131" s="199">
        <v>6.0400000000000002E-2</v>
      </c>
      <c r="L131" s="197" t="s">
        <v>54</v>
      </c>
      <c r="M131" s="198">
        <v>6.0400000000000002E-2</v>
      </c>
      <c r="N131" s="200" t="s">
        <v>54</v>
      </c>
      <c r="O131" s="205">
        <v>6.0400000000000002E-2</v>
      </c>
      <c r="P131" s="200" t="s">
        <v>54</v>
      </c>
      <c r="Q131" s="205">
        <v>6.0400000000000002E-2</v>
      </c>
      <c r="R131" s="200" t="s">
        <v>54</v>
      </c>
      <c r="S131" s="205">
        <v>6.0400000000000002E-2</v>
      </c>
      <c r="T131" s="200" t="s">
        <v>54</v>
      </c>
      <c r="U131" s="201">
        <v>6.0400000000000002E-2</v>
      </c>
      <c r="V131" s="200" t="s">
        <v>54</v>
      </c>
      <c r="W131" s="201">
        <v>6.0400000000000002E-2</v>
      </c>
      <c r="X131" s="200" t="s">
        <v>54</v>
      </c>
      <c r="Y131" s="201">
        <v>5.6000000000000001E-2</v>
      </c>
      <c r="Z131" s="202">
        <v>45473</v>
      </c>
      <c r="AA131" s="203">
        <v>5.6000000000000001E-2</v>
      </c>
      <c r="AB131" s="202">
        <v>45473</v>
      </c>
      <c r="AC131" s="203">
        <v>5.6000000000000001E-2</v>
      </c>
      <c r="AE131" s="131"/>
      <c r="AG131" s="131"/>
    </row>
    <row r="132" spans="1:33" outlineLevel="1" x14ac:dyDescent="0.25">
      <c r="C132" s="14" t="s">
        <v>265</v>
      </c>
      <c r="D132" s="14" t="s">
        <v>266</v>
      </c>
      <c r="E132" s="14" t="s">
        <v>64</v>
      </c>
      <c r="F132" s="14" t="s">
        <v>264</v>
      </c>
      <c r="G132" s="14" t="s">
        <v>139</v>
      </c>
      <c r="H132" s="197" t="s">
        <v>54</v>
      </c>
      <c r="I132" s="198">
        <v>0.99914999999999998</v>
      </c>
      <c r="J132" s="197" t="s">
        <v>54</v>
      </c>
      <c r="K132" s="199">
        <v>0.99914999999999998</v>
      </c>
      <c r="L132" s="197" t="s">
        <v>54</v>
      </c>
      <c r="M132" s="198">
        <v>0.99914999999999998</v>
      </c>
      <c r="N132" s="200" t="s">
        <v>54</v>
      </c>
      <c r="O132" s="205">
        <v>1.0016499999999999</v>
      </c>
      <c r="P132" s="200" t="s">
        <v>54</v>
      </c>
      <c r="Q132" s="205">
        <v>1.0056461538461539</v>
      </c>
      <c r="R132" s="200" t="s">
        <v>54</v>
      </c>
      <c r="S132" s="205">
        <v>1.0056461538461539</v>
      </c>
      <c r="T132" s="200" t="s">
        <v>54</v>
      </c>
      <c r="U132" s="201">
        <v>1.0020692307700001</v>
      </c>
      <c r="V132" s="200" t="s">
        <v>54</v>
      </c>
      <c r="W132" s="201">
        <v>1.0034000000000001</v>
      </c>
      <c r="X132" s="200" t="s">
        <v>54</v>
      </c>
      <c r="Y132" s="201">
        <v>1.0040999999999998</v>
      </c>
      <c r="Z132" s="202" t="s">
        <v>54</v>
      </c>
      <c r="AA132" s="203">
        <v>1.0041</v>
      </c>
      <c r="AB132" s="202">
        <v>45473</v>
      </c>
      <c r="AC132" s="203">
        <v>1.0024692307692307</v>
      </c>
      <c r="AE132" s="131"/>
      <c r="AG132" s="131"/>
    </row>
    <row r="133" spans="1:33" outlineLevel="1" x14ac:dyDescent="0.25">
      <c r="C133" s="14" t="s">
        <v>265</v>
      </c>
      <c r="D133" s="14" t="s">
        <v>267</v>
      </c>
      <c r="E133" s="14" t="s">
        <v>64</v>
      </c>
      <c r="F133" s="14" t="s">
        <v>264</v>
      </c>
      <c r="G133" s="14" t="s">
        <v>139</v>
      </c>
      <c r="H133" s="197" t="s">
        <v>54</v>
      </c>
      <c r="I133" s="198">
        <v>0.99780999999999997</v>
      </c>
      <c r="J133" s="197" t="s">
        <v>54</v>
      </c>
      <c r="K133" s="199">
        <v>0.99780999999999997</v>
      </c>
      <c r="L133" s="197" t="s">
        <v>54</v>
      </c>
      <c r="M133" s="198">
        <v>0.99780999999999997</v>
      </c>
      <c r="N133" s="200" t="s">
        <v>54</v>
      </c>
      <c r="O133" s="205">
        <v>0.99756</v>
      </c>
      <c r="P133" s="200" t="s">
        <v>54</v>
      </c>
      <c r="Q133" s="205">
        <v>0.99787777777777775</v>
      </c>
      <c r="R133" s="200" t="s">
        <v>54</v>
      </c>
      <c r="S133" s="205">
        <v>0.99787777777777775</v>
      </c>
      <c r="T133" s="200" t="s">
        <v>54</v>
      </c>
      <c r="U133" s="201">
        <v>0.99789000000000005</v>
      </c>
      <c r="V133" s="200" t="s">
        <v>54</v>
      </c>
      <c r="W133" s="201">
        <v>0.99729999999999996</v>
      </c>
      <c r="X133" s="200" t="s">
        <v>54</v>
      </c>
      <c r="Y133" s="201">
        <v>0.99999000000000005</v>
      </c>
      <c r="Z133" s="202" t="s">
        <v>54</v>
      </c>
      <c r="AA133" s="203">
        <v>1</v>
      </c>
      <c r="AB133" s="202">
        <v>45473</v>
      </c>
      <c r="AC133" s="203">
        <v>0.99983</v>
      </c>
      <c r="AE133" s="131"/>
      <c r="AG133" s="131"/>
    </row>
    <row r="134" spans="1:33" outlineLevel="1" x14ac:dyDescent="0.25">
      <c r="C134" s="14" t="s">
        <v>265</v>
      </c>
      <c r="D134" s="14" t="s">
        <v>268</v>
      </c>
      <c r="E134" s="14" t="s">
        <v>64</v>
      </c>
      <c r="F134" s="14" t="s">
        <v>264</v>
      </c>
      <c r="G134" s="14" t="s">
        <v>139</v>
      </c>
      <c r="H134" s="197" t="s">
        <v>54</v>
      </c>
      <c r="I134" s="198">
        <v>0.99831111111111126</v>
      </c>
      <c r="J134" s="197" t="s">
        <v>54</v>
      </c>
      <c r="K134" s="199">
        <v>0.99831111111111126</v>
      </c>
      <c r="L134" s="197" t="s">
        <v>54</v>
      </c>
      <c r="M134" s="198">
        <v>0.99831111111111126</v>
      </c>
      <c r="N134" s="200" t="s">
        <v>54</v>
      </c>
      <c r="O134" s="205">
        <v>0.99891111111111108</v>
      </c>
      <c r="P134" s="200" t="s">
        <v>54</v>
      </c>
      <c r="Q134" s="205">
        <v>0.99932500000000002</v>
      </c>
      <c r="R134" s="200" t="s">
        <v>54</v>
      </c>
      <c r="S134" s="205">
        <v>0.99932500000000002</v>
      </c>
      <c r="T134" s="200" t="s">
        <v>54</v>
      </c>
      <c r="U134" s="201">
        <v>0.99978750000000005</v>
      </c>
      <c r="V134" s="200" t="s">
        <v>54</v>
      </c>
      <c r="W134" s="201">
        <v>0.99939999999999996</v>
      </c>
      <c r="X134" s="200" t="s">
        <v>54</v>
      </c>
      <c r="Y134" s="201">
        <v>1.0006249999999999</v>
      </c>
      <c r="Z134" s="202" t="s">
        <v>54</v>
      </c>
      <c r="AA134" s="203">
        <v>1.0005999999999999</v>
      </c>
      <c r="AB134" s="202">
        <v>45473</v>
      </c>
      <c r="AC134" s="203">
        <v>1.00095</v>
      </c>
      <c r="AE134" s="131"/>
      <c r="AG134" s="131"/>
    </row>
    <row r="135" spans="1:33" outlineLevel="1" x14ac:dyDescent="0.25">
      <c r="C135" s="14" t="s">
        <v>265</v>
      </c>
      <c r="D135" s="14" t="s">
        <v>269</v>
      </c>
      <c r="E135" s="14" t="s">
        <v>64</v>
      </c>
      <c r="F135" s="14" t="s">
        <v>264</v>
      </c>
      <c r="G135" s="14" t="s">
        <v>139</v>
      </c>
      <c r="H135" s="197" t="s">
        <v>54</v>
      </c>
      <c r="I135" s="198">
        <v>0.98904090909090892</v>
      </c>
      <c r="J135" s="197" t="s">
        <v>54</v>
      </c>
      <c r="K135" s="199">
        <v>0.98904090909090892</v>
      </c>
      <c r="L135" s="197" t="s">
        <v>54</v>
      </c>
      <c r="M135" s="198">
        <v>0.98904090909090892</v>
      </c>
      <c r="N135" s="200" t="s">
        <v>54</v>
      </c>
      <c r="O135" s="205">
        <v>0.99418636363636348</v>
      </c>
      <c r="P135" s="200" t="s">
        <v>54</v>
      </c>
      <c r="Q135" s="205">
        <v>0.99378947368421044</v>
      </c>
      <c r="R135" s="200" t="s">
        <v>54</v>
      </c>
      <c r="S135" s="205">
        <v>0.99378947368421044</v>
      </c>
      <c r="T135" s="200" t="s">
        <v>54</v>
      </c>
      <c r="U135" s="201">
        <v>0.99254736842000002</v>
      </c>
      <c r="V135" s="200" t="s">
        <v>54</v>
      </c>
      <c r="W135" s="201">
        <v>0.99870000000000003</v>
      </c>
      <c r="X135" s="200" t="s">
        <v>54</v>
      </c>
      <c r="Y135" s="201">
        <v>0.9980157894736843</v>
      </c>
      <c r="Z135" s="202" t="s">
        <v>54</v>
      </c>
      <c r="AA135" s="203">
        <v>0.998</v>
      </c>
      <c r="AB135" s="202">
        <v>45473</v>
      </c>
      <c r="AC135" s="203">
        <v>0.99005789473684214</v>
      </c>
      <c r="AE135" s="131"/>
      <c r="AG135" s="131"/>
    </row>
    <row r="136" spans="1:33" outlineLevel="1" x14ac:dyDescent="0.25">
      <c r="C136" s="14" t="s">
        <v>265</v>
      </c>
      <c r="D136" s="14" t="s">
        <v>270</v>
      </c>
      <c r="E136" s="14" t="s">
        <v>64</v>
      </c>
      <c r="F136" s="14" t="s">
        <v>264</v>
      </c>
      <c r="G136" s="14" t="s">
        <v>139</v>
      </c>
      <c r="H136" s="197" t="s">
        <v>54</v>
      </c>
      <c r="I136" s="198">
        <v>0.99633000000000005</v>
      </c>
      <c r="J136" s="197" t="s">
        <v>54</v>
      </c>
      <c r="K136" s="199">
        <v>0.99633000000000005</v>
      </c>
      <c r="L136" s="197" t="s">
        <v>54</v>
      </c>
      <c r="M136" s="198">
        <v>0.99633000000000005</v>
      </c>
      <c r="N136" s="200" t="s">
        <v>54</v>
      </c>
      <c r="O136" s="205">
        <v>0.99576000000000009</v>
      </c>
      <c r="P136" s="200" t="s">
        <v>54</v>
      </c>
      <c r="Q136" s="205">
        <v>0.99566363636363631</v>
      </c>
      <c r="R136" s="200" t="s">
        <v>54</v>
      </c>
      <c r="S136" s="205">
        <v>0.99566363636363631</v>
      </c>
      <c r="T136" s="200" t="s">
        <v>54</v>
      </c>
      <c r="U136" s="201">
        <v>0.99679090909000001</v>
      </c>
      <c r="V136" s="200" t="s">
        <v>54</v>
      </c>
      <c r="W136" s="201">
        <v>0.99629999999999996</v>
      </c>
      <c r="X136" s="200" t="s">
        <v>54</v>
      </c>
      <c r="Y136" s="201">
        <v>0.99870909090909099</v>
      </c>
      <c r="Z136" s="202" t="s">
        <v>54</v>
      </c>
      <c r="AA136" s="203">
        <v>0.99870000000000003</v>
      </c>
      <c r="AB136" s="202">
        <v>45473</v>
      </c>
      <c r="AC136" s="203">
        <v>0.99826363636363635</v>
      </c>
      <c r="AE136" s="131"/>
      <c r="AG136" s="131"/>
    </row>
    <row r="137" spans="1:33" outlineLevel="1" x14ac:dyDescent="0.25">
      <c r="C137" s="14" t="s">
        <v>271</v>
      </c>
      <c r="D137" s="14" t="s">
        <v>272</v>
      </c>
      <c r="E137" s="14" t="s">
        <v>64</v>
      </c>
      <c r="F137" s="14" t="s">
        <v>264</v>
      </c>
      <c r="G137" s="14" t="s">
        <v>139</v>
      </c>
      <c r="H137" s="197" t="s">
        <v>54</v>
      </c>
      <c r="I137" s="198">
        <v>1.06795</v>
      </c>
      <c r="J137" s="197" t="s">
        <v>54</v>
      </c>
      <c r="K137" s="199">
        <v>1.06795</v>
      </c>
      <c r="L137" s="197" t="s">
        <v>54</v>
      </c>
      <c r="M137" s="198">
        <v>1.06795</v>
      </c>
      <c r="N137" s="200" t="s">
        <v>54</v>
      </c>
      <c r="O137" s="205">
        <v>1.0686</v>
      </c>
      <c r="P137" s="200" t="s">
        <v>54</v>
      </c>
      <c r="Q137" s="205">
        <v>1.0733923356752877</v>
      </c>
      <c r="R137" s="200" t="s">
        <v>54</v>
      </c>
      <c r="S137" s="205">
        <v>1.0733923356752877</v>
      </c>
      <c r="T137" s="200" t="s">
        <v>54</v>
      </c>
      <c r="U137" s="201">
        <v>1.0768412403282728</v>
      </c>
      <c r="V137" s="200" t="s">
        <v>54</v>
      </c>
      <c r="W137" s="201">
        <v>1.0768</v>
      </c>
      <c r="X137" s="200" t="s">
        <v>54</v>
      </c>
      <c r="Y137" s="201">
        <v>1.0809876390249804</v>
      </c>
      <c r="Z137" s="202" t="s">
        <v>54</v>
      </c>
      <c r="AA137" s="203">
        <v>1.081</v>
      </c>
      <c r="AB137" s="202">
        <v>45473</v>
      </c>
      <c r="AC137" s="203">
        <v>1.0768609977153836</v>
      </c>
      <c r="AE137" s="131"/>
      <c r="AG137" s="131"/>
    </row>
    <row r="138" spans="1:33" outlineLevel="1" x14ac:dyDescent="0.25">
      <c r="C138" s="14" t="s">
        <v>271</v>
      </c>
      <c r="D138" s="14" t="s">
        <v>273</v>
      </c>
      <c r="E138" s="14" t="s">
        <v>64</v>
      </c>
      <c r="F138" s="14" t="s">
        <v>264</v>
      </c>
      <c r="G138" s="14" t="s">
        <v>139</v>
      </c>
      <c r="H138" s="197" t="s">
        <v>54</v>
      </c>
      <c r="I138" s="198">
        <v>1.0508999999999999</v>
      </c>
      <c r="J138" s="197" t="s">
        <v>54</v>
      </c>
      <c r="K138" s="199">
        <v>1.0508999999999999</v>
      </c>
      <c r="L138" s="197" t="s">
        <v>54</v>
      </c>
      <c r="M138" s="198">
        <v>1.0508999999999999</v>
      </c>
      <c r="N138" s="200" t="s">
        <v>54</v>
      </c>
      <c r="O138" s="205">
        <v>1.0525</v>
      </c>
      <c r="P138" s="200" t="s">
        <v>54</v>
      </c>
      <c r="Q138" s="205">
        <v>1.05</v>
      </c>
      <c r="R138" s="200" t="s">
        <v>54</v>
      </c>
      <c r="S138" s="205">
        <v>1.05</v>
      </c>
      <c r="T138" s="200" t="s">
        <v>54</v>
      </c>
      <c r="U138" s="201">
        <v>1.0488</v>
      </c>
      <c r="V138" s="200" t="s">
        <v>54</v>
      </c>
      <c r="W138" s="201">
        <v>1.0488</v>
      </c>
      <c r="X138" s="200" t="s">
        <v>54</v>
      </c>
      <c r="Y138" s="201">
        <v>1.0449999999999999</v>
      </c>
      <c r="Z138" s="202" t="s">
        <v>54</v>
      </c>
      <c r="AA138" s="203">
        <v>1.0449999999999999</v>
      </c>
      <c r="AB138" s="202">
        <v>45473</v>
      </c>
      <c r="AC138" s="203">
        <v>1.0434000000000001</v>
      </c>
      <c r="AE138" s="131"/>
      <c r="AG138" s="131"/>
    </row>
    <row r="139" spans="1:33" outlineLevel="1" x14ac:dyDescent="0.25">
      <c r="C139" s="14" t="s">
        <v>271</v>
      </c>
      <c r="D139" s="14" t="s">
        <v>274</v>
      </c>
      <c r="E139" s="14" t="s">
        <v>64</v>
      </c>
      <c r="F139" s="14" t="s">
        <v>264</v>
      </c>
      <c r="G139" s="14" t="s">
        <v>139</v>
      </c>
      <c r="H139" s="197" t="s">
        <v>54</v>
      </c>
      <c r="I139" s="198">
        <v>1.0394000000000001</v>
      </c>
      <c r="J139" s="197" t="s">
        <v>54</v>
      </c>
      <c r="K139" s="199">
        <v>1.0394000000000001</v>
      </c>
      <c r="L139" s="197" t="s">
        <v>54</v>
      </c>
      <c r="M139" s="198">
        <v>1.0394000000000001</v>
      </c>
      <c r="N139" s="200" t="s">
        <v>54</v>
      </c>
      <c r="O139" s="205">
        <v>1.0429999999999999</v>
      </c>
      <c r="P139" s="200" t="s">
        <v>54</v>
      </c>
      <c r="Q139" s="205">
        <v>1.0429999999999999</v>
      </c>
      <c r="R139" s="200" t="s">
        <v>54</v>
      </c>
      <c r="S139" s="205">
        <v>1.0429999999999999</v>
      </c>
      <c r="T139" s="200" t="s">
        <v>54</v>
      </c>
      <c r="U139" s="201">
        <v>1.0379</v>
      </c>
      <c r="V139" s="200" t="s">
        <v>54</v>
      </c>
      <c r="W139" s="201">
        <v>1.0379</v>
      </c>
      <c r="X139" s="200" t="s">
        <v>54</v>
      </c>
      <c r="Y139" s="201">
        <v>1.0447</v>
      </c>
      <c r="Z139" s="202" t="s">
        <v>54</v>
      </c>
      <c r="AA139" s="203">
        <v>1.0447</v>
      </c>
      <c r="AB139" s="202">
        <v>45473</v>
      </c>
      <c r="AC139" s="203">
        <v>1.0468</v>
      </c>
      <c r="AE139" s="131"/>
      <c r="AF139" s="80"/>
      <c r="AG139" s="174"/>
    </row>
    <row r="140" spans="1:33" outlineLevel="1" x14ac:dyDescent="0.25">
      <c r="C140" s="14" t="s">
        <v>271</v>
      </c>
      <c r="D140" s="14" t="s">
        <v>275</v>
      </c>
      <c r="E140" s="14" t="s">
        <v>64</v>
      </c>
      <c r="F140" s="14" t="s">
        <v>264</v>
      </c>
      <c r="G140" s="14" t="s">
        <v>139</v>
      </c>
      <c r="H140" s="197" t="s">
        <v>54</v>
      </c>
      <c r="I140" s="198">
        <v>1.0829499999999999</v>
      </c>
      <c r="J140" s="197" t="s">
        <v>54</v>
      </c>
      <c r="K140" s="199">
        <v>1.0829499999999999</v>
      </c>
      <c r="L140" s="197" t="s">
        <v>54</v>
      </c>
      <c r="M140" s="198">
        <v>1.0829499999999999</v>
      </c>
      <c r="N140" s="200" t="s">
        <v>54</v>
      </c>
      <c r="O140" s="205">
        <v>1.0806</v>
      </c>
      <c r="P140" s="200" t="s">
        <v>54</v>
      </c>
      <c r="Q140" s="205">
        <v>1.0782239470237072</v>
      </c>
      <c r="R140" s="200" t="s">
        <v>54</v>
      </c>
      <c r="S140" s="205">
        <v>1.0782239470237072</v>
      </c>
      <c r="T140" s="200" t="s">
        <v>54</v>
      </c>
      <c r="U140" s="201">
        <v>1.0775506304077396</v>
      </c>
      <c r="V140" s="200" t="s">
        <v>54</v>
      </c>
      <c r="W140" s="201">
        <v>1.0775999999999999</v>
      </c>
      <c r="X140" s="200" t="s">
        <v>54</v>
      </c>
      <c r="Y140" s="201">
        <v>1.0735613169316207</v>
      </c>
      <c r="Z140" s="202" t="s">
        <v>54</v>
      </c>
      <c r="AA140" s="203">
        <v>1.0738000000000001</v>
      </c>
      <c r="AB140" s="202">
        <v>45473</v>
      </c>
      <c r="AC140" s="203">
        <v>1.0756983799679434</v>
      </c>
      <c r="AE140" s="131"/>
      <c r="AG140" s="131"/>
    </row>
    <row r="141" spans="1:33" outlineLevel="1" x14ac:dyDescent="0.25">
      <c r="C141" s="14" t="s">
        <v>271</v>
      </c>
      <c r="D141" s="14" t="s">
        <v>276</v>
      </c>
      <c r="E141" s="14" t="s">
        <v>64</v>
      </c>
      <c r="F141" s="14" t="s">
        <v>264</v>
      </c>
      <c r="G141" s="14" t="s">
        <v>139</v>
      </c>
      <c r="H141" s="197" t="s">
        <v>54</v>
      </c>
      <c r="I141" s="198">
        <v>1.0563</v>
      </c>
      <c r="J141" s="197" t="s">
        <v>54</v>
      </c>
      <c r="K141" s="199">
        <v>1.0563</v>
      </c>
      <c r="L141" s="197" t="s">
        <v>54</v>
      </c>
      <c r="M141" s="198">
        <v>1.0563</v>
      </c>
      <c r="N141" s="200" t="s">
        <v>54</v>
      </c>
      <c r="O141" s="205">
        <v>1.0525</v>
      </c>
      <c r="P141" s="200" t="s">
        <v>54</v>
      </c>
      <c r="Q141" s="205">
        <v>1.0525</v>
      </c>
      <c r="R141" s="200" t="s">
        <v>54</v>
      </c>
      <c r="S141" s="205">
        <v>1.0525</v>
      </c>
      <c r="T141" s="200" t="s">
        <v>54</v>
      </c>
      <c r="U141" s="201">
        <v>1.0470999999999999</v>
      </c>
      <c r="V141" s="200" t="s">
        <v>54</v>
      </c>
      <c r="W141" s="201">
        <v>1.0470999999999999</v>
      </c>
      <c r="X141" s="200" t="s">
        <v>54</v>
      </c>
      <c r="Y141" s="201">
        <v>1.0483</v>
      </c>
      <c r="Z141" s="202" t="s">
        <v>54</v>
      </c>
      <c r="AA141" s="203">
        <v>1.0483</v>
      </c>
      <c r="AB141" s="202">
        <v>45473</v>
      </c>
      <c r="AC141" s="203">
        <v>1.0463</v>
      </c>
      <c r="AE141" s="131"/>
      <c r="AG141" s="131"/>
    </row>
    <row r="142" spans="1:33" outlineLevel="1" x14ac:dyDescent="0.25">
      <c r="AG142" s="131"/>
    </row>
    <row r="143" spans="1:33" x14ac:dyDescent="0.25">
      <c r="P143" s="131"/>
    </row>
    <row r="144" spans="1:33" ht="16.5" thickBot="1" x14ac:dyDescent="0.3">
      <c r="A144" s="1" t="s">
        <v>36</v>
      </c>
      <c r="B144" s="155">
        <f ca="1">MAX(B$3:B143)+0.01</f>
        <v>10.02</v>
      </c>
      <c r="C144" s="183" t="s">
        <v>277</v>
      </c>
      <c r="D144" s="183"/>
      <c r="E144" s="183"/>
      <c r="F144" s="183"/>
      <c r="G144" s="183"/>
      <c r="H144" s="183"/>
      <c r="I144" s="183"/>
      <c r="J144" s="183"/>
      <c r="K144" s="183"/>
      <c r="L144" s="183"/>
      <c r="M144" s="183"/>
      <c r="N144" s="183"/>
      <c r="O144" s="183"/>
      <c r="P144" s="183"/>
      <c r="Q144" s="183"/>
      <c r="R144" s="183"/>
    </row>
    <row r="145" spans="3:18" outlineLevel="1" x14ac:dyDescent="0.25"/>
    <row r="146" spans="3:18" ht="15.75" outlineLevel="1" x14ac:dyDescent="0.25">
      <c r="G146" s="27" t="s">
        <v>48</v>
      </c>
      <c r="H146" s="196">
        <v>2021</v>
      </c>
      <c r="I146" s="196">
        <v>2021</v>
      </c>
      <c r="J146" s="196">
        <v>2021</v>
      </c>
      <c r="K146" s="196">
        <v>2022</v>
      </c>
      <c r="L146" s="196">
        <v>2022</v>
      </c>
      <c r="M146" s="196" t="s">
        <v>111</v>
      </c>
      <c r="N146" s="196" t="s">
        <v>111</v>
      </c>
      <c r="O146" s="196" t="s">
        <v>112</v>
      </c>
      <c r="P146" s="196" t="s">
        <v>112</v>
      </c>
      <c r="Q146" s="196" t="s">
        <v>2</v>
      </c>
      <c r="R146" s="196" t="s">
        <v>2</v>
      </c>
    </row>
    <row r="147" spans="3:18" ht="15.75" outlineLevel="1" x14ac:dyDescent="0.25">
      <c r="G147" s="27" t="s">
        <v>49</v>
      </c>
      <c r="H147" s="28" t="str">
        <f t="shared" ref="H147:R147" si="0">"VDO "&amp;H146&amp;" - "&amp;IF(LEFT(H149,1)="F","Final",IF(LEFT(H149,1)="D","Draft",IF(LEFT(H149,2)="VD","Variation draft",IF(LEFT(H149,2)="VF","Variation final"))))</f>
        <v>VDO 2021 - Final</v>
      </c>
      <c r="I147" s="28" t="str">
        <f t="shared" si="0"/>
        <v>VDO 2021 - Variation draft</v>
      </c>
      <c r="J147" s="28" t="str">
        <f t="shared" si="0"/>
        <v>VDO 2021 - Variation final</v>
      </c>
      <c r="K147" s="28" t="str">
        <f t="shared" si="0"/>
        <v>VDO 2022 - Draft</v>
      </c>
      <c r="L147" s="28" t="str">
        <f t="shared" si="0"/>
        <v>VDO 2022 - Final</v>
      </c>
      <c r="M147" s="28" t="str">
        <f t="shared" si="0"/>
        <v>VDO 2022-23 - Draft</v>
      </c>
      <c r="N147" s="28" t="str">
        <f t="shared" si="0"/>
        <v>VDO 2022-23 - Final</v>
      </c>
      <c r="O147" s="28" t="str">
        <f t="shared" si="0"/>
        <v>VDO 2023-24 - Draft</v>
      </c>
      <c r="P147" s="28" t="str">
        <f t="shared" si="0"/>
        <v>VDO 2023-24 - Final</v>
      </c>
      <c r="Q147" s="28" t="str">
        <f t="shared" si="0"/>
        <v>VDO 2024-25 - Draft</v>
      </c>
      <c r="R147" s="28" t="str">
        <f t="shared" si="0"/>
        <v>VDO 2024-25 - Final</v>
      </c>
    </row>
    <row r="148" spans="3:18" ht="15.75" outlineLevel="1" x14ac:dyDescent="0.25">
      <c r="C148" s="20" t="s">
        <v>278</v>
      </c>
    </row>
    <row r="149" spans="3:18" ht="15.75" outlineLevel="1" x14ac:dyDescent="0.25">
      <c r="C149" s="30" t="s">
        <v>279</v>
      </c>
      <c r="D149" s="30" t="s">
        <v>280</v>
      </c>
      <c r="E149" s="30" t="s">
        <v>281</v>
      </c>
      <c r="F149" s="30" t="s">
        <v>63</v>
      </c>
      <c r="G149" s="30" t="s">
        <v>282</v>
      </c>
      <c r="H149" s="30" t="s">
        <v>116</v>
      </c>
      <c r="I149" s="30" t="s">
        <v>118</v>
      </c>
      <c r="J149" s="30" t="s">
        <v>120</v>
      </c>
      <c r="K149" s="29" t="s">
        <v>122</v>
      </c>
      <c r="L149" s="29" t="s">
        <v>124</v>
      </c>
      <c r="M149" s="29" t="s">
        <v>126</v>
      </c>
      <c r="N149" s="29" t="s">
        <v>128</v>
      </c>
      <c r="O149" s="30" t="s">
        <v>130</v>
      </c>
      <c r="P149" s="30" t="s">
        <v>132</v>
      </c>
      <c r="Q149" s="30" t="s">
        <v>134</v>
      </c>
      <c r="R149" s="30" t="s">
        <v>52</v>
      </c>
    </row>
    <row r="150" spans="3:18" outlineLevel="1" x14ac:dyDescent="0.25">
      <c r="C150" s="14" t="s">
        <v>92</v>
      </c>
      <c r="D150" s="14" t="s">
        <v>74</v>
      </c>
      <c r="E150" s="58" t="str">
        <f>Input_Usage[[#This Row],[Profile name]]&amp;" - "&amp;Input_Usage[[#This Row],[Usage type]]</f>
        <v>Residential - small - Block 1</v>
      </c>
      <c r="F150" s="14" t="s">
        <v>72</v>
      </c>
      <c r="G150" s="14" t="s">
        <v>86</v>
      </c>
      <c r="H150" s="215">
        <v>2000</v>
      </c>
      <c r="I150" s="216">
        <v>2000</v>
      </c>
      <c r="J150" s="216">
        <v>2000</v>
      </c>
      <c r="K150" s="216">
        <v>2000</v>
      </c>
      <c r="L150" s="216">
        <v>2000</v>
      </c>
      <c r="M150" s="216">
        <v>2000</v>
      </c>
      <c r="N150" s="216">
        <v>2000</v>
      </c>
      <c r="O150" s="216">
        <v>2000</v>
      </c>
      <c r="P150" s="216">
        <v>2000</v>
      </c>
      <c r="Q150" s="216">
        <v>2000</v>
      </c>
      <c r="R150" s="216">
        <v>2000</v>
      </c>
    </row>
    <row r="151" spans="3:18" outlineLevel="1" x14ac:dyDescent="0.25">
      <c r="C151" s="14" t="s">
        <v>94</v>
      </c>
      <c r="D151" s="14" t="s">
        <v>74</v>
      </c>
      <c r="E151" s="58" t="str">
        <f>Input_Usage[[#This Row],[Profile name]]&amp;" - "&amp;Input_Usage[[#This Row],[Usage type]]</f>
        <v>Residential - medium - Block 1</v>
      </c>
      <c r="F151" s="14" t="s">
        <v>72</v>
      </c>
      <c r="G151" s="14" t="s">
        <v>86</v>
      </c>
      <c r="H151" s="215">
        <v>4000</v>
      </c>
      <c r="I151" s="216">
        <v>4000</v>
      </c>
      <c r="J151" s="216">
        <v>4000</v>
      </c>
      <c r="K151" s="216">
        <v>4000</v>
      </c>
      <c r="L151" s="216">
        <v>4000</v>
      </c>
      <c r="M151" s="216">
        <v>4000</v>
      </c>
      <c r="N151" s="216">
        <v>4000</v>
      </c>
      <c r="O151" s="216">
        <v>4000</v>
      </c>
      <c r="P151" s="216">
        <v>4000</v>
      </c>
      <c r="Q151" s="216">
        <v>4000</v>
      </c>
      <c r="R151" s="216">
        <v>4000</v>
      </c>
    </row>
    <row r="152" spans="3:18" outlineLevel="1" x14ac:dyDescent="0.25">
      <c r="C152" s="14" t="s">
        <v>96</v>
      </c>
      <c r="D152" s="14" t="s">
        <v>74</v>
      </c>
      <c r="E152" s="58" t="str">
        <f>Input_Usage[[#This Row],[Profile name]]&amp;" - "&amp;Input_Usage[[#This Row],[Usage type]]</f>
        <v>Residential - large - Block 1</v>
      </c>
      <c r="F152" s="14" t="s">
        <v>72</v>
      </c>
      <c r="G152" s="14" t="s">
        <v>86</v>
      </c>
      <c r="H152" s="215">
        <v>4080</v>
      </c>
      <c r="I152" s="216">
        <v>4080</v>
      </c>
      <c r="J152" s="216">
        <v>4080</v>
      </c>
      <c r="K152" s="216">
        <v>4080</v>
      </c>
      <c r="L152" s="216">
        <v>4080</v>
      </c>
      <c r="M152" s="216">
        <v>4080</v>
      </c>
      <c r="N152" s="216">
        <v>4080</v>
      </c>
      <c r="O152" s="216">
        <v>4080</v>
      </c>
      <c r="P152" s="216">
        <v>4080</v>
      </c>
      <c r="Q152" s="216">
        <v>4080</v>
      </c>
      <c r="R152" s="216">
        <v>4080</v>
      </c>
    </row>
    <row r="153" spans="3:18" outlineLevel="1" x14ac:dyDescent="0.25">
      <c r="C153" s="14" t="s">
        <v>93</v>
      </c>
      <c r="D153" s="14" t="s">
        <v>74</v>
      </c>
      <c r="E153" s="58" t="str">
        <f>Input_Usage[[#This Row],[Profile name]]&amp;" - "&amp;Input_Usage[[#This Row],[Usage type]]</f>
        <v>Small business - small - Block 1</v>
      </c>
      <c r="F153" s="14" t="s">
        <v>73</v>
      </c>
      <c r="G153" s="14" t="s">
        <v>86</v>
      </c>
      <c r="H153" s="215">
        <v>4080</v>
      </c>
      <c r="I153" s="216">
        <v>4080</v>
      </c>
      <c r="J153" s="216">
        <v>4080</v>
      </c>
      <c r="K153" s="216">
        <v>4080</v>
      </c>
      <c r="L153" s="216">
        <v>4080</v>
      </c>
      <c r="M153" s="216">
        <v>4080</v>
      </c>
      <c r="N153" s="216">
        <v>4080</v>
      </c>
      <c r="O153" s="216">
        <v>4080</v>
      </c>
      <c r="P153" s="216">
        <v>4080</v>
      </c>
      <c r="Q153" s="216">
        <v>4080</v>
      </c>
      <c r="R153" s="216">
        <v>4080</v>
      </c>
    </row>
    <row r="154" spans="3:18" outlineLevel="1" x14ac:dyDescent="0.25">
      <c r="C154" s="14" t="s">
        <v>95</v>
      </c>
      <c r="D154" s="14" t="s">
        <v>74</v>
      </c>
      <c r="E154" s="58" t="str">
        <f>Input_Usage[[#This Row],[Profile name]]&amp;" - "&amp;Input_Usage[[#This Row],[Usage type]]</f>
        <v>Small business - medium - Block 1</v>
      </c>
      <c r="F154" s="14" t="s">
        <v>73</v>
      </c>
      <c r="G154" s="14" t="s">
        <v>86</v>
      </c>
      <c r="H154" s="215">
        <v>4080</v>
      </c>
      <c r="I154" s="216">
        <v>4080</v>
      </c>
      <c r="J154" s="216">
        <v>4080</v>
      </c>
      <c r="K154" s="216">
        <v>4080</v>
      </c>
      <c r="L154" s="216">
        <v>4080</v>
      </c>
      <c r="M154" s="216">
        <v>4080</v>
      </c>
      <c r="N154" s="216">
        <v>4080</v>
      </c>
      <c r="O154" s="216">
        <v>4080</v>
      </c>
      <c r="P154" s="216">
        <v>4080</v>
      </c>
      <c r="Q154" s="216">
        <v>4080</v>
      </c>
      <c r="R154" s="216">
        <v>4080</v>
      </c>
    </row>
    <row r="155" spans="3:18" outlineLevel="1" x14ac:dyDescent="0.25">
      <c r="C155" s="14" t="s">
        <v>97</v>
      </c>
      <c r="D155" s="14" t="s">
        <v>74</v>
      </c>
      <c r="E155" s="58" t="str">
        <f>Input_Usage[[#This Row],[Profile name]]&amp;" - "&amp;Input_Usage[[#This Row],[Usage type]]</f>
        <v>Small business - large - Block 1</v>
      </c>
      <c r="F155" s="14" t="s">
        <v>73</v>
      </c>
      <c r="G155" s="14" t="s">
        <v>86</v>
      </c>
      <c r="H155" s="215">
        <v>4080</v>
      </c>
      <c r="I155" s="216">
        <v>4080</v>
      </c>
      <c r="J155" s="216">
        <v>4080</v>
      </c>
      <c r="K155" s="216">
        <v>4080</v>
      </c>
      <c r="L155" s="216">
        <v>4080</v>
      </c>
      <c r="M155" s="216">
        <v>4080</v>
      </c>
      <c r="N155" s="216">
        <v>4080</v>
      </c>
      <c r="O155" s="216">
        <v>4080</v>
      </c>
      <c r="P155" s="216">
        <v>4080</v>
      </c>
      <c r="Q155" s="216">
        <v>4080</v>
      </c>
      <c r="R155" s="216">
        <v>4080</v>
      </c>
    </row>
    <row r="156" spans="3:18" outlineLevel="1" x14ac:dyDescent="0.25">
      <c r="C156" s="14" t="s">
        <v>92</v>
      </c>
      <c r="D156" s="14" t="s">
        <v>76</v>
      </c>
      <c r="E156" s="58" t="str">
        <f>Input_Usage[[#This Row],[Profile name]]&amp;" - "&amp;Input_Usage[[#This Row],[Usage type]]</f>
        <v>Residential - small - Balance</v>
      </c>
      <c r="F156" s="14" t="s">
        <v>72</v>
      </c>
      <c r="G156" s="14" t="s">
        <v>86</v>
      </c>
      <c r="H156" s="215">
        <v>0</v>
      </c>
      <c r="I156" s="216">
        <v>0</v>
      </c>
      <c r="J156" s="216">
        <v>0</v>
      </c>
      <c r="K156" s="216">
        <v>0</v>
      </c>
      <c r="L156" s="216">
        <v>0</v>
      </c>
      <c r="M156" s="216">
        <v>0</v>
      </c>
      <c r="N156" s="216">
        <v>0</v>
      </c>
      <c r="O156" s="216">
        <v>0</v>
      </c>
      <c r="P156" s="216">
        <v>0</v>
      </c>
      <c r="Q156" s="216">
        <v>0</v>
      </c>
      <c r="R156" s="216">
        <v>0</v>
      </c>
    </row>
    <row r="157" spans="3:18" outlineLevel="1" x14ac:dyDescent="0.25">
      <c r="C157" s="14" t="s">
        <v>94</v>
      </c>
      <c r="D157" s="14" t="s">
        <v>76</v>
      </c>
      <c r="E157" s="58" t="str">
        <f>Input_Usage[[#This Row],[Profile name]]&amp;" - "&amp;Input_Usage[[#This Row],[Usage type]]</f>
        <v>Residential - medium - Balance</v>
      </c>
      <c r="F157" s="14" t="s">
        <v>72</v>
      </c>
      <c r="G157" s="14" t="s">
        <v>86</v>
      </c>
      <c r="H157" s="215">
        <v>0</v>
      </c>
      <c r="I157" s="216">
        <v>0</v>
      </c>
      <c r="J157" s="216">
        <v>0</v>
      </c>
      <c r="K157" s="216">
        <v>0</v>
      </c>
      <c r="L157" s="216">
        <v>0</v>
      </c>
      <c r="M157" s="216">
        <v>0</v>
      </c>
      <c r="N157" s="216">
        <v>0</v>
      </c>
      <c r="O157" s="216">
        <v>0</v>
      </c>
      <c r="P157" s="216">
        <v>0</v>
      </c>
      <c r="Q157" s="216">
        <v>0</v>
      </c>
      <c r="R157" s="216">
        <v>0</v>
      </c>
    </row>
    <row r="158" spans="3:18" outlineLevel="1" x14ac:dyDescent="0.25">
      <c r="C158" s="14" t="s">
        <v>96</v>
      </c>
      <c r="D158" s="14" t="s">
        <v>76</v>
      </c>
      <c r="E158" s="58" t="str">
        <f>Input_Usage[[#This Row],[Profile name]]&amp;" - "&amp;Input_Usage[[#This Row],[Usage type]]</f>
        <v>Residential - large - Balance</v>
      </c>
      <c r="F158" s="14" t="s">
        <v>72</v>
      </c>
      <c r="G158" s="14" t="s">
        <v>86</v>
      </c>
      <c r="H158" s="215">
        <v>3920</v>
      </c>
      <c r="I158" s="216">
        <v>3920</v>
      </c>
      <c r="J158" s="216">
        <v>3920</v>
      </c>
      <c r="K158" s="216">
        <v>3920</v>
      </c>
      <c r="L158" s="216">
        <v>3920</v>
      </c>
      <c r="M158" s="216">
        <v>3920</v>
      </c>
      <c r="N158" s="216">
        <v>3920</v>
      </c>
      <c r="O158" s="216">
        <v>3920</v>
      </c>
      <c r="P158" s="216">
        <v>3920</v>
      </c>
      <c r="Q158" s="216">
        <v>3920</v>
      </c>
      <c r="R158" s="216">
        <v>3920</v>
      </c>
    </row>
    <row r="159" spans="3:18" outlineLevel="1" x14ac:dyDescent="0.25">
      <c r="C159" s="14" t="s">
        <v>93</v>
      </c>
      <c r="D159" s="14" t="s">
        <v>76</v>
      </c>
      <c r="E159" s="58" t="str">
        <f>Input_Usage[[#This Row],[Profile name]]&amp;" - "&amp;Input_Usage[[#This Row],[Usage type]]</f>
        <v>Small business - small - Balance</v>
      </c>
      <c r="F159" s="14" t="s">
        <v>73</v>
      </c>
      <c r="G159" s="14" t="s">
        <v>86</v>
      </c>
      <c r="H159" s="215">
        <v>5920</v>
      </c>
      <c r="I159" s="216">
        <v>5920</v>
      </c>
      <c r="J159" s="216">
        <v>5920</v>
      </c>
      <c r="K159" s="216">
        <v>5920</v>
      </c>
      <c r="L159" s="216">
        <v>5920</v>
      </c>
      <c r="M159" s="216">
        <v>5920</v>
      </c>
      <c r="N159" s="216">
        <v>5920</v>
      </c>
      <c r="O159" s="216">
        <v>5920</v>
      </c>
      <c r="P159" s="216">
        <v>5920</v>
      </c>
      <c r="Q159" s="216">
        <v>5920</v>
      </c>
      <c r="R159" s="216">
        <v>5920</v>
      </c>
    </row>
    <row r="160" spans="3:18" outlineLevel="1" x14ac:dyDescent="0.25">
      <c r="C160" s="14" t="s">
        <v>95</v>
      </c>
      <c r="D160" s="14" t="s">
        <v>76</v>
      </c>
      <c r="E160" s="58" t="str">
        <f>Input_Usage[[#This Row],[Profile name]]&amp;" - "&amp;Input_Usage[[#This Row],[Usage type]]</f>
        <v>Small business - medium - Balance</v>
      </c>
      <c r="F160" s="14" t="s">
        <v>73</v>
      </c>
      <c r="G160" s="14" t="s">
        <v>86</v>
      </c>
      <c r="H160" s="215">
        <v>15920</v>
      </c>
      <c r="I160" s="216">
        <v>15920</v>
      </c>
      <c r="J160" s="216">
        <v>15920</v>
      </c>
      <c r="K160" s="216">
        <v>15920</v>
      </c>
      <c r="L160" s="216">
        <v>15920</v>
      </c>
      <c r="M160" s="216">
        <v>15920</v>
      </c>
      <c r="N160" s="216">
        <v>15920</v>
      </c>
      <c r="O160" s="216">
        <v>15920</v>
      </c>
      <c r="P160" s="216">
        <v>15920</v>
      </c>
      <c r="Q160" s="216">
        <v>15920</v>
      </c>
      <c r="R160" s="216">
        <v>15920</v>
      </c>
    </row>
    <row r="161" spans="3:18" outlineLevel="1" x14ac:dyDescent="0.25">
      <c r="C161" s="14" t="s">
        <v>97</v>
      </c>
      <c r="D161" s="14" t="s">
        <v>76</v>
      </c>
      <c r="E161" s="58" t="str">
        <f>Input_Usage[[#This Row],[Profile name]]&amp;" - "&amp;Input_Usage[[#This Row],[Usage type]]</f>
        <v>Small business - large - Balance</v>
      </c>
      <c r="F161" s="14" t="s">
        <v>73</v>
      </c>
      <c r="G161" s="14" t="s">
        <v>86</v>
      </c>
      <c r="H161" s="215">
        <v>35920</v>
      </c>
      <c r="I161" s="216">
        <v>35920</v>
      </c>
      <c r="J161" s="216">
        <v>35920</v>
      </c>
      <c r="K161" s="216">
        <v>35920</v>
      </c>
      <c r="L161" s="216">
        <v>35920</v>
      </c>
      <c r="M161" s="216">
        <v>35920</v>
      </c>
      <c r="N161" s="216">
        <v>35920</v>
      </c>
      <c r="O161" s="216">
        <v>35920</v>
      </c>
      <c r="P161" s="216">
        <v>35920</v>
      </c>
      <c r="Q161" s="216">
        <v>35920</v>
      </c>
      <c r="R161" s="216">
        <v>35920</v>
      </c>
    </row>
    <row r="162" spans="3:18" outlineLevel="1" x14ac:dyDescent="0.25">
      <c r="C162" s="14" t="s">
        <v>92</v>
      </c>
      <c r="D162" s="14" t="s">
        <v>294</v>
      </c>
      <c r="E162" s="58" t="str">
        <f>Input_Usage[[#This Row],[Profile name]]&amp;" - "&amp;Input_Usage[[#This Row],[Usage type]]</f>
        <v>Residential - small - Annual</v>
      </c>
      <c r="F162" s="14" t="s">
        <v>72</v>
      </c>
      <c r="G162" s="14" t="s">
        <v>86</v>
      </c>
      <c r="H162" s="215">
        <v>2000</v>
      </c>
      <c r="I162" s="216">
        <v>2000</v>
      </c>
      <c r="J162" s="216">
        <v>2000</v>
      </c>
      <c r="K162" s="216">
        <v>2000</v>
      </c>
      <c r="L162" s="216">
        <v>2000</v>
      </c>
      <c r="M162" s="216">
        <v>2000</v>
      </c>
      <c r="N162" s="216">
        <v>2000</v>
      </c>
      <c r="O162" s="216">
        <v>2000</v>
      </c>
      <c r="P162" s="216">
        <v>2000</v>
      </c>
      <c r="Q162" s="216">
        <v>2000</v>
      </c>
      <c r="R162" s="216">
        <v>2000</v>
      </c>
    </row>
    <row r="163" spans="3:18" outlineLevel="1" x14ac:dyDescent="0.25">
      <c r="C163" s="14" t="s">
        <v>94</v>
      </c>
      <c r="D163" s="14" t="s">
        <v>294</v>
      </c>
      <c r="E163" s="58" t="str">
        <f>Input_Usage[[#This Row],[Profile name]]&amp;" - "&amp;Input_Usage[[#This Row],[Usage type]]</f>
        <v>Residential - medium - Annual</v>
      </c>
      <c r="F163" s="14" t="s">
        <v>72</v>
      </c>
      <c r="G163" s="14" t="s">
        <v>86</v>
      </c>
      <c r="H163" s="215">
        <v>4000</v>
      </c>
      <c r="I163" s="216">
        <v>4000</v>
      </c>
      <c r="J163" s="216">
        <v>4000</v>
      </c>
      <c r="K163" s="216">
        <v>4000</v>
      </c>
      <c r="L163" s="216">
        <v>4000</v>
      </c>
      <c r="M163" s="216">
        <v>4000</v>
      </c>
      <c r="N163" s="216">
        <v>4000</v>
      </c>
      <c r="O163" s="216">
        <v>4000</v>
      </c>
      <c r="P163" s="216">
        <v>4000</v>
      </c>
      <c r="Q163" s="216">
        <v>4000</v>
      </c>
      <c r="R163" s="216">
        <v>4000</v>
      </c>
    </row>
    <row r="164" spans="3:18" outlineLevel="1" x14ac:dyDescent="0.25">
      <c r="C164" s="14" t="s">
        <v>96</v>
      </c>
      <c r="D164" s="14" t="s">
        <v>294</v>
      </c>
      <c r="E164" s="58" t="str">
        <f>Input_Usage[[#This Row],[Profile name]]&amp;" - "&amp;Input_Usage[[#This Row],[Usage type]]</f>
        <v>Residential - large - Annual</v>
      </c>
      <c r="F164" s="14" t="s">
        <v>72</v>
      </c>
      <c r="G164" s="14" t="s">
        <v>86</v>
      </c>
      <c r="H164" s="215">
        <v>8000</v>
      </c>
      <c r="I164" s="216">
        <v>8000</v>
      </c>
      <c r="J164" s="216">
        <v>8000</v>
      </c>
      <c r="K164" s="216">
        <v>8000</v>
      </c>
      <c r="L164" s="216">
        <v>8000</v>
      </c>
      <c r="M164" s="216">
        <v>8000</v>
      </c>
      <c r="N164" s="216">
        <v>8000</v>
      </c>
      <c r="O164" s="216">
        <v>8000</v>
      </c>
      <c r="P164" s="216">
        <v>8000</v>
      </c>
      <c r="Q164" s="216">
        <v>8000</v>
      </c>
      <c r="R164" s="216">
        <v>8000</v>
      </c>
    </row>
    <row r="165" spans="3:18" outlineLevel="1" x14ac:dyDescent="0.25">
      <c r="C165" s="14" t="s">
        <v>93</v>
      </c>
      <c r="D165" s="14" t="s">
        <v>294</v>
      </c>
      <c r="E165" s="58" t="str">
        <f>Input_Usage[[#This Row],[Profile name]]&amp;" - "&amp;Input_Usage[[#This Row],[Usage type]]</f>
        <v>Small business - small - Annual</v>
      </c>
      <c r="F165" s="14" t="s">
        <v>73</v>
      </c>
      <c r="G165" s="14" t="s">
        <v>86</v>
      </c>
      <c r="H165" s="215">
        <v>10000</v>
      </c>
      <c r="I165" s="216">
        <v>10000</v>
      </c>
      <c r="J165" s="216">
        <v>10000</v>
      </c>
      <c r="K165" s="216">
        <v>10000</v>
      </c>
      <c r="L165" s="216">
        <v>10000</v>
      </c>
      <c r="M165" s="216">
        <v>10000</v>
      </c>
      <c r="N165" s="216">
        <v>10000</v>
      </c>
      <c r="O165" s="216">
        <v>10000</v>
      </c>
      <c r="P165" s="216">
        <v>10000</v>
      </c>
      <c r="Q165" s="216">
        <v>10000</v>
      </c>
      <c r="R165" s="216">
        <v>10000</v>
      </c>
    </row>
    <row r="166" spans="3:18" outlineLevel="1" x14ac:dyDescent="0.25">
      <c r="C166" s="14" t="s">
        <v>95</v>
      </c>
      <c r="D166" s="14" t="s">
        <v>294</v>
      </c>
      <c r="E166" s="58" t="str">
        <f>Input_Usage[[#This Row],[Profile name]]&amp;" - "&amp;Input_Usage[[#This Row],[Usage type]]</f>
        <v>Small business - medium - Annual</v>
      </c>
      <c r="F166" s="14" t="s">
        <v>73</v>
      </c>
      <c r="G166" s="14" t="s">
        <v>86</v>
      </c>
      <c r="H166" s="215">
        <v>20000</v>
      </c>
      <c r="I166" s="216">
        <v>20000</v>
      </c>
      <c r="J166" s="216">
        <v>20000</v>
      </c>
      <c r="K166" s="216">
        <v>20000</v>
      </c>
      <c r="L166" s="216">
        <v>20000</v>
      </c>
      <c r="M166" s="216">
        <v>20000</v>
      </c>
      <c r="N166" s="216">
        <v>20000</v>
      </c>
      <c r="O166" s="216">
        <v>20000</v>
      </c>
      <c r="P166" s="216">
        <v>20000</v>
      </c>
      <c r="Q166" s="216">
        <v>20000</v>
      </c>
      <c r="R166" s="216">
        <v>20000</v>
      </c>
    </row>
    <row r="167" spans="3:18" outlineLevel="1" x14ac:dyDescent="0.25">
      <c r="C167" s="14" t="s">
        <v>97</v>
      </c>
      <c r="D167" s="14" t="s">
        <v>294</v>
      </c>
      <c r="E167" s="58" t="str">
        <f>Input_Usage[[#This Row],[Profile name]]&amp;" - "&amp;Input_Usage[[#This Row],[Usage type]]</f>
        <v>Small business - large - Annual</v>
      </c>
      <c r="F167" s="14" t="s">
        <v>73</v>
      </c>
      <c r="G167" s="14" t="s">
        <v>86</v>
      </c>
      <c r="H167" s="215">
        <v>40000</v>
      </c>
      <c r="I167" s="216">
        <v>40000</v>
      </c>
      <c r="J167" s="216">
        <v>40000</v>
      </c>
      <c r="K167" s="216">
        <v>40000</v>
      </c>
      <c r="L167" s="216">
        <v>40000</v>
      </c>
      <c r="M167" s="216">
        <v>40000</v>
      </c>
      <c r="N167" s="216">
        <v>40000</v>
      </c>
      <c r="O167" s="216">
        <v>40000</v>
      </c>
      <c r="P167" s="216">
        <v>40000</v>
      </c>
      <c r="Q167" s="216">
        <v>40000</v>
      </c>
      <c r="R167" s="216">
        <v>40000</v>
      </c>
    </row>
    <row r="168" spans="3:18" outlineLevel="1" x14ac:dyDescent="0.25">
      <c r="C168" s="39" t="s">
        <v>92</v>
      </c>
      <c r="D168" s="39" t="s">
        <v>77</v>
      </c>
      <c r="E168" s="58" t="str">
        <f>Input_Usage[[#This Row],[Profile name]]&amp;" - "&amp;Input_Usage[[#This Row],[Usage type]]</f>
        <v>Residential - small - Single rate</v>
      </c>
      <c r="F168" s="39" t="s">
        <v>72</v>
      </c>
      <c r="G168" s="39" t="s">
        <v>86</v>
      </c>
      <c r="H168" s="215">
        <v>2000</v>
      </c>
      <c r="I168" s="216">
        <v>2000</v>
      </c>
      <c r="J168" s="216">
        <v>2000</v>
      </c>
      <c r="K168" s="216">
        <v>2000</v>
      </c>
      <c r="L168" s="216">
        <v>2000</v>
      </c>
      <c r="M168" s="216">
        <v>2000</v>
      </c>
      <c r="N168" s="216">
        <v>2000</v>
      </c>
      <c r="O168" s="216">
        <v>2000</v>
      </c>
      <c r="P168" s="216">
        <v>2000</v>
      </c>
      <c r="Q168" s="216">
        <v>2000</v>
      </c>
      <c r="R168" s="216">
        <v>2000</v>
      </c>
    </row>
    <row r="169" spans="3:18" outlineLevel="1" x14ac:dyDescent="0.25">
      <c r="C169" s="39" t="s">
        <v>94</v>
      </c>
      <c r="D169" s="39" t="s">
        <v>77</v>
      </c>
      <c r="E169" s="58" t="str">
        <f>Input_Usage[[#This Row],[Profile name]]&amp;" - "&amp;Input_Usage[[#This Row],[Usage type]]</f>
        <v>Residential - medium - Single rate</v>
      </c>
      <c r="F169" s="39" t="s">
        <v>72</v>
      </c>
      <c r="G169" s="39" t="s">
        <v>86</v>
      </c>
      <c r="H169" s="215">
        <v>4000</v>
      </c>
      <c r="I169" s="216">
        <v>4000</v>
      </c>
      <c r="J169" s="216">
        <v>4000</v>
      </c>
      <c r="K169" s="216">
        <v>4000</v>
      </c>
      <c r="L169" s="216">
        <v>4000</v>
      </c>
      <c r="M169" s="216">
        <v>4000</v>
      </c>
      <c r="N169" s="216">
        <v>4000</v>
      </c>
      <c r="O169" s="216">
        <v>4000</v>
      </c>
      <c r="P169" s="216">
        <v>4000</v>
      </c>
      <c r="Q169" s="216">
        <v>4000</v>
      </c>
      <c r="R169" s="216">
        <v>4000</v>
      </c>
    </row>
    <row r="170" spans="3:18" outlineLevel="1" x14ac:dyDescent="0.25">
      <c r="C170" s="39" t="s">
        <v>96</v>
      </c>
      <c r="D170" s="39" t="s">
        <v>77</v>
      </c>
      <c r="E170" s="58" t="str">
        <f>Input_Usage[[#This Row],[Profile name]]&amp;" - "&amp;Input_Usage[[#This Row],[Usage type]]</f>
        <v>Residential - large - Single rate</v>
      </c>
      <c r="F170" s="39" t="s">
        <v>72</v>
      </c>
      <c r="G170" s="39" t="s">
        <v>86</v>
      </c>
      <c r="H170" s="215">
        <v>8000</v>
      </c>
      <c r="I170" s="216">
        <v>8000</v>
      </c>
      <c r="J170" s="216">
        <v>8000</v>
      </c>
      <c r="K170" s="216">
        <v>8000</v>
      </c>
      <c r="L170" s="216">
        <v>8000</v>
      </c>
      <c r="M170" s="216">
        <v>8000</v>
      </c>
      <c r="N170" s="216">
        <v>8000</v>
      </c>
      <c r="O170" s="216">
        <v>8000</v>
      </c>
      <c r="P170" s="216">
        <v>8000</v>
      </c>
      <c r="Q170" s="216">
        <v>8000</v>
      </c>
      <c r="R170" s="216">
        <v>8000</v>
      </c>
    </row>
    <row r="171" spans="3:18" outlineLevel="1" x14ac:dyDescent="0.25">
      <c r="C171" s="39" t="s">
        <v>93</v>
      </c>
      <c r="D171" s="39" t="s">
        <v>77</v>
      </c>
      <c r="E171" s="58" t="str">
        <f>Input_Usage[[#This Row],[Profile name]]&amp;" - "&amp;Input_Usage[[#This Row],[Usage type]]</f>
        <v>Small business - small - Single rate</v>
      </c>
      <c r="F171" s="39" t="s">
        <v>73</v>
      </c>
      <c r="G171" s="39" t="s">
        <v>86</v>
      </c>
      <c r="H171" s="215">
        <v>10000</v>
      </c>
      <c r="I171" s="216">
        <v>10000</v>
      </c>
      <c r="J171" s="216">
        <v>10000</v>
      </c>
      <c r="K171" s="216">
        <v>10000</v>
      </c>
      <c r="L171" s="216">
        <v>10000</v>
      </c>
      <c r="M171" s="216">
        <v>10000</v>
      </c>
      <c r="N171" s="216">
        <v>10000</v>
      </c>
      <c r="O171" s="216">
        <v>10000</v>
      </c>
      <c r="P171" s="216">
        <v>10000</v>
      </c>
      <c r="Q171" s="216">
        <v>10000</v>
      </c>
      <c r="R171" s="216">
        <v>10000</v>
      </c>
    </row>
    <row r="172" spans="3:18" outlineLevel="1" x14ac:dyDescent="0.25">
      <c r="C172" s="39" t="s">
        <v>95</v>
      </c>
      <c r="D172" s="39" t="s">
        <v>77</v>
      </c>
      <c r="E172" s="58" t="str">
        <f>Input_Usage[[#This Row],[Profile name]]&amp;" - "&amp;Input_Usage[[#This Row],[Usage type]]</f>
        <v>Small business - medium - Single rate</v>
      </c>
      <c r="F172" s="39" t="s">
        <v>73</v>
      </c>
      <c r="G172" s="39" t="s">
        <v>86</v>
      </c>
      <c r="H172" s="215">
        <v>20000</v>
      </c>
      <c r="I172" s="216">
        <v>20000</v>
      </c>
      <c r="J172" s="216">
        <v>20000</v>
      </c>
      <c r="K172" s="216">
        <v>20000</v>
      </c>
      <c r="L172" s="216">
        <v>20000</v>
      </c>
      <c r="M172" s="216">
        <v>20000</v>
      </c>
      <c r="N172" s="216">
        <v>20000</v>
      </c>
      <c r="O172" s="216">
        <v>20000</v>
      </c>
      <c r="P172" s="216">
        <v>20000</v>
      </c>
      <c r="Q172" s="216">
        <v>20000</v>
      </c>
      <c r="R172" s="216">
        <v>20000</v>
      </c>
    </row>
    <row r="173" spans="3:18" outlineLevel="1" x14ac:dyDescent="0.25">
      <c r="C173" s="39" t="s">
        <v>97</v>
      </c>
      <c r="D173" s="39" t="s">
        <v>77</v>
      </c>
      <c r="E173" s="58" t="str">
        <f>Input_Usage[[#This Row],[Profile name]]&amp;" - "&amp;Input_Usage[[#This Row],[Usage type]]</f>
        <v>Small business - large - Single rate</v>
      </c>
      <c r="F173" s="39" t="s">
        <v>73</v>
      </c>
      <c r="G173" s="39" t="s">
        <v>86</v>
      </c>
      <c r="H173" s="215">
        <v>40000</v>
      </c>
      <c r="I173" s="216">
        <v>40000</v>
      </c>
      <c r="J173" s="216">
        <v>40000</v>
      </c>
      <c r="K173" s="216">
        <v>40000</v>
      </c>
      <c r="L173" s="216">
        <v>40000</v>
      </c>
      <c r="M173" s="216">
        <v>40000</v>
      </c>
      <c r="N173" s="216">
        <v>40000</v>
      </c>
      <c r="O173" s="216">
        <v>40000</v>
      </c>
      <c r="P173" s="216">
        <v>40000</v>
      </c>
      <c r="Q173" s="216">
        <v>40000</v>
      </c>
      <c r="R173" s="216">
        <v>40000</v>
      </c>
    </row>
    <row r="174" spans="3:18" outlineLevel="1" x14ac:dyDescent="0.25">
      <c r="C174" s="39" t="s">
        <v>94</v>
      </c>
      <c r="D174" s="39" t="s">
        <v>81</v>
      </c>
      <c r="E174" s="58" t="str">
        <f>Input_Usage[[#This Row],[Profile name]]&amp;" - "&amp;Input_Usage[[#This Row],[Usage type]]</f>
        <v>Residential - medium - Controlled load</v>
      </c>
      <c r="F174" s="39" t="s">
        <v>72</v>
      </c>
      <c r="G174" s="39" t="s">
        <v>86</v>
      </c>
      <c r="H174" s="215">
        <v>2000</v>
      </c>
      <c r="I174" s="216">
        <v>2000</v>
      </c>
      <c r="J174" s="216">
        <v>2000</v>
      </c>
      <c r="K174" s="216">
        <v>2000</v>
      </c>
      <c r="L174" s="216">
        <v>2000</v>
      </c>
      <c r="M174" s="216">
        <v>2000</v>
      </c>
      <c r="N174" s="216">
        <v>2000</v>
      </c>
      <c r="O174" s="216">
        <v>2000</v>
      </c>
      <c r="P174" s="216">
        <v>2000</v>
      </c>
      <c r="Q174" s="216">
        <v>2000</v>
      </c>
      <c r="R174" s="216">
        <v>2000</v>
      </c>
    </row>
    <row r="175" spans="3:18" outlineLevel="1" x14ac:dyDescent="0.25">
      <c r="C175" s="14" t="s">
        <v>92</v>
      </c>
      <c r="D175" s="14" t="s">
        <v>79</v>
      </c>
      <c r="E175" s="58" t="str">
        <f>Input_Usage[[#This Row],[Profile name]]&amp;" - "&amp;Input_Usage[[#This Row],[Usage type]]</f>
        <v>Residential - small - Peak</v>
      </c>
      <c r="F175" s="14" t="s">
        <v>72</v>
      </c>
      <c r="G175" s="14" t="s">
        <v>88</v>
      </c>
      <c r="H175" s="215" t="s">
        <v>54</v>
      </c>
      <c r="I175" s="216">
        <v>660</v>
      </c>
      <c r="J175" s="216">
        <v>660</v>
      </c>
      <c r="K175" s="216">
        <v>660</v>
      </c>
      <c r="L175" s="216">
        <v>660</v>
      </c>
      <c r="M175" s="216">
        <v>660</v>
      </c>
      <c r="N175" s="216">
        <v>660</v>
      </c>
      <c r="O175" s="216">
        <v>660</v>
      </c>
      <c r="P175" s="216">
        <v>660</v>
      </c>
      <c r="Q175" s="216">
        <v>660</v>
      </c>
      <c r="R175" s="216">
        <v>660</v>
      </c>
    </row>
    <row r="176" spans="3:18" outlineLevel="1" x14ac:dyDescent="0.25">
      <c r="C176" s="14" t="s">
        <v>94</v>
      </c>
      <c r="D176" s="14" t="s">
        <v>79</v>
      </c>
      <c r="E176" s="58" t="str">
        <f>Input_Usage[[#This Row],[Profile name]]&amp;" - "&amp;Input_Usage[[#This Row],[Usage type]]</f>
        <v>Residential - medium - Peak</v>
      </c>
      <c r="F176" s="14" t="s">
        <v>72</v>
      </c>
      <c r="G176" s="14" t="s">
        <v>88</v>
      </c>
      <c r="H176" s="215" t="s">
        <v>54</v>
      </c>
      <c r="I176" s="216">
        <v>1320</v>
      </c>
      <c r="J176" s="216">
        <v>1320</v>
      </c>
      <c r="K176" s="216">
        <v>1320</v>
      </c>
      <c r="L176" s="216">
        <v>1320</v>
      </c>
      <c r="M176" s="216">
        <v>1320</v>
      </c>
      <c r="N176" s="216">
        <v>1320</v>
      </c>
      <c r="O176" s="216">
        <v>1320</v>
      </c>
      <c r="P176" s="216">
        <v>1320</v>
      </c>
      <c r="Q176" s="216">
        <v>1320</v>
      </c>
      <c r="R176" s="216">
        <v>1320</v>
      </c>
    </row>
    <row r="177" spans="2:18" outlineLevel="1" x14ac:dyDescent="0.25">
      <c r="C177" s="14" t="s">
        <v>96</v>
      </c>
      <c r="D177" s="14" t="s">
        <v>79</v>
      </c>
      <c r="E177" s="58" t="str">
        <f>Input_Usage[[#This Row],[Profile name]]&amp;" - "&amp;Input_Usage[[#This Row],[Usage type]]</f>
        <v>Residential - large - Peak</v>
      </c>
      <c r="F177" s="14" t="s">
        <v>72</v>
      </c>
      <c r="G177" s="14" t="s">
        <v>88</v>
      </c>
      <c r="H177" s="215" t="s">
        <v>54</v>
      </c>
      <c r="I177" s="216">
        <v>2640</v>
      </c>
      <c r="J177" s="216">
        <v>2640</v>
      </c>
      <c r="K177" s="216">
        <v>2640</v>
      </c>
      <c r="L177" s="216">
        <v>2640</v>
      </c>
      <c r="M177" s="216">
        <v>2640</v>
      </c>
      <c r="N177" s="216">
        <v>2640</v>
      </c>
      <c r="O177" s="216">
        <v>2640</v>
      </c>
      <c r="P177" s="216">
        <v>2640</v>
      </c>
      <c r="Q177" s="216">
        <v>2640</v>
      </c>
      <c r="R177" s="216">
        <v>2640</v>
      </c>
    </row>
    <row r="178" spans="2:18" outlineLevel="1" x14ac:dyDescent="0.25">
      <c r="C178" s="14" t="s">
        <v>93</v>
      </c>
      <c r="D178" s="14" t="s">
        <v>79</v>
      </c>
      <c r="E178" s="58" t="str">
        <f>Input_Usage[[#This Row],[Profile name]]&amp;" - "&amp;Input_Usage[[#This Row],[Usage type]]</f>
        <v>Small business - small - Peak</v>
      </c>
      <c r="F178" s="14" t="s">
        <v>73</v>
      </c>
      <c r="G178" s="14" t="s">
        <v>88</v>
      </c>
      <c r="H178" s="215" t="s">
        <v>54</v>
      </c>
      <c r="I178" s="216">
        <v>4900</v>
      </c>
      <c r="J178" s="216">
        <v>4900</v>
      </c>
      <c r="K178" s="216">
        <v>4900</v>
      </c>
      <c r="L178" s="216">
        <v>4900</v>
      </c>
      <c r="M178" s="216">
        <v>4900</v>
      </c>
      <c r="N178" s="216">
        <v>4900</v>
      </c>
      <c r="O178" s="216">
        <v>4900</v>
      </c>
      <c r="P178" s="216">
        <v>4900</v>
      </c>
      <c r="Q178" s="216">
        <v>4900</v>
      </c>
      <c r="R178" s="216">
        <v>4900</v>
      </c>
    </row>
    <row r="179" spans="2:18" outlineLevel="1" x14ac:dyDescent="0.25">
      <c r="C179" s="14" t="s">
        <v>95</v>
      </c>
      <c r="D179" s="14" t="s">
        <v>79</v>
      </c>
      <c r="E179" s="58" t="str">
        <f>Input_Usage[[#This Row],[Profile name]]&amp;" - "&amp;Input_Usage[[#This Row],[Usage type]]</f>
        <v>Small business - medium - Peak</v>
      </c>
      <c r="F179" s="14" t="s">
        <v>73</v>
      </c>
      <c r="G179" s="14" t="s">
        <v>88</v>
      </c>
      <c r="H179" s="215" t="s">
        <v>54</v>
      </c>
      <c r="I179" s="216">
        <v>9800</v>
      </c>
      <c r="J179" s="216">
        <v>9800</v>
      </c>
      <c r="K179" s="216">
        <v>9800</v>
      </c>
      <c r="L179" s="216">
        <v>9800</v>
      </c>
      <c r="M179" s="216">
        <v>9800</v>
      </c>
      <c r="N179" s="216">
        <v>9800</v>
      </c>
      <c r="O179" s="216">
        <v>9800</v>
      </c>
      <c r="P179" s="216">
        <v>9800</v>
      </c>
      <c r="Q179" s="216">
        <v>9800</v>
      </c>
      <c r="R179" s="216">
        <v>9800</v>
      </c>
    </row>
    <row r="180" spans="2:18" outlineLevel="1" x14ac:dyDescent="0.25">
      <c r="C180" s="14" t="s">
        <v>97</v>
      </c>
      <c r="D180" s="14" t="s">
        <v>79</v>
      </c>
      <c r="E180" s="58" t="str">
        <f>Input_Usage[[#This Row],[Profile name]]&amp;" - "&amp;Input_Usage[[#This Row],[Usage type]]</f>
        <v>Small business - large - Peak</v>
      </c>
      <c r="F180" s="14" t="s">
        <v>73</v>
      </c>
      <c r="G180" s="14" t="s">
        <v>88</v>
      </c>
      <c r="H180" s="215" t="s">
        <v>54</v>
      </c>
      <c r="I180" s="216">
        <v>19600</v>
      </c>
      <c r="J180" s="216">
        <v>19600</v>
      </c>
      <c r="K180" s="216">
        <v>19600</v>
      </c>
      <c r="L180" s="216">
        <v>19600</v>
      </c>
      <c r="M180" s="216">
        <v>19600</v>
      </c>
      <c r="N180" s="216">
        <v>19600</v>
      </c>
      <c r="O180" s="216">
        <v>19600</v>
      </c>
      <c r="P180" s="216">
        <v>19600</v>
      </c>
      <c r="Q180" s="216">
        <v>19600</v>
      </c>
      <c r="R180" s="216">
        <v>19600</v>
      </c>
    </row>
    <row r="181" spans="2:18" outlineLevel="1" x14ac:dyDescent="0.25">
      <c r="C181" s="14" t="s">
        <v>92</v>
      </c>
      <c r="D181" s="14" t="s">
        <v>80</v>
      </c>
      <c r="E181" s="58" t="str">
        <f>Input_Usage[[#This Row],[Profile name]]&amp;" - "&amp;Input_Usage[[#This Row],[Usage type]]</f>
        <v>Residential - small - Off peak</v>
      </c>
      <c r="F181" s="14" t="s">
        <v>72</v>
      </c>
      <c r="G181" s="14" t="s">
        <v>88</v>
      </c>
      <c r="H181" s="215" t="s">
        <v>54</v>
      </c>
      <c r="I181" s="216">
        <v>1340</v>
      </c>
      <c r="J181" s="216">
        <v>1340</v>
      </c>
      <c r="K181" s="216">
        <v>1340</v>
      </c>
      <c r="L181" s="216">
        <v>1340</v>
      </c>
      <c r="M181" s="216">
        <v>1340</v>
      </c>
      <c r="N181" s="216">
        <v>1340</v>
      </c>
      <c r="O181" s="216">
        <v>1340</v>
      </c>
      <c r="P181" s="216">
        <v>1340</v>
      </c>
      <c r="Q181" s="216">
        <v>1340</v>
      </c>
      <c r="R181" s="216">
        <v>1340</v>
      </c>
    </row>
    <row r="182" spans="2:18" outlineLevel="1" x14ac:dyDescent="0.25">
      <c r="C182" s="14" t="s">
        <v>94</v>
      </c>
      <c r="D182" s="14" t="s">
        <v>80</v>
      </c>
      <c r="E182" s="58" t="str">
        <f>Input_Usage[[#This Row],[Profile name]]&amp;" - "&amp;Input_Usage[[#This Row],[Usage type]]</f>
        <v>Residential - medium - Off peak</v>
      </c>
      <c r="F182" s="14" t="s">
        <v>72</v>
      </c>
      <c r="G182" s="14" t="s">
        <v>88</v>
      </c>
      <c r="H182" s="215" t="s">
        <v>54</v>
      </c>
      <c r="I182" s="216">
        <v>2680</v>
      </c>
      <c r="J182" s="216">
        <v>2680</v>
      </c>
      <c r="K182" s="216">
        <v>2680</v>
      </c>
      <c r="L182" s="216">
        <v>2680</v>
      </c>
      <c r="M182" s="216">
        <v>2680</v>
      </c>
      <c r="N182" s="216">
        <v>2680</v>
      </c>
      <c r="O182" s="216">
        <v>2680</v>
      </c>
      <c r="P182" s="216">
        <v>2680</v>
      </c>
      <c r="Q182" s="216">
        <v>2680</v>
      </c>
      <c r="R182" s="216">
        <v>2680</v>
      </c>
    </row>
    <row r="183" spans="2:18" outlineLevel="1" x14ac:dyDescent="0.25">
      <c r="C183" s="14" t="s">
        <v>96</v>
      </c>
      <c r="D183" s="14" t="s">
        <v>80</v>
      </c>
      <c r="E183" s="58" t="str">
        <f>Input_Usage[[#This Row],[Profile name]]&amp;" - "&amp;Input_Usage[[#This Row],[Usage type]]</f>
        <v>Residential - large - Off peak</v>
      </c>
      <c r="F183" s="14" t="s">
        <v>72</v>
      </c>
      <c r="G183" s="14" t="s">
        <v>88</v>
      </c>
      <c r="H183" s="215" t="s">
        <v>54</v>
      </c>
      <c r="I183" s="216">
        <v>5360</v>
      </c>
      <c r="J183" s="216">
        <v>5360</v>
      </c>
      <c r="K183" s="216">
        <v>5360</v>
      </c>
      <c r="L183" s="216">
        <v>5360</v>
      </c>
      <c r="M183" s="216">
        <v>5360</v>
      </c>
      <c r="N183" s="216">
        <v>5360</v>
      </c>
      <c r="O183" s="216">
        <v>5360</v>
      </c>
      <c r="P183" s="216">
        <v>5360</v>
      </c>
      <c r="Q183" s="216">
        <v>5360</v>
      </c>
      <c r="R183" s="216">
        <v>5360</v>
      </c>
    </row>
    <row r="184" spans="2:18" outlineLevel="1" x14ac:dyDescent="0.25">
      <c r="C184" s="14" t="s">
        <v>93</v>
      </c>
      <c r="D184" s="14" t="s">
        <v>80</v>
      </c>
      <c r="E184" s="58" t="str">
        <f>Input_Usage[[#This Row],[Profile name]]&amp;" - "&amp;Input_Usage[[#This Row],[Usage type]]</f>
        <v>Small business - small - Off peak</v>
      </c>
      <c r="F184" s="14" t="s">
        <v>73</v>
      </c>
      <c r="G184" s="14" t="s">
        <v>88</v>
      </c>
      <c r="H184" s="215" t="s">
        <v>54</v>
      </c>
      <c r="I184" s="216">
        <v>5100</v>
      </c>
      <c r="J184" s="216">
        <v>5100</v>
      </c>
      <c r="K184" s="216">
        <v>5100</v>
      </c>
      <c r="L184" s="216">
        <v>5100</v>
      </c>
      <c r="M184" s="216">
        <v>5100</v>
      </c>
      <c r="N184" s="216">
        <v>5100</v>
      </c>
      <c r="O184" s="216">
        <v>5100</v>
      </c>
      <c r="P184" s="216">
        <v>5100</v>
      </c>
      <c r="Q184" s="216">
        <v>5100</v>
      </c>
      <c r="R184" s="216">
        <v>5100</v>
      </c>
    </row>
    <row r="185" spans="2:18" outlineLevel="1" x14ac:dyDescent="0.25">
      <c r="C185" s="14" t="s">
        <v>95</v>
      </c>
      <c r="D185" s="14" t="s">
        <v>80</v>
      </c>
      <c r="E185" s="58" t="str">
        <f>Input_Usage[[#This Row],[Profile name]]&amp;" - "&amp;Input_Usage[[#This Row],[Usage type]]</f>
        <v>Small business - medium - Off peak</v>
      </c>
      <c r="F185" s="14" t="s">
        <v>73</v>
      </c>
      <c r="G185" s="14" t="s">
        <v>88</v>
      </c>
      <c r="H185" s="215" t="s">
        <v>54</v>
      </c>
      <c r="I185" s="216">
        <v>10200</v>
      </c>
      <c r="J185" s="216">
        <v>10200</v>
      </c>
      <c r="K185" s="216">
        <v>10200</v>
      </c>
      <c r="L185" s="216">
        <v>10200</v>
      </c>
      <c r="M185" s="216">
        <v>10200</v>
      </c>
      <c r="N185" s="216">
        <v>10200</v>
      </c>
      <c r="O185" s="216">
        <v>10200</v>
      </c>
      <c r="P185" s="216">
        <v>10200</v>
      </c>
      <c r="Q185" s="216">
        <v>10200</v>
      </c>
      <c r="R185" s="216">
        <v>10200</v>
      </c>
    </row>
    <row r="186" spans="2:18" outlineLevel="1" x14ac:dyDescent="0.25">
      <c r="C186" s="14" t="s">
        <v>97</v>
      </c>
      <c r="D186" s="14" t="s">
        <v>80</v>
      </c>
      <c r="E186" s="58" t="str">
        <f>Input_Usage[[#This Row],[Profile name]]&amp;" - "&amp;Input_Usage[[#This Row],[Usage type]]</f>
        <v>Small business - large - Off peak</v>
      </c>
      <c r="F186" s="14" t="s">
        <v>73</v>
      </c>
      <c r="G186" s="14" t="s">
        <v>88</v>
      </c>
      <c r="H186" s="215" t="s">
        <v>54</v>
      </c>
      <c r="I186" s="216">
        <v>20400</v>
      </c>
      <c r="J186" s="216">
        <v>20400</v>
      </c>
      <c r="K186" s="216">
        <v>20400</v>
      </c>
      <c r="L186" s="216">
        <v>20400</v>
      </c>
      <c r="M186" s="216">
        <v>20400</v>
      </c>
      <c r="N186" s="216">
        <v>20400</v>
      </c>
      <c r="O186" s="216">
        <v>20400</v>
      </c>
      <c r="P186" s="216">
        <v>20400</v>
      </c>
      <c r="Q186" s="216">
        <v>20400</v>
      </c>
      <c r="R186" s="216">
        <v>20400</v>
      </c>
    </row>
    <row r="188" spans="2:18" ht="16.5" thickBot="1" x14ac:dyDescent="0.3">
      <c r="B188" s="155">
        <f ca="1">MAX(B$3:B187)+0.01</f>
        <v>10.029999999999999</v>
      </c>
      <c r="C188" s="183" t="s">
        <v>295</v>
      </c>
      <c r="D188" s="183"/>
      <c r="E188" s="183"/>
      <c r="F188" s="183"/>
      <c r="G188" s="183"/>
      <c r="H188" s="183"/>
      <c r="I188" s="183"/>
      <c r="J188" s="183"/>
      <c r="K188" s="183"/>
      <c r="L188" s="183"/>
      <c r="M188" s="183"/>
      <c r="N188" s="183"/>
      <c r="O188" s="183"/>
      <c r="P188" s="183"/>
      <c r="Q188" s="183"/>
      <c r="R188" s="183"/>
    </row>
    <row r="189" spans="2:18" x14ac:dyDescent="0.25">
      <c r="N189" s="217" t="s">
        <v>296</v>
      </c>
      <c r="O189" s="217" t="s">
        <v>296</v>
      </c>
      <c r="P189" s="217" t="s">
        <v>296</v>
      </c>
      <c r="Q189" s="217" t="s">
        <v>296</v>
      </c>
      <c r="R189" s="217" t="s">
        <v>296</v>
      </c>
    </row>
    <row r="190" spans="2:18" ht="15.75" outlineLevel="1" x14ac:dyDescent="0.25">
      <c r="G190" s="27" t="s">
        <v>48</v>
      </c>
      <c r="H190" s="196">
        <v>2021</v>
      </c>
      <c r="I190" s="196">
        <v>2021</v>
      </c>
      <c r="J190" s="196">
        <v>2021</v>
      </c>
      <c r="K190" s="196">
        <v>2022</v>
      </c>
      <c r="L190" s="196">
        <v>2022</v>
      </c>
      <c r="M190" s="196" t="s">
        <v>111</v>
      </c>
      <c r="N190" s="196" t="s">
        <v>111</v>
      </c>
      <c r="O190" s="217" t="s">
        <v>112</v>
      </c>
      <c r="P190" s="217" t="s">
        <v>112</v>
      </c>
      <c r="Q190" s="217" t="s">
        <v>2</v>
      </c>
      <c r="R190" s="217" t="s">
        <v>2</v>
      </c>
    </row>
    <row r="191" spans="2:18" ht="15.75" outlineLevel="1" x14ac:dyDescent="0.25">
      <c r="G191" s="27" t="s">
        <v>49</v>
      </c>
      <c r="H191" s="28" t="str">
        <f t="shared" ref="H191:R191" si="1">"VDO "&amp;H190&amp;" - "&amp;IF(LEFT(H193,1)="F","Final",IF(LEFT(H193,1)="D","Draft",IF(LEFT(H193,2)="VD","Variation draft",IF(LEFT(H193,2)="VF","Variation final"))))</f>
        <v>VDO 2021 - Final</v>
      </c>
      <c r="I191" s="28" t="str">
        <f t="shared" si="1"/>
        <v>VDO 2021 - Variation draft</v>
      </c>
      <c r="J191" s="28" t="str">
        <f t="shared" si="1"/>
        <v>VDO 2021 - Variation final</v>
      </c>
      <c r="K191" s="28" t="str">
        <f t="shared" si="1"/>
        <v>VDO 2022 - Draft</v>
      </c>
      <c r="L191" s="28" t="str">
        <f t="shared" si="1"/>
        <v>VDO 2022 - Final</v>
      </c>
      <c r="M191" s="28" t="str">
        <f t="shared" si="1"/>
        <v>VDO 2022-23 - Draft</v>
      </c>
      <c r="N191" s="28" t="str">
        <f t="shared" si="1"/>
        <v>VDO 2022-23 - Final</v>
      </c>
      <c r="O191" s="28" t="str">
        <f t="shared" si="1"/>
        <v>VDO 2023-24 - Draft</v>
      </c>
      <c r="P191" s="28" t="str">
        <f t="shared" si="1"/>
        <v>VDO 2023-24 - Final</v>
      </c>
      <c r="Q191" s="28" t="str">
        <f t="shared" si="1"/>
        <v>VDO 2024-25 - Draft</v>
      </c>
      <c r="R191" s="28" t="str">
        <f t="shared" si="1"/>
        <v>VDO 2024-25 - Final</v>
      </c>
    </row>
    <row r="192" spans="2:18" ht="15.75" outlineLevel="1" x14ac:dyDescent="0.25">
      <c r="C192" s="20" t="s">
        <v>297</v>
      </c>
    </row>
    <row r="193" spans="3:29" ht="15.75" outlineLevel="1" x14ac:dyDescent="0.25">
      <c r="C193" s="30" t="s">
        <v>50</v>
      </c>
      <c r="D193" s="30" t="s">
        <v>51</v>
      </c>
      <c r="E193" s="30" t="s">
        <v>114</v>
      </c>
      <c r="F193" s="30" t="s">
        <v>62</v>
      </c>
      <c r="G193" s="30" t="s">
        <v>63</v>
      </c>
      <c r="H193" s="30" t="s">
        <v>116</v>
      </c>
      <c r="I193" s="30" t="s">
        <v>118</v>
      </c>
      <c r="J193" s="30" t="s">
        <v>120</v>
      </c>
      <c r="K193" s="29" t="s">
        <v>122</v>
      </c>
      <c r="L193" s="29" t="s">
        <v>124</v>
      </c>
      <c r="M193" s="29" t="s">
        <v>126</v>
      </c>
      <c r="N193" s="29" t="s">
        <v>128</v>
      </c>
      <c r="O193" s="30" t="s">
        <v>130</v>
      </c>
      <c r="P193" s="30" t="s">
        <v>132</v>
      </c>
      <c r="Q193" s="30" t="s">
        <v>134</v>
      </c>
      <c r="R193" s="30" t="s">
        <v>52</v>
      </c>
    </row>
    <row r="194" spans="3:29" outlineLevel="1" x14ac:dyDescent="0.25">
      <c r="C194" s="39" t="s">
        <v>89</v>
      </c>
      <c r="D194" s="39" t="s">
        <v>207</v>
      </c>
      <c r="E194" s="39" t="s">
        <v>54</v>
      </c>
      <c r="F194" s="14" t="s">
        <v>206</v>
      </c>
      <c r="G194" s="14" t="s">
        <v>139</v>
      </c>
      <c r="H194" s="218"/>
      <c r="I194" s="218"/>
      <c r="J194" s="218"/>
      <c r="K194" s="218">
        <v>35.75</v>
      </c>
      <c r="L194" s="218">
        <v>35.75</v>
      </c>
      <c r="M194" s="219">
        <f>Q78</f>
        <v>34.44</v>
      </c>
      <c r="N194" s="219">
        <v>34.44</v>
      </c>
      <c r="O194" s="219">
        <v>35.46</v>
      </c>
      <c r="P194" s="219">
        <v>35.46</v>
      </c>
      <c r="Q194" s="219">
        <v>54.83</v>
      </c>
      <c r="R194" s="219">
        <v>54.83</v>
      </c>
    </row>
    <row r="195" spans="3:29" outlineLevel="1" x14ac:dyDescent="0.25">
      <c r="C195" s="39" t="s">
        <v>89</v>
      </c>
      <c r="D195" s="39" t="s">
        <v>211</v>
      </c>
      <c r="E195" s="39" t="s">
        <v>54</v>
      </c>
      <c r="F195" s="14" t="s">
        <v>264</v>
      </c>
      <c r="G195" s="14" t="s">
        <v>139</v>
      </c>
      <c r="H195" s="201"/>
      <c r="I195" s="201"/>
      <c r="J195" s="201"/>
      <c r="K195" s="201">
        <v>0.18540000000000001</v>
      </c>
      <c r="L195" s="201">
        <v>0.18540000000000001</v>
      </c>
      <c r="M195" s="201">
        <v>0.18640000000000001</v>
      </c>
      <c r="N195" s="220">
        <v>0.18640000000000001</v>
      </c>
      <c r="O195" s="220">
        <v>0.188</v>
      </c>
      <c r="P195" s="220">
        <v>0.188</v>
      </c>
      <c r="Q195" s="220">
        <v>0.18959999999999999</v>
      </c>
      <c r="R195" s="220">
        <v>0.18719999999999998</v>
      </c>
    </row>
    <row r="196" spans="3:29" outlineLevel="1" x14ac:dyDescent="0.25">
      <c r="C196" s="39" t="s">
        <v>89</v>
      </c>
      <c r="D196" s="39" t="s">
        <v>208</v>
      </c>
      <c r="E196" s="39" t="s">
        <v>54</v>
      </c>
      <c r="F196" s="14" t="s">
        <v>206</v>
      </c>
      <c r="G196" s="14" t="s">
        <v>139</v>
      </c>
      <c r="H196" s="207"/>
      <c r="I196" s="207"/>
      <c r="J196" s="207"/>
      <c r="K196" s="207">
        <v>40</v>
      </c>
      <c r="L196" s="207">
        <v>40</v>
      </c>
      <c r="M196" s="207">
        <v>40</v>
      </c>
      <c r="N196" s="219">
        <v>40</v>
      </c>
      <c r="O196" s="219">
        <v>40</v>
      </c>
      <c r="P196" s="219">
        <v>40</v>
      </c>
      <c r="Q196" s="219">
        <v>40</v>
      </c>
      <c r="R196" s="219">
        <f>Input_TUEnv_Actual[[#This Row],[D-NextVDO_Input]]</f>
        <v>40</v>
      </c>
    </row>
    <row r="197" spans="3:29" outlineLevel="1" x14ac:dyDescent="0.25">
      <c r="C197" s="39" t="s">
        <v>89</v>
      </c>
      <c r="D197" s="39" t="s">
        <v>213</v>
      </c>
      <c r="E197" s="39" t="s">
        <v>54</v>
      </c>
      <c r="F197" s="14" t="s">
        <v>264</v>
      </c>
      <c r="G197" s="14" t="s">
        <v>139</v>
      </c>
      <c r="H197" s="201"/>
      <c r="I197" s="201"/>
      <c r="J197" s="201"/>
      <c r="K197" s="221">
        <v>0.28799999999999998</v>
      </c>
      <c r="L197" s="221">
        <v>0.28799999999999998</v>
      </c>
      <c r="M197" s="201">
        <v>0.27260000000000001</v>
      </c>
      <c r="N197" s="220">
        <v>0.27260000000000001</v>
      </c>
      <c r="O197" s="220">
        <v>0.21779999999999999</v>
      </c>
      <c r="P197" s="220">
        <v>0.21779999999999999</v>
      </c>
      <c r="Q197" s="219">
        <v>0.1714</v>
      </c>
      <c r="R197" s="220">
        <v>0.18775</v>
      </c>
    </row>
    <row r="198" spans="3:29" outlineLevel="1" x14ac:dyDescent="0.25">
      <c r="C198" s="39" t="s">
        <v>89</v>
      </c>
      <c r="D198" s="39" t="s">
        <v>205</v>
      </c>
      <c r="E198" s="39" t="s">
        <v>54</v>
      </c>
      <c r="F198" s="14" t="s">
        <v>206</v>
      </c>
      <c r="G198" s="14" t="s">
        <v>139</v>
      </c>
      <c r="H198" s="207"/>
      <c r="I198" s="207"/>
      <c r="J198" s="207"/>
      <c r="K198" s="221">
        <v>32.379354863483861</v>
      </c>
      <c r="L198" s="221">
        <v>32.379354863483861</v>
      </c>
      <c r="M198" s="207">
        <f>Q77</f>
        <v>56.939318273848677</v>
      </c>
      <c r="N198" s="219">
        <v>56.939318273848677</v>
      </c>
      <c r="O198" s="219">
        <v>73.62</v>
      </c>
      <c r="P198" s="219">
        <v>73.62</v>
      </c>
      <c r="Q198" s="219">
        <v>68.562227396360115</v>
      </c>
      <c r="R198" s="219">
        <v>68.562200000000004</v>
      </c>
    </row>
    <row r="199" spans="3:29" outlineLevel="1" x14ac:dyDescent="0.25">
      <c r="C199" s="39" t="s">
        <v>89</v>
      </c>
      <c r="D199" s="39" t="s">
        <v>209</v>
      </c>
      <c r="E199" s="39" t="s">
        <v>54</v>
      </c>
      <c r="F199" s="14" t="s">
        <v>264</v>
      </c>
      <c r="G199" s="14" t="s">
        <v>139</v>
      </c>
      <c r="H199" s="201"/>
      <c r="I199" s="201"/>
      <c r="J199" s="201"/>
      <c r="K199" s="201">
        <v>0.17255000000000001</v>
      </c>
      <c r="L199" s="201">
        <v>0.17255000000000001</v>
      </c>
      <c r="M199" s="222">
        <f>Q80</f>
        <v>0.17255000000000001</v>
      </c>
      <c r="N199" s="220">
        <v>0.17255000000000001</v>
      </c>
      <c r="O199" s="220">
        <v>0.16113</v>
      </c>
      <c r="P199" s="220">
        <v>0.16113</v>
      </c>
      <c r="Q199" s="219">
        <v>0.16306999999999999</v>
      </c>
      <c r="R199" s="220">
        <v>0.16306999999999999</v>
      </c>
    </row>
    <row r="200" spans="3:29" outlineLevel="1" x14ac:dyDescent="0.25"/>
    <row r="201" spans="3:29" hidden="1" outlineLevel="1" x14ac:dyDescent="0.25"/>
    <row r="202" spans="3:29" ht="15.75" hidden="1" outlineLevel="1" x14ac:dyDescent="0.25">
      <c r="G202" s="27" t="s">
        <v>48</v>
      </c>
      <c r="H202" s="196"/>
      <c r="I202" s="196">
        <v>2021</v>
      </c>
      <c r="J202" s="196"/>
      <c r="K202" s="196">
        <v>2021</v>
      </c>
      <c r="L202" s="196"/>
      <c r="M202" s="196">
        <v>2021</v>
      </c>
      <c r="N202" s="196"/>
      <c r="O202" s="196">
        <v>2022</v>
      </c>
      <c r="P202" s="196"/>
      <c r="Q202" s="196">
        <v>2022</v>
      </c>
      <c r="R202" s="196"/>
      <c r="S202" s="196" t="s">
        <v>111</v>
      </c>
      <c r="T202" s="196"/>
      <c r="U202" s="196" t="s">
        <v>111</v>
      </c>
      <c r="V202" s="196"/>
      <c r="W202" s="196" t="s">
        <v>112</v>
      </c>
      <c r="X202" s="196"/>
      <c r="Y202" s="196" t="s">
        <v>112</v>
      </c>
      <c r="Z202" s="196"/>
      <c r="AA202" s="196" t="s">
        <v>2</v>
      </c>
      <c r="AB202" s="196"/>
      <c r="AC202" s="196" t="s">
        <v>2</v>
      </c>
    </row>
    <row r="203" spans="3:29" ht="15.75" hidden="1" outlineLevel="1" x14ac:dyDescent="0.25">
      <c r="G203" s="27" t="s">
        <v>49</v>
      </c>
      <c r="H203" s="28"/>
      <c r="I203" s="28" t="str">
        <f>"VDO "&amp;I202&amp;" - "&amp;IF(LEFT(I205,1)="F","Final",IF(LEFT(I205,1)="D","Draft",IF(LEFT(I205,2)="VD","Variation draft",IF(LEFT(I205,2)="VF","Variation final"))))</f>
        <v>VDO 2021 - Final</v>
      </c>
      <c r="J203" s="28"/>
      <c r="K203" s="28" t="str">
        <f>"VDO "&amp;K202&amp;" - "&amp;IF(LEFT(K205,1)="F","Final",IF(LEFT(K205,1)="D","Draft",IF(LEFT(K205,2)="VD","Variation draft",IF(LEFT(K205,2)="VF","Variation final"))))</f>
        <v>VDO 2021 - Variation draft</v>
      </c>
      <c r="L203" s="28"/>
      <c r="M203" s="28" t="str">
        <f>"VDO "&amp;M202&amp;" - "&amp;IF(LEFT(M205,1)="F","Final",IF(LEFT(M205,1)="D","Draft",IF(LEFT(M205,2)="VD","Variation draft",IF(LEFT(M205,2)="VF","Variation final"))))</f>
        <v>VDO 2021 - Variation final</v>
      </c>
      <c r="N203" s="28"/>
      <c r="O203" s="28" t="str">
        <f>"VDO "&amp;O202&amp;" - "&amp;IF(LEFT(O205,1)="F","Final",IF(LEFT(O205,1)="D","Draft",IF(LEFT(O205,2)="VD","Variation draft",IF(LEFT(O205,2)="VF","Variation final"))))</f>
        <v>VDO 2022 - Draft</v>
      </c>
      <c r="P203" s="28"/>
      <c r="Q203" s="28" t="str">
        <f>"VDO "&amp;Q202&amp;" - "&amp;IF(LEFT(Q205,1)="F","Final",IF(LEFT(Q205,1)="D","Draft",IF(LEFT(Q205,2)="VD","Variation draft",IF(LEFT(Q205,2)="VF","Variation final"))))</f>
        <v>VDO 2022 - Final</v>
      </c>
      <c r="R203" s="28"/>
      <c r="S203" s="28" t="str">
        <f>"VDO "&amp;S202&amp;" - "&amp;IF(LEFT(S205,1)="F","Final",IF(LEFT(S205,1)="D","Draft",IF(LEFT(S205,2)="VD","Variation draft",IF(LEFT(S205,2)="VF","Variation final"))))</f>
        <v>VDO 2022-23 - Draft</v>
      </c>
      <c r="T203" s="28"/>
      <c r="U203" s="28" t="str">
        <f>"VDO "&amp;U202&amp;" - "&amp;IF(LEFT(U205,1)="F","Final",IF(LEFT(U205,1)="D","Draft",IF(LEFT(U205,2)="VD","Variation draft",IF(LEFT(U205,2)="VF","Variation final"))))</f>
        <v>VDO 2022-23 - Final</v>
      </c>
      <c r="V203" s="28"/>
      <c r="W203" s="28" t="str">
        <f>"VDO "&amp;W202&amp;" - "&amp;IF(LEFT(W205,1)="F","Final",IF(LEFT(W205,1)="D","Draft",IF(LEFT(W205,2)="VD","Variation draft",IF(LEFT(W205,2)="VF","Variation final"))))</f>
        <v>VDO 2023-24 - Draft</v>
      </c>
      <c r="X203" s="28"/>
      <c r="Y203" s="28" t="str">
        <f>"VDO "&amp;Y202&amp;" - "&amp;IF(LEFT(Y205,1)="F","Final",IF(LEFT(Y205,1)="D","Draft",IF(LEFT(Y205,2)="VD","Variation draft",IF(LEFT(Y205,2)="VF","Variation final"))))</f>
        <v>VDO 2023-24 - Final</v>
      </c>
      <c r="Z203" s="28"/>
      <c r="AA203" s="28" t="str">
        <f>"VDO "&amp;AA202&amp;" - "&amp;IF(LEFT(AA205,1)="F","Final",IF(LEFT(AA205,1)="D","Draft",IF(LEFT(AA205,2)="VD","Variation draft",IF(LEFT(AA205,2)="VF","Variation final"))))</f>
        <v>VDO 2024-25 - Draft</v>
      </c>
      <c r="AB203" s="28"/>
      <c r="AC203" s="28" t="str">
        <f>"VDO "&amp;AC202&amp;" - "&amp;IF(LEFT(AC205,1)="F","Final",IF(LEFT(AC205,1)="D","Draft",IF(LEFT(AC205,2)="VD","Variation draft",IF(LEFT(AC205,2)="VF","Variation final"))))</f>
        <v>VDO 2024-25 - Final</v>
      </c>
    </row>
    <row r="204" spans="3:29" ht="15.75" hidden="1" outlineLevel="1" x14ac:dyDescent="0.25">
      <c r="C204" s="20" t="s">
        <v>299</v>
      </c>
    </row>
    <row r="205" spans="3:29" ht="15.75" hidden="1" outlineLevel="1" x14ac:dyDescent="0.25">
      <c r="C205" s="30" t="s">
        <v>300</v>
      </c>
      <c r="D205" s="90" t="s">
        <v>301</v>
      </c>
      <c r="E205" s="30" t="s">
        <v>62</v>
      </c>
      <c r="F205" s="30" t="s">
        <v>283</v>
      </c>
      <c r="G205" s="30" t="s">
        <v>284</v>
      </c>
      <c r="H205" s="30" t="s">
        <v>285</v>
      </c>
      <c r="I205" s="30" t="s">
        <v>116</v>
      </c>
      <c r="J205" s="30" t="s">
        <v>286</v>
      </c>
      <c r="K205" s="30" t="s">
        <v>118</v>
      </c>
      <c r="L205" s="30" t="s">
        <v>287</v>
      </c>
      <c r="M205" s="30" t="s">
        <v>120</v>
      </c>
      <c r="N205" s="30" t="s">
        <v>288</v>
      </c>
      <c r="O205" s="184" t="s">
        <v>122</v>
      </c>
      <c r="P205" s="30" t="s">
        <v>289</v>
      </c>
      <c r="Q205" s="184" t="s">
        <v>124</v>
      </c>
      <c r="R205" s="30" t="s">
        <v>290</v>
      </c>
      <c r="S205" s="184" t="s">
        <v>126</v>
      </c>
      <c r="T205" s="30" t="s">
        <v>291</v>
      </c>
      <c r="U205" s="184" t="s">
        <v>128</v>
      </c>
      <c r="V205" s="30" t="s">
        <v>292</v>
      </c>
      <c r="W205" s="29" t="s">
        <v>130</v>
      </c>
      <c r="X205" s="30" t="s">
        <v>293</v>
      </c>
      <c r="Y205" s="30" t="s">
        <v>132</v>
      </c>
      <c r="Z205" s="30" t="s">
        <v>302</v>
      </c>
      <c r="AA205" s="30" t="s">
        <v>134</v>
      </c>
      <c r="AB205" s="30" t="s">
        <v>303</v>
      </c>
      <c r="AC205" s="30" t="s">
        <v>52</v>
      </c>
    </row>
    <row r="206" spans="3:29" hidden="1" outlineLevel="1" x14ac:dyDescent="0.25">
      <c r="C206" s="223" t="s">
        <v>304</v>
      </c>
      <c r="D206" s="223" t="s">
        <v>305</v>
      </c>
      <c r="E206" s="75" t="s">
        <v>306</v>
      </c>
      <c r="F206" s="14" t="s">
        <v>283</v>
      </c>
      <c r="G206" s="14" t="s">
        <v>283</v>
      </c>
      <c r="H206" s="215" t="s">
        <v>283</v>
      </c>
      <c r="I206" s="196">
        <v>365</v>
      </c>
      <c r="J206" s="196"/>
      <c r="K206" s="196">
        <v>365</v>
      </c>
      <c r="L206" s="196"/>
      <c r="M206" s="196">
        <v>365</v>
      </c>
      <c r="N206" s="196"/>
      <c r="O206" s="196">
        <v>365</v>
      </c>
      <c r="P206" s="196"/>
      <c r="Q206" s="196">
        <v>365</v>
      </c>
      <c r="R206" s="196"/>
      <c r="S206" s="196">
        <v>365</v>
      </c>
      <c r="T206" s="196"/>
      <c r="U206" s="196">
        <v>365</v>
      </c>
      <c r="V206" s="196"/>
      <c r="W206" s="196">
        <v>365</v>
      </c>
      <c r="X206" s="196"/>
      <c r="Y206" s="196">
        <v>365</v>
      </c>
      <c r="Z206" s="196"/>
      <c r="AA206" s="196">
        <v>365</v>
      </c>
      <c r="AB206" s="196"/>
      <c r="AC206" s="196">
        <v>365</v>
      </c>
    </row>
    <row r="207" spans="3:29" hidden="1" outlineLevel="1" x14ac:dyDescent="0.25">
      <c r="C207" s="223" t="s">
        <v>304</v>
      </c>
      <c r="D207" s="223" t="s">
        <v>307</v>
      </c>
      <c r="E207" s="75" t="s">
        <v>306</v>
      </c>
      <c r="F207" s="14" t="s">
        <v>283</v>
      </c>
      <c r="G207" s="14" t="s">
        <v>283</v>
      </c>
      <c r="H207" s="215" t="s">
        <v>283</v>
      </c>
      <c r="I207" s="196">
        <v>365</v>
      </c>
      <c r="J207" s="196"/>
      <c r="K207" s="196">
        <v>62</v>
      </c>
      <c r="L207" s="196"/>
      <c r="M207" s="196">
        <v>62</v>
      </c>
      <c r="N207" s="196"/>
      <c r="O207" s="196">
        <v>181</v>
      </c>
      <c r="P207" s="196"/>
      <c r="Q207" s="196">
        <v>181</v>
      </c>
      <c r="R207" s="196"/>
      <c r="S207" s="196">
        <v>365</v>
      </c>
      <c r="T207" s="196"/>
      <c r="U207" s="196">
        <v>365</v>
      </c>
      <c r="V207" s="196"/>
      <c r="W207" s="196">
        <v>366</v>
      </c>
      <c r="X207" s="196"/>
      <c r="Y207" s="196">
        <v>366</v>
      </c>
      <c r="Z207" s="196"/>
      <c r="AA207" s="196">
        <v>365</v>
      </c>
      <c r="AB207" s="196"/>
      <c r="AC207" s="196">
        <v>365</v>
      </c>
    </row>
    <row r="208" spans="3:29" hidden="1" outlineLevel="1" x14ac:dyDescent="0.25"/>
    <row r="209" spans="3:29" ht="15.75" hidden="1" outlineLevel="1" x14ac:dyDescent="0.25">
      <c r="G209" s="27" t="s">
        <v>48</v>
      </c>
      <c r="H209" s="196"/>
      <c r="I209" s="196">
        <v>2021</v>
      </c>
      <c r="J209" s="196"/>
      <c r="K209" s="196">
        <v>2021</v>
      </c>
      <c r="L209" s="196"/>
      <c r="M209" s="196">
        <v>2021</v>
      </c>
      <c r="N209" s="196"/>
      <c r="O209" s="196">
        <v>2022</v>
      </c>
      <c r="P209" s="196"/>
      <c r="Q209" s="196">
        <v>2022</v>
      </c>
      <c r="R209" s="196"/>
      <c r="S209" s="196" t="s">
        <v>111</v>
      </c>
      <c r="T209" s="196"/>
      <c r="U209" s="196" t="s">
        <v>111</v>
      </c>
      <c r="V209" s="196"/>
      <c r="W209" s="196" t="s">
        <v>112</v>
      </c>
      <c r="X209" s="196"/>
      <c r="Y209" s="196" t="s">
        <v>112</v>
      </c>
      <c r="Z209" s="196"/>
      <c r="AA209" s="196" t="s">
        <v>2</v>
      </c>
      <c r="AB209" s="196"/>
      <c r="AC209" s="196" t="s">
        <v>2</v>
      </c>
    </row>
    <row r="210" spans="3:29" ht="15.75" hidden="1" outlineLevel="1" x14ac:dyDescent="0.25">
      <c r="G210" s="27" t="s">
        <v>49</v>
      </c>
      <c r="H210" s="28"/>
      <c r="I210" s="28" t="str">
        <f>"VDO "&amp;I209&amp;" - "&amp;IF(LEFT(I212,1)="F","Final",IF(LEFT(I212,1)="D","Draft",IF(LEFT(I212,2)="VD","Variation draft",IF(LEFT(I212,2)="VF","Variation final"))))</f>
        <v>VDO 2021 - Final</v>
      </c>
      <c r="J210" s="28"/>
      <c r="K210" s="28" t="str">
        <f>"VDO "&amp;K209&amp;" - "&amp;IF(LEFT(K212,1)="F","Final",IF(LEFT(K212,1)="D","Draft",IF(LEFT(K212,2)="VD","Variation draft",IF(LEFT(K212,2)="VF","Variation final"))))</f>
        <v>VDO 2021 - Variation draft</v>
      </c>
      <c r="L210" s="28"/>
      <c r="M210" s="28" t="str">
        <f>"VDO "&amp;M209&amp;" - "&amp;IF(LEFT(M212,1)="F","Final",IF(LEFT(M212,1)="D","Draft",IF(LEFT(M212,2)="VD","Variation draft",IF(LEFT(M212,2)="VF","Variation final"))))</f>
        <v>VDO 2021 - Variation final</v>
      </c>
      <c r="N210" s="28"/>
      <c r="O210" s="28" t="str">
        <f>"VDO "&amp;O209&amp;" - "&amp;IF(LEFT(O212,1)="F","Final",IF(LEFT(O212,1)="D","Draft",IF(LEFT(O212,2)="VD","Variation draft",IF(LEFT(O212,2)="VF","Variation final"))))</f>
        <v>VDO 2022 - Draft</v>
      </c>
      <c r="P210" s="28"/>
      <c r="Q210" s="28" t="str">
        <f>"VDO "&amp;Q209&amp;" - "&amp;IF(LEFT(Q212,1)="F","Final",IF(LEFT(Q212,1)="D","Draft",IF(LEFT(Q212,2)="VD","Variation draft",IF(LEFT(Q212,2)="VF","Variation final"))))</f>
        <v>VDO 2022 - Final</v>
      </c>
      <c r="R210" s="28"/>
      <c r="S210" s="28" t="str">
        <f>"VDO "&amp;S209&amp;" - "&amp;IF(LEFT(S212,1)="F","Final",IF(LEFT(S212,1)="D","Draft",IF(LEFT(S212,2)="VD","Variation draft",IF(LEFT(S212,2)="VF","Variation final"))))</f>
        <v>VDO 2022-23 - Draft</v>
      </c>
      <c r="T210" s="28"/>
      <c r="U210" s="28" t="str">
        <f>"VDO "&amp;U209&amp;" - "&amp;IF(LEFT(U212,1)="F","Final",IF(LEFT(U212,1)="D","Draft",IF(LEFT(U212,2)="VD","Variation draft",IF(LEFT(U212,2)="VF","Variation final"))))</f>
        <v>VDO 2022-23 - Final</v>
      </c>
      <c r="V210" s="28"/>
      <c r="W210" s="28" t="str">
        <f>"VDO "&amp;W209&amp;" - "&amp;IF(LEFT(W212,1)="F","Final",IF(LEFT(W212,1)="D","Draft",IF(LEFT(W212,2)="VD","Variation draft",IF(LEFT(W212,2)="VF","Variation final"))))</f>
        <v>VDO 2023-24 - Draft</v>
      </c>
      <c r="X210" s="28"/>
      <c r="Y210" s="28" t="str">
        <f>"VDO "&amp;Y209&amp;" - "&amp;IF(LEFT(Y212,1)="F","Final",IF(LEFT(Y212,1)="D","Draft",IF(LEFT(Y212,2)="VD","Variation draft",IF(LEFT(Y212,2)="VF","Variation final"))))</f>
        <v>VDO 2023-24 - Final</v>
      </c>
      <c r="Z210" s="28"/>
      <c r="AA210" s="28" t="str">
        <f>"VDO "&amp;AA209&amp;" - "&amp;IF(LEFT(AA212,1)="F","Final",IF(LEFT(AA212,1)="D","Draft",IF(LEFT(AA212,2)="VD","Variation draft",IF(LEFT(AA212,2)="VF","Variation final"))))</f>
        <v>VDO 2024-25 - Draft</v>
      </c>
      <c r="AB210" s="28"/>
      <c r="AC210" s="28" t="str">
        <f>"VDO "&amp;AC209&amp;" - "&amp;IF(LEFT(AC212,1)="F","Final",IF(LEFT(AC212,1)="D","Draft",IF(LEFT(AC212,2)="VD","Variation draft",IF(LEFT(AC212,2)="VF","Variation final"))))</f>
        <v>VDO 2024-25 - Final</v>
      </c>
    </row>
    <row r="211" spans="3:29" ht="15.75" hidden="1" outlineLevel="1" x14ac:dyDescent="0.25">
      <c r="C211" s="20" t="s">
        <v>308</v>
      </c>
    </row>
    <row r="212" spans="3:29" ht="15.75" hidden="1" outlineLevel="1" x14ac:dyDescent="0.25">
      <c r="C212" s="224" t="s">
        <v>50</v>
      </c>
      <c r="D212" s="30" t="s">
        <v>309</v>
      </c>
      <c r="E212" s="30" t="s">
        <v>283</v>
      </c>
      <c r="F212" s="30" t="s">
        <v>284</v>
      </c>
      <c r="G212" s="30" t="s">
        <v>285</v>
      </c>
      <c r="H212" s="30" t="s">
        <v>286</v>
      </c>
      <c r="I212" s="30" t="s">
        <v>116</v>
      </c>
      <c r="J212" s="30" t="s">
        <v>287</v>
      </c>
      <c r="K212" s="30" t="s">
        <v>118</v>
      </c>
      <c r="L212" s="30" t="s">
        <v>288</v>
      </c>
      <c r="M212" s="30" t="s">
        <v>120</v>
      </c>
      <c r="N212" s="30" t="s">
        <v>289</v>
      </c>
      <c r="O212" s="184" t="s">
        <v>122</v>
      </c>
      <c r="P212" s="30" t="s">
        <v>290</v>
      </c>
      <c r="Q212" s="184" t="s">
        <v>124</v>
      </c>
      <c r="R212" s="30" t="s">
        <v>291</v>
      </c>
      <c r="S212" s="184" t="s">
        <v>126</v>
      </c>
      <c r="T212" s="30" t="s">
        <v>292</v>
      </c>
      <c r="U212" s="184" t="s">
        <v>128</v>
      </c>
      <c r="V212" s="30" t="s">
        <v>293</v>
      </c>
      <c r="W212" s="29" t="s">
        <v>130</v>
      </c>
      <c r="X212" s="30" t="s">
        <v>302</v>
      </c>
      <c r="Y212" s="30" t="s">
        <v>132</v>
      </c>
      <c r="Z212" s="30" t="s">
        <v>303</v>
      </c>
      <c r="AA212" s="30" t="s">
        <v>134</v>
      </c>
      <c r="AB212" s="30" t="s">
        <v>310</v>
      </c>
      <c r="AC212" s="30" t="s">
        <v>52</v>
      </c>
    </row>
    <row r="213" spans="3:29" hidden="1" outlineLevel="1" x14ac:dyDescent="0.25">
      <c r="C213" s="39" t="s">
        <v>89</v>
      </c>
      <c r="D213" s="39" t="s">
        <v>311</v>
      </c>
      <c r="E213" s="39" t="s">
        <v>283</v>
      </c>
      <c r="F213" s="39" t="s">
        <v>283</v>
      </c>
      <c r="G213" s="39" t="s">
        <v>283</v>
      </c>
      <c r="H213" s="215" t="s">
        <v>283</v>
      </c>
      <c r="I213" s="196" t="s">
        <v>312</v>
      </c>
      <c r="J213" s="196"/>
      <c r="K213" s="196" t="s">
        <v>312</v>
      </c>
      <c r="L213" s="196"/>
      <c r="M213" s="196" t="s">
        <v>313</v>
      </c>
      <c r="N213" s="196"/>
      <c r="O213" s="196" t="s">
        <v>313</v>
      </c>
      <c r="P213" s="196"/>
      <c r="Q213" s="196" t="s">
        <v>313</v>
      </c>
      <c r="R213" s="196"/>
      <c r="S213" s="196" t="s">
        <v>313</v>
      </c>
      <c r="T213" s="196"/>
      <c r="U213" s="196" t="s">
        <v>313</v>
      </c>
      <c r="V213" s="196"/>
      <c r="W213" s="196" t="s">
        <v>313</v>
      </c>
      <c r="X213" s="196"/>
      <c r="Y213" s="196" t="s">
        <v>313</v>
      </c>
      <c r="Z213" s="196"/>
      <c r="AA213" s="196" t="s">
        <v>312</v>
      </c>
      <c r="AB213" s="196"/>
      <c r="AC213" s="196" t="s">
        <v>313</v>
      </c>
    </row>
    <row r="214" spans="3:29" hidden="1" outlineLevel="1" x14ac:dyDescent="0.25">
      <c r="C214" s="39" t="s">
        <v>89</v>
      </c>
      <c r="D214" s="39" t="s">
        <v>314</v>
      </c>
      <c r="E214" s="39" t="s">
        <v>283</v>
      </c>
      <c r="F214" s="39" t="s">
        <v>283</v>
      </c>
      <c r="G214" s="39" t="s">
        <v>283</v>
      </c>
      <c r="H214" s="215" t="s">
        <v>283</v>
      </c>
      <c r="I214" s="196" t="s">
        <v>312</v>
      </c>
      <c r="J214" s="196"/>
      <c r="K214" s="196" t="s">
        <v>312</v>
      </c>
      <c r="L214" s="196"/>
      <c r="M214" s="196" t="s">
        <v>313</v>
      </c>
      <c r="N214" s="196"/>
      <c r="O214" s="196" t="s">
        <v>313</v>
      </c>
      <c r="P214" s="196"/>
      <c r="Q214" s="196" t="s">
        <v>313</v>
      </c>
      <c r="R214" s="196"/>
      <c r="S214" s="196" t="s">
        <v>313</v>
      </c>
      <c r="T214" s="196"/>
      <c r="U214" s="196" t="s">
        <v>313</v>
      </c>
      <c r="V214" s="196"/>
      <c r="W214" s="196" t="s">
        <v>313</v>
      </c>
      <c r="X214" s="196"/>
      <c r="Y214" s="196" t="s">
        <v>313</v>
      </c>
      <c r="Z214" s="196"/>
      <c r="AA214" s="196" t="s">
        <v>312</v>
      </c>
      <c r="AB214" s="196"/>
      <c r="AC214" s="196" t="s">
        <v>313</v>
      </c>
    </row>
    <row r="215" spans="3:29" hidden="1" outlineLevel="1" x14ac:dyDescent="0.25">
      <c r="C215" s="39" t="s">
        <v>89</v>
      </c>
      <c r="D215" s="39" t="s">
        <v>315</v>
      </c>
      <c r="E215" s="39" t="s">
        <v>283</v>
      </c>
      <c r="F215" s="39" t="s">
        <v>283</v>
      </c>
      <c r="G215" s="39" t="s">
        <v>283</v>
      </c>
      <c r="H215" s="215" t="s">
        <v>283</v>
      </c>
      <c r="I215" s="196" t="s">
        <v>312</v>
      </c>
      <c r="J215" s="196"/>
      <c r="K215" s="196" t="s">
        <v>312</v>
      </c>
      <c r="L215" s="196"/>
      <c r="M215" s="196" t="s">
        <v>312</v>
      </c>
      <c r="N215" s="196"/>
      <c r="O215" s="196" t="s">
        <v>312</v>
      </c>
      <c r="P215" s="196"/>
      <c r="Q215" s="196" t="s">
        <v>312</v>
      </c>
      <c r="R215" s="196"/>
      <c r="S215" s="196" t="s">
        <v>312</v>
      </c>
      <c r="T215" s="196"/>
      <c r="U215" s="196" t="s">
        <v>312</v>
      </c>
      <c r="V215" s="196"/>
      <c r="W215" s="196" t="s">
        <v>312</v>
      </c>
      <c r="X215" s="196"/>
      <c r="Y215" s="196" t="s">
        <v>312</v>
      </c>
      <c r="Z215" s="196"/>
      <c r="AA215" s="196" t="s">
        <v>312</v>
      </c>
      <c r="AB215" s="196"/>
      <c r="AC215" s="196" t="s">
        <v>312</v>
      </c>
    </row>
    <row r="216" spans="3:29" hidden="1" outlineLevel="1" x14ac:dyDescent="0.25">
      <c r="C216" s="39" t="s">
        <v>87</v>
      </c>
      <c r="D216" s="39" t="s">
        <v>316</v>
      </c>
      <c r="E216" s="39" t="s">
        <v>283</v>
      </c>
      <c r="F216" s="39" t="s">
        <v>283</v>
      </c>
      <c r="G216" s="39" t="s">
        <v>283</v>
      </c>
      <c r="H216" s="215" t="s">
        <v>283</v>
      </c>
      <c r="I216" s="196" t="s">
        <v>312</v>
      </c>
      <c r="J216" s="196"/>
      <c r="K216" s="196" t="s">
        <v>312</v>
      </c>
      <c r="L216" s="196"/>
      <c r="M216" s="196" t="s">
        <v>312</v>
      </c>
      <c r="N216" s="196"/>
      <c r="O216" s="225" t="s">
        <v>313</v>
      </c>
      <c r="P216" s="225"/>
      <c r="Q216" s="225" t="s">
        <v>313</v>
      </c>
      <c r="R216" s="225"/>
      <c r="S216" s="225" t="s">
        <v>312</v>
      </c>
      <c r="T216" s="225"/>
      <c r="U216" s="225" t="s">
        <v>312</v>
      </c>
      <c r="V216" s="225"/>
      <c r="W216" s="225" t="s">
        <v>312</v>
      </c>
      <c r="X216" s="225"/>
      <c r="Y216" s="225" t="s">
        <v>312</v>
      </c>
      <c r="Z216" s="225"/>
      <c r="AA216" s="225" t="s">
        <v>312</v>
      </c>
      <c r="AB216" s="225"/>
      <c r="AC216" s="225" t="s">
        <v>312</v>
      </c>
    </row>
    <row r="217" spans="3:29" hidden="1" outlineLevel="1" x14ac:dyDescent="0.25">
      <c r="C217" s="39" t="s">
        <v>87</v>
      </c>
      <c r="D217" s="39" t="s">
        <v>317</v>
      </c>
      <c r="E217" s="39" t="s">
        <v>283</v>
      </c>
      <c r="F217" s="39" t="s">
        <v>283</v>
      </c>
      <c r="G217" s="39" t="s">
        <v>283</v>
      </c>
      <c r="H217" s="215" t="s">
        <v>283</v>
      </c>
      <c r="I217" s="196" t="s">
        <v>312</v>
      </c>
      <c r="J217" s="196"/>
      <c r="K217" s="196" t="s">
        <v>312</v>
      </c>
      <c r="L217" s="196"/>
      <c r="M217" s="196" t="s">
        <v>312</v>
      </c>
      <c r="N217" s="196"/>
      <c r="O217" s="225" t="s">
        <v>313</v>
      </c>
      <c r="P217" s="225"/>
      <c r="Q217" s="225" t="s">
        <v>313</v>
      </c>
      <c r="R217" s="225"/>
      <c r="S217" s="225" t="s">
        <v>312</v>
      </c>
      <c r="T217" s="225"/>
      <c r="U217" s="225" t="s">
        <v>312</v>
      </c>
      <c r="V217" s="225"/>
      <c r="W217" s="225" t="s">
        <v>312</v>
      </c>
      <c r="X217" s="225"/>
      <c r="Y217" s="225" t="s">
        <v>312</v>
      </c>
      <c r="Z217" s="225"/>
      <c r="AA217" s="225" t="s">
        <v>312</v>
      </c>
      <c r="AB217" s="225"/>
      <c r="AC217" s="225" t="s">
        <v>312</v>
      </c>
    </row>
    <row r="218" spans="3:29" hidden="1" outlineLevel="1" x14ac:dyDescent="0.25">
      <c r="C218" s="39" t="s">
        <v>87</v>
      </c>
      <c r="D218" s="39" t="s">
        <v>318</v>
      </c>
      <c r="E218" s="39" t="s">
        <v>283</v>
      </c>
      <c r="F218" s="39" t="s">
        <v>283</v>
      </c>
      <c r="G218" s="39" t="s">
        <v>283</v>
      </c>
      <c r="H218" s="215" t="s">
        <v>283</v>
      </c>
      <c r="I218" s="196" t="s">
        <v>312</v>
      </c>
      <c r="J218" s="196"/>
      <c r="K218" s="196" t="s">
        <v>312</v>
      </c>
      <c r="L218" s="196"/>
      <c r="M218" s="196" t="s">
        <v>312</v>
      </c>
      <c r="N218" s="196"/>
      <c r="O218" s="225" t="s">
        <v>313</v>
      </c>
      <c r="P218" s="225"/>
      <c r="Q218" s="225" t="s">
        <v>313</v>
      </c>
      <c r="R218" s="225"/>
      <c r="S218" s="225" t="s">
        <v>312</v>
      </c>
      <c r="T218" s="225"/>
      <c r="U218" s="225" t="s">
        <v>312</v>
      </c>
      <c r="V218" s="225"/>
      <c r="W218" s="225" t="s">
        <v>312</v>
      </c>
      <c r="X218" s="225"/>
      <c r="Y218" s="225" t="s">
        <v>312</v>
      </c>
      <c r="Z218" s="225"/>
      <c r="AA218" s="225" t="s">
        <v>312</v>
      </c>
      <c r="AB218" s="225"/>
      <c r="AC218" s="225" t="s">
        <v>312</v>
      </c>
    </row>
    <row r="219" spans="3:29" hidden="1" outlineLevel="1" x14ac:dyDescent="0.25">
      <c r="C219" s="39" t="s">
        <v>87</v>
      </c>
      <c r="D219" s="39" t="s">
        <v>319</v>
      </c>
      <c r="E219" s="39" t="s">
        <v>283</v>
      </c>
      <c r="F219" s="39" t="s">
        <v>283</v>
      </c>
      <c r="G219" s="39" t="s">
        <v>283</v>
      </c>
      <c r="H219" s="215" t="s">
        <v>283</v>
      </c>
      <c r="I219" s="196" t="s">
        <v>312</v>
      </c>
      <c r="J219" s="196"/>
      <c r="K219" s="196" t="s">
        <v>312</v>
      </c>
      <c r="L219" s="196"/>
      <c r="M219" s="196" t="s">
        <v>312</v>
      </c>
      <c r="N219" s="196"/>
      <c r="O219" s="225" t="s">
        <v>313</v>
      </c>
      <c r="P219" s="225"/>
      <c r="Q219" s="225" t="s">
        <v>313</v>
      </c>
      <c r="R219" s="225"/>
      <c r="S219" s="225" t="s">
        <v>312</v>
      </c>
      <c r="T219" s="225"/>
      <c r="U219" s="225" t="s">
        <v>312</v>
      </c>
      <c r="V219" s="225"/>
      <c r="W219" s="225" t="s">
        <v>312</v>
      </c>
      <c r="X219" s="225"/>
      <c r="Y219" s="225" t="s">
        <v>312</v>
      </c>
      <c r="Z219" s="225"/>
      <c r="AA219" s="225" t="s">
        <v>312</v>
      </c>
      <c r="AB219" s="225"/>
      <c r="AC219" s="225" t="s">
        <v>312</v>
      </c>
    </row>
    <row r="220" spans="3:29" outlineLevel="1" x14ac:dyDescent="0.25"/>
    <row r="221" spans="3:29" ht="15.75" outlineLevel="1" x14ac:dyDescent="0.25">
      <c r="C221" s="20" t="s">
        <v>320</v>
      </c>
    </row>
    <row r="222" spans="3:29" ht="15.75" outlineLevel="1" x14ac:dyDescent="0.25">
      <c r="C222" s="224" t="s">
        <v>321</v>
      </c>
      <c r="D222" s="30" t="s">
        <v>322</v>
      </c>
      <c r="E222" s="226" t="s">
        <v>102</v>
      </c>
    </row>
    <row r="223" spans="3:29" outlineLevel="1" x14ac:dyDescent="0.25">
      <c r="C223" s="227" t="s">
        <v>323</v>
      </c>
      <c r="D223" s="228" t="s">
        <v>323</v>
      </c>
      <c r="E223" s="229" t="s">
        <v>64</v>
      </c>
    </row>
    <row r="224" spans="3:29" outlineLevel="1" x14ac:dyDescent="0.25">
      <c r="C224" s="227" t="s">
        <v>324</v>
      </c>
      <c r="D224" s="228" t="s">
        <v>324</v>
      </c>
      <c r="E224" s="229" t="s">
        <v>323</v>
      </c>
    </row>
    <row r="225" spans="3:5" outlineLevel="1" x14ac:dyDescent="0.25">
      <c r="C225" s="227" t="s">
        <v>325</v>
      </c>
      <c r="D225" s="228" t="s">
        <v>325</v>
      </c>
      <c r="E225" s="229" t="s">
        <v>323</v>
      </c>
    </row>
    <row r="226" spans="3:5" outlineLevel="1" x14ac:dyDescent="0.25">
      <c r="C226" s="227" t="s">
        <v>326</v>
      </c>
      <c r="D226" s="228" t="s">
        <v>326</v>
      </c>
      <c r="E226" s="229" t="s">
        <v>323</v>
      </c>
    </row>
    <row r="227" spans="3:5" outlineLevel="1" x14ac:dyDescent="0.25">
      <c r="C227" s="230" t="s">
        <v>327</v>
      </c>
      <c r="D227" s="231" t="s">
        <v>327</v>
      </c>
      <c r="E227" s="229" t="s">
        <v>323</v>
      </c>
    </row>
    <row r="228" spans="3:5" outlineLevel="1" x14ac:dyDescent="0.25">
      <c r="C228" s="227" t="s">
        <v>328</v>
      </c>
      <c r="D228" s="228" t="s">
        <v>328</v>
      </c>
      <c r="E228" s="229" t="s">
        <v>327</v>
      </c>
    </row>
    <row r="229" spans="3:5" outlineLevel="1" x14ac:dyDescent="0.25">
      <c r="C229" s="227" t="s">
        <v>329</v>
      </c>
      <c r="D229" s="231" t="s">
        <v>329</v>
      </c>
      <c r="E229" s="232" t="s">
        <v>327</v>
      </c>
    </row>
    <row r="230" spans="3:5" outlineLevel="1" x14ac:dyDescent="0.25">
      <c r="C230" s="227" t="s">
        <v>330</v>
      </c>
      <c r="D230" s="231" t="s">
        <v>330</v>
      </c>
      <c r="E230" s="232" t="s">
        <v>329</v>
      </c>
    </row>
    <row r="231" spans="3:5" outlineLevel="1" x14ac:dyDescent="0.25">
      <c r="C231" s="227" t="s">
        <v>109</v>
      </c>
      <c r="D231" s="231" t="s">
        <v>109</v>
      </c>
      <c r="E231" s="232" t="s">
        <v>329</v>
      </c>
    </row>
    <row r="232" spans="3:5" outlineLevel="1" x14ac:dyDescent="0.25">
      <c r="C232" s="227" t="s">
        <v>107</v>
      </c>
      <c r="D232" s="227" t="s">
        <v>107</v>
      </c>
      <c r="E232" s="231" t="s">
        <v>109</v>
      </c>
    </row>
    <row r="233" spans="3:5" outlineLevel="1" x14ac:dyDescent="0.25">
      <c r="C233" s="230" t="s">
        <v>331</v>
      </c>
      <c r="D233" s="230" t="s">
        <v>331</v>
      </c>
      <c r="E233" s="231" t="s">
        <v>109</v>
      </c>
    </row>
    <row r="234" spans="3:5" outlineLevel="1" x14ac:dyDescent="0.25"/>
    <row r="235" spans="3:5" outlineLevel="1" x14ac:dyDescent="0.25"/>
  </sheetData>
  <sheetProtection algorithmName="SHA-512" hashValue="TcmV0YCZETae2CgPvdjpTCpO6nH50bwIhiZiQAiO+UomnVTQnc7cPaXFdL0Gbn5BUe519bQ3NBnKuIv21nh+1w==" saltValue="vQCZTFh3vNKf4EF7ZHgU2Q==" spinCount="100000" sheet="1" objects="1" scenarios="1"/>
  <autoFilter ref="A17:B141" xr:uid="{98E7AA2C-AE0E-470D-92B2-A7ADC3EE59F8}"/>
  <mergeCells count="1">
    <mergeCell ref="A2:A3"/>
  </mergeCells>
  <phoneticPr fontId="30" type="noConversion"/>
  <hyperlinks>
    <hyperlink ref="B1" location="Contents!A1" display="&lt;&lt; Back to Contents" xr:uid="{F8E6A684-B70B-4042-92A0-05E42B0496B8}"/>
  </hyperlinks>
  <pageMargins left="0.7" right="0.7" top="0.75" bottom="0.75" header="0.3" footer="0.3"/>
  <pageSetup paperSize="9" orientation="portrait" r:id="rId1"/>
  <headerFooter>
    <oddHeader>&amp;C&amp;B&amp;"Arial"&amp;12&amp;Kff0000​‌OFFICIAL‌​</oddHeader>
  </headerFooter>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4">
        <x14:dataValidation type="list" allowBlank="1" showInputMessage="1" showErrorMessage="1" xr:uid="{91387222-6A44-4153-A021-02393A24BC27}">
          <x14:formula1>
            <xm:f>'Lookup refs'!$C$8:$C$10</xm:f>
          </x14:formula1>
          <xm:sqref>E18:E141</xm:sqref>
        </x14:dataValidation>
        <x14:dataValidation type="list" allowBlank="1" showInputMessage="1" showErrorMessage="1" xr:uid="{6E9DAD93-16AF-4726-A2A9-3D3AE290FDD5}">
          <x14:formula1>
            <xm:f>'Lookup refs'!$E$8:$E$20</xm:f>
          </x14:formula1>
          <xm:sqref>F194:F199 F18:F141</xm:sqref>
        </x14:dataValidation>
        <x14:dataValidation type="list" allowBlank="1" showInputMessage="1" showErrorMessage="1" xr:uid="{DB7F5277-E0C5-4ABC-A2EC-0899E5776FE1}">
          <x14:formula1>
            <xm:f>'Lookup refs'!$G$8:$G$10</xm:f>
          </x14:formula1>
          <xm:sqref>G194:G199 F150:F186 G18:G141</xm:sqref>
        </x14:dataValidation>
        <x14:dataValidation type="list" allowBlank="1" showInputMessage="1" showErrorMessage="1" xr:uid="{911958A1-B048-461E-BF28-94BB6660ACDD}">
          <x14:formula1>
            <xm:f>'Lookup refs'!$O$8:$O$13</xm:f>
          </x14:formula1>
          <xm:sqref>E9:E10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DB55-A1B8-4BF5-ACF4-AC560D0EC1E6}">
  <sheetPr codeName="Sheet12">
    <tabColor rgb="FFD3DFE9"/>
    <pageSetUpPr autoPageBreaks="0"/>
  </sheetPr>
  <dimension ref="A1:Z35"/>
  <sheetViews>
    <sheetView showGridLines="0" topLeftCell="B1" zoomScale="70" zoomScaleNormal="70" workbookViewId="0">
      <pane ySplit="3" topLeftCell="A4" activePane="bottomLeft" state="frozen"/>
      <selection activeCell="B33" sqref="B33"/>
      <selection pane="bottomLeft" activeCell="B19" sqref="A17:XFD19"/>
    </sheetView>
  </sheetViews>
  <sheetFormatPr defaultColWidth="9.42578125" defaultRowHeight="15" outlineLevelCol="1" x14ac:dyDescent="0.25"/>
  <cols>
    <col min="1" max="1" width="100.5703125" hidden="1" customWidth="1" outlineLevel="1"/>
    <col min="2" max="2" width="10.5703125" style="5" customWidth="1" collapsed="1"/>
    <col min="3" max="3" width="50.5703125" customWidth="1"/>
    <col min="4" max="4" width="25.5703125" customWidth="1"/>
    <col min="5" max="5" width="25.5703125" hidden="1" customWidth="1"/>
    <col min="6" max="26" width="25.5703125" customWidth="1"/>
  </cols>
  <sheetData>
    <row r="1" spans="1:26" ht="15" customHeight="1" x14ac:dyDescent="0.25">
      <c r="A1" s="1" t="s">
        <v>33</v>
      </c>
      <c r="B1" s="249" t="s">
        <v>576</v>
      </c>
      <c r="C1" s="13"/>
      <c r="D1" s="13"/>
      <c r="E1" s="13"/>
      <c r="F1" s="13"/>
      <c r="G1" s="13"/>
      <c r="H1" s="13"/>
      <c r="I1" s="13"/>
      <c r="J1" s="13"/>
      <c r="K1" s="13"/>
      <c r="L1" s="13"/>
      <c r="M1" s="13"/>
      <c r="N1" s="13"/>
      <c r="O1" s="13"/>
      <c r="P1" s="13"/>
      <c r="Q1" s="13"/>
      <c r="R1" s="13"/>
      <c r="S1" s="13"/>
      <c r="T1" s="13"/>
      <c r="U1" s="13"/>
      <c r="V1" s="13"/>
      <c r="W1" s="13"/>
      <c r="X1" s="13"/>
      <c r="Y1" s="13"/>
      <c r="Z1" s="13"/>
    </row>
    <row r="2" spans="1:26" s="3" customFormat="1" ht="50.1" customHeight="1" x14ac:dyDescent="0.25">
      <c r="A2" s="253" t="s">
        <v>34</v>
      </c>
      <c r="B2" s="189"/>
      <c r="C2" s="189" t="str">
        <f>Disclaimer!$B$1</f>
        <v>VDO calculation model</v>
      </c>
      <c r="D2" s="189"/>
      <c r="E2" s="189"/>
      <c r="F2" s="189"/>
      <c r="G2" s="16"/>
      <c r="H2" s="16"/>
      <c r="I2" s="16"/>
      <c r="J2" s="16"/>
      <c r="K2" s="16"/>
      <c r="L2" s="16"/>
      <c r="M2" s="16"/>
      <c r="N2" s="16"/>
      <c r="O2" s="16"/>
      <c r="P2" s="16"/>
      <c r="Q2" s="16"/>
      <c r="R2" s="16"/>
      <c r="S2" s="16"/>
      <c r="T2" s="16"/>
      <c r="U2" s="16"/>
      <c r="V2" s="16"/>
      <c r="W2" s="16"/>
      <c r="X2" s="16"/>
      <c r="Y2" s="16"/>
      <c r="Z2" s="16"/>
    </row>
    <row r="3" spans="1:26" s="3" customFormat="1" ht="30" customHeight="1" x14ac:dyDescent="0.25">
      <c r="A3" s="254"/>
      <c r="B3" s="191">
        <f ca="1">_xlfn.SHEET()</f>
        <v>11</v>
      </c>
      <c r="C3" s="192" t="s">
        <v>333</v>
      </c>
      <c r="D3" s="192"/>
      <c r="E3" s="192"/>
      <c r="F3" s="192"/>
      <c r="G3" s="17"/>
      <c r="H3" s="17"/>
      <c r="I3" s="17"/>
      <c r="J3" s="17"/>
      <c r="K3" s="17"/>
      <c r="L3" s="17"/>
      <c r="M3" s="17"/>
      <c r="N3" s="17"/>
      <c r="O3" s="17"/>
      <c r="P3" s="17"/>
      <c r="Q3" s="17"/>
      <c r="R3" s="17"/>
      <c r="S3" s="17"/>
      <c r="T3" s="17"/>
      <c r="U3" s="17"/>
      <c r="V3" s="17"/>
      <c r="W3" s="17"/>
      <c r="X3" s="17"/>
      <c r="Y3" s="17"/>
      <c r="Z3" s="17"/>
    </row>
    <row r="4" spans="1:26" x14ac:dyDescent="0.25">
      <c r="B4"/>
    </row>
    <row r="5" spans="1:26" ht="16.5" thickBot="1" x14ac:dyDescent="0.3">
      <c r="A5" s="1" t="s">
        <v>36</v>
      </c>
      <c r="B5" s="155">
        <f ca="1">MAX(B$3:B4)+0.01</f>
        <v>11.01</v>
      </c>
      <c r="C5" s="183" t="s">
        <v>334</v>
      </c>
      <c r="D5" s="183"/>
      <c r="E5" s="183"/>
    </row>
    <row r="7" spans="1:26" ht="15.75" x14ac:dyDescent="0.25">
      <c r="C7" s="36" t="s">
        <v>335</v>
      </c>
      <c r="D7" s="29" t="s">
        <v>336</v>
      </c>
    </row>
    <row r="8" spans="1:26" x14ac:dyDescent="0.25">
      <c r="C8" s="233" t="s">
        <v>337</v>
      </c>
      <c r="E8" s="234"/>
    </row>
    <row r="9" spans="1:26" x14ac:dyDescent="0.25">
      <c r="C9" t="s">
        <v>572</v>
      </c>
      <c r="D9" s="28">
        <v>365</v>
      </c>
      <c r="E9" s="234" t="s">
        <v>338</v>
      </c>
    </row>
    <row r="10" spans="1:26" x14ac:dyDescent="0.25">
      <c r="C10" t="s">
        <v>573</v>
      </c>
      <c r="D10" s="28">
        <v>366</v>
      </c>
      <c r="E10" s="234" t="s">
        <v>339</v>
      </c>
    </row>
    <row r="11" spans="1:26" x14ac:dyDescent="0.25">
      <c r="C11" t="s">
        <v>305</v>
      </c>
      <c r="D11" s="28">
        <v>365</v>
      </c>
      <c r="E11" s="234"/>
    </row>
    <row r="12" spans="1:26" x14ac:dyDescent="0.25">
      <c r="C12" s="233" t="s">
        <v>340</v>
      </c>
      <c r="E12" s="234"/>
    </row>
    <row r="13" spans="1:26" x14ac:dyDescent="0.25">
      <c r="C13" t="s">
        <v>341</v>
      </c>
      <c r="D13" s="196">
        <v>12</v>
      </c>
      <c r="E13" s="234" t="s">
        <v>342</v>
      </c>
    </row>
    <row r="14" spans="1:26" x14ac:dyDescent="0.25">
      <c r="C14" t="s">
        <v>343</v>
      </c>
      <c r="D14" s="196">
        <v>3</v>
      </c>
      <c r="E14" s="234" t="s">
        <v>344</v>
      </c>
    </row>
    <row r="15" spans="1:26" x14ac:dyDescent="0.25">
      <c r="E15" s="234"/>
    </row>
    <row r="16" spans="1:26" x14ac:dyDescent="0.25">
      <c r="C16" s="233" t="s">
        <v>345</v>
      </c>
      <c r="E16" s="234"/>
    </row>
    <row r="17" spans="1:5" x14ac:dyDescent="0.25">
      <c r="C17" t="s">
        <v>572</v>
      </c>
      <c r="D17" s="235">
        <f>DiY/7</f>
        <v>52.142857142857146</v>
      </c>
      <c r="E17" s="234" t="s">
        <v>346</v>
      </c>
    </row>
    <row r="18" spans="1:5" x14ac:dyDescent="0.25">
      <c r="C18" t="s">
        <v>573</v>
      </c>
      <c r="D18" s="235" cm="1">
        <f t="array" ref="D18">DiPY/7</f>
        <v>52.285714285714285</v>
      </c>
      <c r="E18" s="234" t="s">
        <v>347</v>
      </c>
    </row>
    <row r="19" spans="1:5" x14ac:dyDescent="0.25">
      <c r="C19" t="s">
        <v>305</v>
      </c>
      <c r="D19" s="235">
        <f>Standard_regulatory_period/7</f>
        <v>52.142857142857146</v>
      </c>
    </row>
    <row r="21" spans="1:5" x14ac:dyDescent="0.25">
      <c r="C21" s="7" t="s">
        <v>348</v>
      </c>
      <c r="D21" s="236" t="s">
        <v>349</v>
      </c>
      <c r="E21" s="234" t="s">
        <v>350</v>
      </c>
    </row>
    <row r="22" spans="1:5" x14ac:dyDescent="0.25">
      <c r="C22" s="7" t="s">
        <v>351</v>
      </c>
      <c r="D22" s="196">
        <v>6</v>
      </c>
      <c r="E22" s="237" t="s">
        <v>332</v>
      </c>
    </row>
    <row r="24" spans="1:5" x14ac:dyDescent="0.25">
      <c r="C24" t="s">
        <v>352</v>
      </c>
      <c r="D24" s="238">
        <v>0.1</v>
      </c>
      <c r="E24" s="234" t="s">
        <v>353</v>
      </c>
    </row>
    <row r="27" spans="1:5" ht="16.5" thickBot="1" x14ac:dyDescent="0.3">
      <c r="A27" s="1" t="s">
        <v>36</v>
      </c>
      <c r="B27" s="155">
        <f ca="1">MAX(B$3:B26)+0.01</f>
        <v>11.02</v>
      </c>
      <c r="C27" s="183" t="s">
        <v>354</v>
      </c>
      <c r="D27" s="183"/>
      <c r="E27" s="183"/>
    </row>
    <row r="30" spans="1:5" x14ac:dyDescent="0.25">
      <c r="C30" t="s">
        <v>49</v>
      </c>
      <c r="D30" t="s">
        <v>355</v>
      </c>
    </row>
    <row r="31" spans="1:5" x14ac:dyDescent="0.25">
      <c r="C31" s="58" t="s">
        <v>132</v>
      </c>
      <c r="D31" s="58">
        <v>1</v>
      </c>
    </row>
    <row r="32" spans="1:5" x14ac:dyDescent="0.25">
      <c r="C32" s="58" t="s">
        <v>356</v>
      </c>
      <c r="D32" s="58">
        <v>2</v>
      </c>
    </row>
    <row r="33" spans="3:4" x14ac:dyDescent="0.25">
      <c r="C33" s="58" t="s">
        <v>357</v>
      </c>
      <c r="D33" s="58">
        <v>3</v>
      </c>
    </row>
    <row r="34" spans="3:4" x14ac:dyDescent="0.25">
      <c r="C34" s="58" t="s">
        <v>134</v>
      </c>
      <c r="D34" s="58">
        <v>4</v>
      </c>
    </row>
    <row r="35" spans="3:4" x14ac:dyDescent="0.25">
      <c r="C35" s="58" t="s">
        <v>52</v>
      </c>
      <c r="D35" s="58">
        <v>5</v>
      </c>
    </row>
  </sheetData>
  <sheetProtection algorithmName="SHA-512" hashValue="nZF2t6pDcX8RoG4DUya04y/C8EMRWy3mBAiq5KpW5ywfJBkWqStDjXF7veZLSotIYG5K4H5ZLw5qcl+64MZQcw==" saltValue="/ESEF66GIobIhann46zvAQ==" spinCount="100000" sheet="1" objects="1" scenarios="1"/>
  <mergeCells count="1">
    <mergeCell ref="A2:A3"/>
  </mergeCells>
  <hyperlinks>
    <hyperlink ref="B1" location="Contents!A1" display="&lt;&lt; Back to Contents" xr:uid="{351F8F4E-091E-4497-BCCC-E81D09FA15E5}"/>
  </hyperlinks>
  <pageMargins left="0.7" right="0.7" top="0.75" bottom="0.75" header="0.3" footer="0.3"/>
  <pageSetup paperSize="9" orientation="portrait" r:id="rId1"/>
  <headerFooter>
    <oddHeader>&amp;C&amp;B&amp;"Arial"&amp;12&amp;Kff0000​‌OFFICIAL‌​</oddHead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0A701-190F-4971-BB2B-9D28766803C5}">
  <sheetPr>
    <tabColor theme="4" tint="0.79998168889431442"/>
    <pageSetUpPr autoPageBreaks="0"/>
  </sheetPr>
  <dimension ref="A1:Z99"/>
  <sheetViews>
    <sheetView showGridLines="0" topLeftCell="B1" zoomScale="80" zoomScaleNormal="80" workbookViewId="0">
      <pane ySplit="3" topLeftCell="A4" activePane="bottomLeft" state="frozen"/>
      <selection activeCell="B33" sqref="B33"/>
      <selection pane="bottomLeft" activeCell="D28" sqref="D28"/>
    </sheetView>
  </sheetViews>
  <sheetFormatPr defaultColWidth="9.42578125" defaultRowHeight="15" outlineLevelCol="1" x14ac:dyDescent="0.25"/>
  <cols>
    <col min="1" max="1" width="100.5703125" hidden="1" customWidth="1" outlineLevel="1"/>
    <col min="2" max="2" width="10.5703125" style="5" customWidth="1" collapsed="1"/>
    <col min="3" max="3" width="64.7109375" customWidth="1"/>
    <col min="4" max="4" width="34.140625" bestFit="1" customWidth="1"/>
    <col min="5" max="26" width="25.5703125" customWidth="1"/>
  </cols>
  <sheetData>
    <row r="1" spans="1:26" ht="15" customHeight="1" x14ac:dyDescent="0.25">
      <c r="A1" s="1" t="s">
        <v>33</v>
      </c>
      <c r="B1" s="249" t="s">
        <v>576</v>
      </c>
      <c r="C1" s="13"/>
      <c r="D1" s="13"/>
      <c r="E1" s="13"/>
      <c r="F1" s="13"/>
      <c r="G1" s="13"/>
      <c r="H1" s="13"/>
      <c r="I1" s="13"/>
      <c r="J1" s="13"/>
      <c r="K1" s="13"/>
      <c r="L1" s="13"/>
      <c r="M1" s="13"/>
      <c r="N1" s="13"/>
      <c r="O1" s="13"/>
      <c r="P1" s="13"/>
      <c r="Q1" s="13"/>
      <c r="R1" s="13"/>
      <c r="S1" s="13"/>
      <c r="T1" s="13"/>
      <c r="U1" s="13"/>
      <c r="V1" s="13"/>
      <c r="W1" s="13"/>
      <c r="X1" s="13"/>
      <c r="Y1" s="13"/>
      <c r="Z1" s="13"/>
    </row>
    <row r="2" spans="1:26" s="3" customFormat="1" ht="50.1" customHeight="1" x14ac:dyDescent="0.25">
      <c r="A2" s="253" t="s">
        <v>498</v>
      </c>
      <c r="B2" s="189"/>
      <c r="C2" s="189" t="str">
        <f>Disclaimer!$B$1</f>
        <v>VDO calculation model</v>
      </c>
      <c r="D2" s="189"/>
      <c r="E2" s="189"/>
      <c r="F2" s="189"/>
      <c r="G2" s="189"/>
      <c r="H2" s="189"/>
      <c r="I2" s="189"/>
      <c r="J2" s="189"/>
      <c r="K2" s="189"/>
      <c r="L2" s="189"/>
      <c r="M2" s="189"/>
      <c r="N2" s="189"/>
      <c r="O2" s="189"/>
      <c r="P2" s="16"/>
      <c r="Q2" s="16"/>
      <c r="R2" s="16"/>
      <c r="S2" s="16"/>
      <c r="T2" s="16"/>
      <c r="U2" s="16"/>
      <c r="V2" s="16"/>
      <c r="W2" s="16"/>
      <c r="X2" s="16"/>
      <c r="Y2" s="16"/>
      <c r="Z2" s="16"/>
    </row>
    <row r="3" spans="1:26" s="3" customFormat="1" ht="30" customHeight="1" x14ac:dyDescent="0.25">
      <c r="A3" s="254"/>
      <c r="B3" s="191">
        <f ca="1">_xlfn.SHEET()</f>
        <v>12</v>
      </c>
      <c r="C3" s="192" t="s">
        <v>31</v>
      </c>
      <c r="D3" s="192"/>
      <c r="E3" s="192"/>
      <c r="F3" s="192"/>
      <c r="G3" s="192"/>
      <c r="H3" s="192"/>
      <c r="I3" s="192"/>
      <c r="J3" s="192"/>
      <c r="K3" s="192"/>
      <c r="L3" s="192"/>
      <c r="M3" s="192"/>
      <c r="N3" s="192"/>
      <c r="O3" s="192"/>
      <c r="P3" s="17"/>
      <c r="Q3" s="17"/>
      <c r="R3" s="17"/>
      <c r="S3" s="17"/>
      <c r="T3" s="17"/>
      <c r="U3" s="17"/>
      <c r="V3" s="17"/>
      <c r="W3" s="17"/>
      <c r="X3" s="17"/>
      <c r="Y3" s="17"/>
      <c r="Z3" s="17"/>
    </row>
    <row r="4" spans="1:26" x14ac:dyDescent="0.25">
      <c r="B4"/>
    </row>
    <row r="5" spans="1:26" ht="16.5" thickBot="1" x14ac:dyDescent="0.3">
      <c r="A5" s="1" t="s">
        <v>36</v>
      </c>
      <c r="B5" s="155">
        <f ca="1">MAX(B$3:B4)+0.01</f>
        <v>12.01</v>
      </c>
      <c r="C5" s="183" t="s">
        <v>499</v>
      </c>
      <c r="D5" s="183"/>
      <c r="E5" s="183"/>
      <c r="F5" s="183"/>
      <c r="G5" s="183"/>
      <c r="H5" s="183"/>
      <c r="I5" s="183"/>
    </row>
    <row r="7" spans="1:26" ht="15.75" x14ac:dyDescent="0.25">
      <c r="C7" s="30" t="s">
        <v>500</v>
      </c>
      <c r="D7" s="30" t="s">
        <v>501</v>
      </c>
      <c r="E7" s="226" t="s">
        <v>502</v>
      </c>
    </row>
    <row r="8" spans="1:26" x14ac:dyDescent="0.25">
      <c r="C8" s="14" t="s">
        <v>503</v>
      </c>
      <c r="D8" s="239">
        <v>43465</v>
      </c>
      <c r="E8" s="240">
        <f>IFERROR(INDEX(CPI[Indice],MATCH(D8,CPI[Period],0),1),"-")</f>
        <v>114.1</v>
      </c>
    </row>
    <row r="9" spans="1:26" x14ac:dyDescent="0.25">
      <c r="C9" s="14" t="s">
        <v>504</v>
      </c>
      <c r="D9" s="239">
        <v>43738</v>
      </c>
      <c r="E9" s="240">
        <f>IFERROR(INDEX(CPI[Indice],MATCH(D9,CPI[Period],0),1),"-")</f>
        <v>115.4</v>
      </c>
    </row>
    <row r="10" spans="1:26" x14ac:dyDescent="0.25">
      <c r="C10" s="14" t="s">
        <v>505</v>
      </c>
      <c r="D10" s="239">
        <v>44012</v>
      </c>
      <c r="E10" s="240">
        <f>IFERROR(INDEX(CPI[Indice],MATCH(D10,CPI[Period],0),1),"-")</f>
        <v>114.4</v>
      </c>
    </row>
    <row r="11" spans="1:26" x14ac:dyDescent="0.25">
      <c r="C11" s="14" t="s">
        <v>323</v>
      </c>
      <c r="D11" s="239">
        <v>44104</v>
      </c>
      <c r="E11" s="240">
        <f>IFERROR(INDEX(CPI[Indice],MATCH(D11,CPI[Period],0),1),"-")</f>
        <v>116.2</v>
      </c>
    </row>
    <row r="12" spans="1:26" x14ac:dyDescent="0.25">
      <c r="C12" s="14" t="s">
        <v>324</v>
      </c>
      <c r="D12" s="239">
        <v>44104</v>
      </c>
      <c r="E12" s="240">
        <f>IFERROR(INDEX(CPI[Indice],MATCH(D12,CPI[Period],0),1),"-")</f>
        <v>116.2</v>
      </c>
    </row>
    <row r="13" spans="1:26" x14ac:dyDescent="0.25">
      <c r="C13" s="14" t="s">
        <v>325</v>
      </c>
      <c r="D13" s="239">
        <v>44104</v>
      </c>
      <c r="E13" s="240">
        <f>IFERROR(INDEX(CPI[Indice],MATCH(D13,CPI[Period],0),1),"-")</f>
        <v>116.2</v>
      </c>
    </row>
    <row r="14" spans="1:26" x14ac:dyDescent="0.25">
      <c r="C14" s="14" t="s">
        <v>326</v>
      </c>
      <c r="D14" s="239">
        <v>44377</v>
      </c>
      <c r="E14" s="240">
        <f>IFERROR(INDEX(CPI[Indice],MATCH(D14,CPI[Period],0),1),"-")</f>
        <v>118.8</v>
      </c>
    </row>
    <row r="15" spans="1:26" x14ac:dyDescent="0.25">
      <c r="C15" s="14" t="s">
        <v>327</v>
      </c>
      <c r="D15" s="239">
        <v>44469</v>
      </c>
      <c r="E15" s="240">
        <f>IFERROR(INDEX(CPI[Indice],MATCH(D15,CPI[Period],0),1),"-")</f>
        <v>119.7</v>
      </c>
    </row>
    <row r="16" spans="1:26" x14ac:dyDescent="0.25">
      <c r="C16" s="14" t="s">
        <v>328</v>
      </c>
      <c r="D16" s="239">
        <v>44561</v>
      </c>
      <c r="E16" s="240">
        <f>IFERROR(INDEX(CPI[Indice],MATCH(D16,CPI[Period],0),1),"-")</f>
        <v>121.3</v>
      </c>
    </row>
    <row r="17" spans="1:9" x14ac:dyDescent="0.25">
      <c r="C17" s="14" t="s">
        <v>329</v>
      </c>
      <c r="D17" s="241">
        <v>44651</v>
      </c>
      <c r="E17" s="242">
        <f>IFERROR(INDEX(CPI[Indice],MATCH(D17,CPI[Period],0),1),"-")</f>
        <v>123.9</v>
      </c>
    </row>
    <row r="18" spans="1:9" x14ac:dyDescent="0.25">
      <c r="C18" s="14" t="s">
        <v>330</v>
      </c>
      <c r="D18" s="241">
        <v>44926</v>
      </c>
      <c r="E18" s="242">
        <f>IFERROR(INDEX(CPI[Indice],MATCH(D18,CPI[Period],0),1),"-")</f>
        <v>130.80000000000001</v>
      </c>
    </row>
    <row r="19" spans="1:9" x14ac:dyDescent="0.25">
      <c r="C19" s="14" t="s">
        <v>109</v>
      </c>
      <c r="D19" s="241">
        <v>45016</v>
      </c>
      <c r="E19" s="243">
        <f>IFERROR(INDEX(CPI[Indice],MATCH(D19,CPI[Period],0),1),"-")</f>
        <v>132.6</v>
      </c>
    </row>
    <row r="20" spans="1:9" x14ac:dyDescent="0.25">
      <c r="C20" s="14" t="s">
        <v>107</v>
      </c>
      <c r="D20" s="241">
        <v>45291</v>
      </c>
      <c r="E20" s="243">
        <f>IFERROR(INDEX(CPI[Indice],MATCH(D20,CPI[Period],0),1),"-")</f>
        <v>136.1</v>
      </c>
    </row>
    <row r="21" spans="1:9" x14ac:dyDescent="0.25">
      <c r="C21" s="14" t="s">
        <v>331</v>
      </c>
      <c r="D21" s="241">
        <v>45382</v>
      </c>
      <c r="E21" s="243">
        <f>IFERROR(INDEX(CPI[Indice],MATCH(D21,CPI[Period],0),1),"-")</f>
        <v>137.4</v>
      </c>
    </row>
    <row r="23" spans="1:9" ht="16.5" thickBot="1" x14ac:dyDescent="0.3">
      <c r="A23" s="1" t="s">
        <v>36</v>
      </c>
      <c r="B23" s="155">
        <f ca="1">MAX(B$3:B22)+0.01</f>
        <v>12.02</v>
      </c>
      <c r="C23" s="183" t="s">
        <v>506</v>
      </c>
      <c r="D23" s="183"/>
      <c r="E23" s="183"/>
      <c r="F23" s="183"/>
      <c r="G23" s="183"/>
      <c r="H23" s="183"/>
      <c r="I23" s="183"/>
    </row>
    <row r="25" spans="1:9" ht="15.75" x14ac:dyDescent="0.25">
      <c r="C25" s="20" t="s">
        <v>507</v>
      </c>
    </row>
    <row r="26" spans="1:9" ht="15.75" x14ac:dyDescent="0.25">
      <c r="C26" s="20" t="s">
        <v>508</v>
      </c>
    </row>
    <row r="28" spans="1:9" ht="15.75" x14ac:dyDescent="0.25">
      <c r="C28" s="36" t="s">
        <v>509</v>
      </c>
      <c r="D28" s="251">
        <v>45383</v>
      </c>
    </row>
    <row r="30" spans="1:9" ht="15.75" x14ac:dyDescent="0.25">
      <c r="C30" s="30" t="s">
        <v>510</v>
      </c>
      <c r="D30" s="226" t="s">
        <v>502</v>
      </c>
    </row>
    <row r="31" spans="1:9" x14ac:dyDescent="0.25">
      <c r="C31" s="244">
        <v>41090</v>
      </c>
      <c r="D31" s="245">
        <v>100.4</v>
      </c>
    </row>
    <row r="32" spans="1:9" x14ac:dyDescent="0.25">
      <c r="C32" s="244">
        <v>41182</v>
      </c>
      <c r="D32" s="245">
        <v>101.8</v>
      </c>
    </row>
    <row r="33" spans="3:4" x14ac:dyDescent="0.25">
      <c r="C33" s="244">
        <v>41274</v>
      </c>
      <c r="D33" s="245">
        <v>102</v>
      </c>
    </row>
    <row r="34" spans="3:4" x14ac:dyDescent="0.25">
      <c r="C34" s="244">
        <v>41364</v>
      </c>
      <c r="D34" s="245">
        <v>102.4</v>
      </c>
    </row>
    <row r="35" spans="3:4" x14ac:dyDescent="0.25">
      <c r="C35" s="244">
        <v>41455</v>
      </c>
      <c r="D35" s="245">
        <v>102.8</v>
      </c>
    </row>
    <row r="36" spans="3:4" x14ac:dyDescent="0.25">
      <c r="C36" s="244">
        <v>41547</v>
      </c>
      <c r="D36" s="245">
        <v>104</v>
      </c>
    </row>
    <row r="37" spans="3:4" x14ac:dyDescent="0.25">
      <c r="C37" s="244">
        <v>41639</v>
      </c>
      <c r="D37" s="245">
        <v>104.8</v>
      </c>
    </row>
    <row r="38" spans="3:4" x14ac:dyDescent="0.25">
      <c r="C38" s="244">
        <v>41729</v>
      </c>
      <c r="D38" s="245">
        <v>105.4</v>
      </c>
    </row>
    <row r="39" spans="3:4" x14ac:dyDescent="0.25">
      <c r="C39" s="244">
        <v>41820</v>
      </c>
      <c r="D39" s="245">
        <v>105.9</v>
      </c>
    </row>
    <row r="40" spans="3:4" x14ac:dyDescent="0.25">
      <c r="C40" s="244">
        <v>41912</v>
      </c>
      <c r="D40" s="245">
        <v>106.4</v>
      </c>
    </row>
    <row r="41" spans="3:4" x14ac:dyDescent="0.25">
      <c r="C41" s="244">
        <v>42004</v>
      </c>
      <c r="D41" s="245">
        <v>106.6</v>
      </c>
    </row>
    <row r="42" spans="3:4" x14ac:dyDescent="0.25">
      <c r="C42" s="244">
        <v>42094</v>
      </c>
      <c r="D42" s="245">
        <v>106.8</v>
      </c>
    </row>
    <row r="43" spans="3:4" x14ac:dyDescent="0.25">
      <c r="C43" s="244">
        <v>42185</v>
      </c>
      <c r="D43" s="245">
        <v>107.5</v>
      </c>
    </row>
    <row r="44" spans="3:4" x14ac:dyDescent="0.25">
      <c r="C44" s="244">
        <v>42277</v>
      </c>
      <c r="D44" s="245">
        <v>108</v>
      </c>
    </row>
    <row r="45" spans="3:4" x14ac:dyDescent="0.25">
      <c r="C45" s="244">
        <v>42369</v>
      </c>
      <c r="D45" s="245">
        <v>108.4</v>
      </c>
    </row>
    <row r="46" spans="3:4" x14ac:dyDescent="0.25">
      <c r="C46" s="244">
        <v>42460</v>
      </c>
      <c r="D46" s="245">
        <v>108.2</v>
      </c>
    </row>
    <row r="47" spans="3:4" x14ac:dyDescent="0.25">
      <c r="C47" s="244">
        <v>42551</v>
      </c>
      <c r="D47" s="245">
        <v>108.6</v>
      </c>
    </row>
    <row r="48" spans="3:4" x14ac:dyDescent="0.25">
      <c r="C48" s="244">
        <v>42643</v>
      </c>
      <c r="D48" s="245">
        <v>109.4</v>
      </c>
    </row>
    <row r="49" spans="3:4" x14ac:dyDescent="0.25">
      <c r="C49" s="244">
        <v>42735</v>
      </c>
      <c r="D49" s="245">
        <v>110</v>
      </c>
    </row>
    <row r="50" spans="3:4" x14ac:dyDescent="0.25">
      <c r="C50" s="244">
        <v>42825</v>
      </c>
      <c r="D50" s="245">
        <v>110.5</v>
      </c>
    </row>
    <row r="51" spans="3:4" x14ac:dyDescent="0.25">
      <c r="C51" s="244">
        <v>42916</v>
      </c>
      <c r="D51" s="245">
        <v>110.7</v>
      </c>
    </row>
    <row r="52" spans="3:4" x14ac:dyDescent="0.25">
      <c r="C52" s="244">
        <v>43008</v>
      </c>
      <c r="D52" s="245">
        <v>111.4</v>
      </c>
    </row>
    <row r="53" spans="3:4" x14ac:dyDescent="0.25">
      <c r="C53" s="244">
        <v>43100</v>
      </c>
      <c r="D53" s="245">
        <v>112.1</v>
      </c>
    </row>
    <row r="54" spans="3:4" x14ac:dyDescent="0.25">
      <c r="C54" s="244">
        <v>43190</v>
      </c>
      <c r="D54" s="245">
        <v>112.6</v>
      </c>
    </row>
    <row r="55" spans="3:4" x14ac:dyDescent="0.25">
      <c r="C55" s="244">
        <v>43281</v>
      </c>
      <c r="D55" s="245">
        <v>113</v>
      </c>
    </row>
    <row r="56" spans="3:4" x14ac:dyDescent="0.25">
      <c r="C56" s="244">
        <v>43373</v>
      </c>
      <c r="D56" s="245">
        <v>113.5</v>
      </c>
    </row>
    <row r="57" spans="3:4" x14ac:dyDescent="0.25">
      <c r="C57" s="244">
        <v>43465</v>
      </c>
      <c r="D57" s="245">
        <v>114.1</v>
      </c>
    </row>
    <row r="58" spans="3:4" x14ac:dyDescent="0.25">
      <c r="C58" s="244">
        <v>43555</v>
      </c>
      <c r="D58" s="245">
        <v>114.1</v>
      </c>
    </row>
    <row r="59" spans="3:4" x14ac:dyDescent="0.25">
      <c r="C59" s="244">
        <v>43646</v>
      </c>
      <c r="D59" s="245">
        <v>114.8</v>
      </c>
    </row>
    <row r="60" spans="3:4" x14ac:dyDescent="0.25">
      <c r="C60" s="244">
        <v>43738</v>
      </c>
      <c r="D60" s="245">
        <v>115.4</v>
      </c>
    </row>
    <row r="61" spans="3:4" x14ac:dyDescent="0.25">
      <c r="C61" s="244">
        <v>43830</v>
      </c>
      <c r="D61" s="245">
        <v>116.2</v>
      </c>
    </row>
    <row r="62" spans="3:4" x14ac:dyDescent="0.25">
      <c r="C62" s="244">
        <v>43921</v>
      </c>
      <c r="D62" s="245">
        <v>116.6</v>
      </c>
    </row>
    <row r="63" spans="3:4" x14ac:dyDescent="0.25">
      <c r="C63" s="244">
        <v>44012</v>
      </c>
      <c r="D63" s="245">
        <v>114.4</v>
      </c>
    </row>
    <row r="64" spans="3:4" x14ac:dyDescent="0.25">
      <c r="C64" s="244">
        <v>44104</v>
      </c>
      <c r="D64" s="245">
        <v>116.2</v>
      </c>
    </row>
    <row r="65" spans="3:4" x14ac:dyDescent="0.25">
      <c r="C65" s="244">
        <v>44196</v>
      </c>
      <c r="D65" s="245">
        <v>117.2</v>
      </c>
    </row>
    <row r="66" spans="3:4" x14ac:dyDescent="0.25">
      <c r="C66" s="244">
        <v>44286</v>
      </c>
      <c r="D66" s="245">
        <v>117.9</v>
      </c>
    </row>
    <row r="67" spans="3:4" x14ac:dyDescent="0.25">
      <c r="C67" s="244">
        <v>44377</v>
      </c>
      <c r="D67" s="245">
        <v>118.8</v>
      </c>
    </row>
    <row r="68" spans="3:4" x14ac:dyDescent="0.25">
      <c r="C68" s="244">
        <v>44469</v>
      </c>
      <c r="D68" s="245">
        <v>119.7</v>
      </c>
    </row>
    <row r="69" spans="3:4" x14ac:dyDescent="0.25">
      <c r="C69" s="244">
        <v>44561</v>
      </c>
      <c r="D69" s="245">
        <v>121.3</v>
      </c>
    </row>
    <row r="70" spans="3:4" x14ac:dyDescent="0.25">
      <c r="C70" s="244">
        <v>44651</v>
      </c>
      <c r="D70" s="245">
        <v>123.9</v>
      </c>
    </row>
    <row r="71" spans="3:4" x14ac:dyDescent="0.25">
      <c r="C71" s="244">
        <v>44742</v>
      </c>
      <c r="D71" s="245">
        <v>126.1</v>
      </c>
    </row>
    <row r="72" spans="3:4" x14ac:dyDescent="0.25">
      <c r="C72" s="244">
        <v>44834</v>
      </c>
      <c r="D72" s="245">
        <v>128.4</v>
      </c>
    </row>
    <row r="73" spans="3:4" x14ac:dyDescent="0.25">
      <c r="C73" s="244">
        <v>44926</v>
      </c>
      <c r="D73" s="245">
        <v>130.80000000000001</v>
      </c>
    </row>
    <row r="74" spans="3:4" x14ac:dyDescent="0.25">
      <c r="C74" s="244">
        <v>45016</v>
      </c>
      <c r="D74" s="245">
        <v>132.6</v>
      </c>
    </row>
    <row r="75" spans="3:4" x14ac:dyDescent="0.25">
      <c r="C75" s="244">
        <v>45107</v>
      </c>
      <c r="D75" s="245">
        <v>133.69999999999999</v>
      </c>
    </row>
    <row r="76" spans="3:4" x14ac:dyDescent="0.25">
      <c r="C76" s="244">
        <v>45199</v>
      </c>
      <c r="D76" s="245">
        <v>135.30000000000001</v>
      </c>
    </row>
    <row r="77" spans="3:4" x14ac:dyDescent="0.25">
      <c r="C77" s="244">
        <v>45291</v>
      </c>
      <c r="D77" s="245">
        <v>136.1</v>
      </c>
    </row>
    <row r="78" spans="3:4" x14ac:dyDescent="0.25">
      <c r="C78" s="244">
        <v>45382</v>
      </c>
      <c r="D78" s="245">
        <v>137.4</v>
      </c>
    </row>
    <row r="81" spans="1:14" ht="16.5" thickBot="1" x14ac:dyDescent="0.3">
      <c r="A81" s="1" t="s">
        <v>36</v>
      </c>
      <c r="B81" s="155">
        <f ca="1">MAX(B$3:B80)+0.01</f>
        <v>12.03</v>
      </c>
      <c r="C81" s="183" t="s">
        <v>511</v>
      </c>
      <c r="D81" s="183"/>
      <c r="E81" s="183"/>
      <c r="F81" s="183"/>
      <c r="G81" s="183"/>
      <c r="H81" s="183"/>
      <c r="I81" s="183"/>
    </row>
    <row r="83" spans="1:14" x14ac:dyDescent="0.25">
      <c r="C83" t="s">
        <v>51</v>
      </c>
      <c r="D83" t="s">
        <v>323</v>
      </c>
      <c r="E83" t="s">
        <v>324</v>
      </c>
      <c r="F83" t="s">
        <v>325</v>
      </c>
      <c r="G83" t="s">
        <v>326</v>
      </c>
      <c r="H83" t="s">
        <v>327</v>
      </c>
      <c r="I83" t="s">
        <v>328</v>
      </c>
      <c r="J83" t="s">
        <v>329</v>
      </c>
      <c r="K83" t="s">
        <v>330</v>
      </c>
      <c r="L83" t="s">
        <v>109</v>
      </c>
      <c r="M83" t="s">
        <v>107</v>
      </c>
      <c r="N83" t="s">
        <v>331</v>
      </c>
    </row>
    <row r="84" spans="1:14" x14ac:dyDescent="0.25">
      <c r="C84" t="s">
        <v>137</v>
      </c>
      <c r="D84" s="196" t="s">
        <v>313</v>
      </c>
      <c r="E84" s="196" t="s">
        <v>313</v>
      </c>
      <c r="F84" s="196" t="s">
        <v>313</v>
      </c>
      <c r="G84" s="196" t="s">
        <v>313</v>
      </c>
      <c r="H84" s="196" t="s">
        <v>313</v>
      </c>
      <c r="I84" s="196" t="s">
        <v>313</v>
      </c>
      <c r="J84" s="196" t="s">
        <v>313</v>
      </c>
      <c r="K84" s="196" t="s">
        <v>313</v>
      </c>
      <c r="L84" s="196" t="s">
        <v>313</v>
      </c>
      <c r="M84" s="196" t="s">
        <v>313</v>
      </c>
      <c r="N84" s="196" t="s">
        <v>313</v>
      </c>
    </row>
    <row r="85" spans="1:14" x14ac:dyDescent="0.25">
      <c r="C85" t="s">
        <v>143</v>
      </c>
      <c r="D85" s="196" t="s">
        <v>312</v>
      </c>
      <c r="E85" s="196" t="s">
        <v>312</v>
      </c>
      <c r="F85" s="196" t="s">
        <v>312</v>
      </c>
      <c r="G85" s="196" t="s">
        <v>312</v>
      </c>
      <c r="H85" s="196" t="s">
        <v>312</v>
      </c>
      <c r="I85" s="196" t="s">
        <v>312</v>
      </c>
      <c r="J85" s="196" t="s">
        <v>312</v>
      </c>
      <c r="K85" s="196" t="s">
        <v>312</v>
      </c>
      <c r="L85" s="196" t="s">
        <v>312</v>
      </c>
      <c r="M85" s="196" t="s">
        <v>312</v>
      </c>
      <c r="N85" s="196" t="s">
        <v>312</v>
      </c>
    </row>
    <row r="86" spans="1:14" x14ac:dyDescent="0.25">
      <c r="C86" t="s">
        <v>144</v>
      </c>
      <c r="D86" s="196" t="s">
        <v>313</v>
      </c>
      <c r="E86" s="196" t="s">
        <v>313</v>
      </c>
      <c r="F86" s="196" t="s">
        <v>313</v>
      </c>
      <c r="G86" s="196" t="s">
        <v>313</v>
      </c>
      <c r="H86" s="196" t="s">
        <v>313</v>
      </c>
      <c r="I86" s="196" t="s">
        <v>313</v>
      </c>
      <c r="J86" s="196" t="s">
        <v>313</v>
      </c>
      <c r="K86" s="196" t="s">
        <v>313</v>
      </c>
      <c r="L86" s="196" t="s">
        <v>313</v>
      </c>
      <c r="M86" s="196" t="s">
        <v>313</v>
      </c>
      <c r="N86" s="196" t="s">
        <v>313</v>
      </c>
    </row>
    <row r="87" spans="1:14" x14ac:dyDescent="0.25">
      <c r="C87" t="s">
        <v>146</v>
      </c>
      <c r="D87" s="196" t="s">
        <v>313</v>
      </c>
      <c r="E87" s="196" t="s">
        <v>313</v>
      </c>
      <c r="F87" s="196" t="s">
        <v>313</v>
      </c>
      <c r="G87" s="196" t="s">
        <v>313</v>
      </c>
      <c r="H87" s="196" t="s">
        <v>312</v>
      </c>
      <c r="I87" s="196" t="s">
        <v>312</v>
      </c>
      <c r="J87" s="196" t="s">
        <v>312</v>
      </c>
      <c r="K87" s="196" t="s">
        <v>312</v>
      </c>
      <c r="L87" s="196" t="s">
        <v>312</v>
      </c>
      <c r="M87" s="196" t="s">
        <v>312</v>
      </c>
      <c r="N87" s="196" t="s">
        <v>312</v>
      </c>
    </row>
    <row r="88" spans="1:14" x14ac:dyDescent="0.25">
      <c r="C88" t="s">
        <v>148</v>
      </c>
      <c r="D88" s="196" t="s">
        <v>313</v>
      </c>
      <c r="E88" s="196" t="s">
        <v>313</v>
      </c>
      <c r="F88" s="196" t="s">
        <v>313</v>
      </c>
      <c r="G88" s="196" t="s">
        <v>313</v>
      </c>
      <c r="H88" s="196" t="s">
        <v>313</v>
      </c>
      <c r="I88" s="196" t="s">
        <v>313</v>
      </c>
      <c r="J88" s="196" t="s">
        <v>313</v>
      </c>
      <c r="K88" s="196" t="s">
        <v>313</v>
      </c>
      <c r="L88" s="196" t="s">
        <v>313</v>
      </c>
      <c r="M88" s="196" t="s">
        <v>313</v>
      </c>
      <c r="N88" s="196" t="s">
        <v>313</v>
      </c>
    </row>
    <row r="89" spans="1:14" x14ac:dyDescent="0.25">
      <c r="C89" t="s">
        <v>150</v>
      </c>
      <c r="D89" s="196" t="s">
        <v>313</v>
      </c>
      <c r="E89" s="196" t="s">
        <v>313</v>
      </c>
      <c r="F89" s="196" t="s">
        <v>313</v>
      </c>
      <c r="G89" s="196" t="s">
        <v>312</v>
      </c>
      <c r="H89" s="196" t="s">
        <v>312</v>
      </c>
      <c r="I89" s="196" t="s">
        <v>313</v>
      </c>
      <c r="J89" s="196" t="s">
        <v>312</v>
      </c>
      <c r="K89" s="196" t="s">
        <v>312</v>
      </c>
      <c r="L89" s="196" t="s">
        <v>312</v>
      </c>
      <c r="M89" s="196" t="s">
        <v>312</v>
      </c>
      <c r="N89" s="196" t="s">
        <v>312</v>
      </c>
    </row>
    <row r="90" spans="1:14" x14ac:dyDescent="0.25">
      <c r="C90" t="s">
        <v>152</v>
      </c>
      <c r="D90" s="196" t="s">
        <v>313</v>
      </c>
      <c r="E90" s="196" t="s">
        <v>313</v>
      </c>
      <c r="F90" s="196" t="s">
        <v>313</v>
      </c>
      <c r="G90" s="196" t="s">
        <v>312</v>
      </c>
      <c r="H90" s="196" t="s">
        <v>312</v>
      </c>
      <c r="I90" s="196" t="s">
        <v>313</v>
      </c>
      <c r="J90" s="196" t="s">
        <v>312</v>
      </c>
      <c r="K90" s="196" t="s">
        <v>312</v>
      </c>
      <c r="L90" s="196" t="s">
        <v>312</v>
      </c>
      <c r="M90" s="196" t="s">
        <v>312</v>
      </c>
      <c r="N90" s="196" t="s">
        <v>312</v>
      </c>
    </row>
    <row r="91" spans="1:14" x14ac:dyDescent="0.25">
      <c r="C91" t="s">
        <v>214</v>
      </c>
      <c r="D91" s="196" t="s">
        <v>313</v>
      </c>
      <c r="E91" s="196" t="s">
        <v>313</v>
      </c>
      <c r="F91" s="196" t="s">
        <v>313</v>
      </c>
      <c r="G91" s="196" t="s">
        <v>312</v>
      </c>
      <c r="H91" s="196" t="s">
        <v>312</v>
      </c>
      <c r="I91" s="196" t="s">
        <v>313</v>
      </c>
      <c r="J91" s="196" t="s">
        <v>312</v>
      </c>
      <c r="K91" s="196" t="s">
        <v>312</v>
      </c>
      <c r="L91" s="196" t="s">
        <v>312</v>
      </c>
      <c r="M91" s="196" t="s">
        <v>312</v>
      </c>
      <c r="N91" s="196" t="s">
        <v>312</v>
      </c>
    </row>
    <row r="92" spans="1:14" x14ac:dyDescent="0.25">
      <c r="C92" t="s">
        <v>218</v>
      </c>
      <c r="D92" s="196" t="s">
        <v>312</v>
      </c>
      <c r="E92" s="196" t="s">
        <v>312</v>
      </c>
      <c r="F92" s="196" t="s">
        <v>312</v>
      </c>
      <c r="G92" s="196" t="s">
        <v>312</v>
      </c>
      <c r="H92" s="196" t="s">
        <v>312</v>
      </c>
      <c r="I92" s="196" t="s">
        <v>313</v>
      </c>
      <c r="J92" s="196" t="s">
        <v>312</v>
      </c>
      <c r="K92" s="196" t="s">
        <v>312</v>
      </c>
      <c r="L92" s="196" t="s">
        <v>312</v>
      </c>
      <c r="M92" s="196" t="s">
        <v>312</v>
      </c>
      <c r="N92" s="196" t="s">
        <v>312</v>
      </c>
    </row>
    <row r="93" spans="1:14" x14ac:dyDescent="0.25">
      <c r="C93" t="s">
        <v>219</v>
      </c>
      <c r="D93" s="225" t="s">
        <v>312</v>
      </c>
      <c r="E93" s="225" t="s">
        <v>312</v>
      </c>
      <c r="F93" s="225" t="s">
        <v>312</v>
      </c>
      <c r="G93" s="225" t="s">
        <v>312</v>
      </c>
      <c r="H93" s="225" t="s">
        <v>312</v>
      </c>
      <c r="I93" s="225" t="s">
        <v>313</v>
      </c>
      <c r="J93" s="196" t="s">
        <v>312</v>
      </c>
      <c r="K93" s="196" t="s">
        <v>312</v>
      </c>
      <c r="L93" s="196" t="s">
        <v>312</v>
      </c>
      <c r="M93" s="196" t="s">
        <v>312</v>
      </c>
      <c r="N93" s="196" t="s">
        <v>312</v>
      </c>
    </row>
    <row r="94" spans="1:14" x14ac:dyDescent="0.25">
      <c r="C94" t="s">
        <v>153</v>
      </c>
      <c r="D94" s="225" t="s">
        <v>312</v>
      </c>
      <c r="E94" s="225" t="s">
        <v>312</v>
      </c>
      <c r="F94" s="225" t="s">
        <v>312</v>
      </c>
      <c r="G94" s="225" t="s">
        <v>312</v>
      </c>
      <c r="H94" s="225" t="s">
        <v>312</v>
      </c>
      <c r="I94" s="225" t="s">
        <v>312</v>
      </c>
      <c r="J94" s="225" t="s">
        <v>312</v>
      </c>
      <c r="K94" s="225" t="s">
        <v>312</v>
      </c>
      <c r="L94" s="225" t="s">
        <v>312</v>
      </c>
      <c r="M94" s="225" t="s">
        <v>312</v>
      </c>
      <c r="N94" s="225" t="s">
        <v>312</v>
      </c>
    </row>
    <row r="95" spans="1:14" x14ac:dyDescent="0.25">
      <c r="C95" t="s">
        <v>154</v>
      </c>
      <c r="D95" s="225" t="s">
        <v>312</v>
      </c>
      <c r="E95" s="225" t="s">
        <v>312</v>
      </c>
      <c r="F95" s="225" t="s">
        <v>312</v>
      </c>
      <c r="G95" s="225" t="s">
        <v>312</v>
      </c>
      <c r="H95" s="225" t="s">
        <v>312</v>
      </c>
      <c r="I95" s="225" t="s">
        <v>312</v>
      </c>
      <c r="J95" s="225" t="s">
        <v>312</v>
      </c>
      <c r="K95" s="225" t="s">
        <v>312</v>
      </c>
      <c r="L95" s="225" t="s">
        <v>312</v>
      </c>
      <c r="M95" s="225" t="s">
        <v>312</v>
      </c>
      <c r="N95" s="225" t="s">
        <v>312</v>
      </c>
    </row>
    <row r="96" spans="1:14" x14ac:dyDescent="0.25">
      <c r="C96" t="s">
        <v>155</v>
      </c>
      <c r="D96" s="225" t="s">
        <v>312</v>
      </c>
      <c r="E96" s="225" t="s">
        <v>312</v>
      </c>
      <c r="F96" s="225" t="s">
        <v>312</v>
      </c>
      <c r="G96" s="225" t="s">
        <v>312</v>
      </c>
      <c r="H96" s="225" t="s">
        <v>312</v>
      </c>
      <c r="I96" s="225" t="s">
        <v>312</v>
      </c>
      <c r="J96" s="225" t="s">
        <v>312</v>
      </c>
      <c r="K96" s="225" t="s">
        <v>312</v>
      </c>
      <c r="L96" s="225" t="s">
        <v>312</v>
      </c>
      <c r="M96" s="225" t="s">
        <v>312</v>
      </c>
      <c r="N96" s="225" t="s">
        <v>312</v>
      </c>
    </row>
    <row r="97" spans="3:14" x14ac:dyDescent="0.25">
      <c r="C97" t="s">
        <v>221</v>
      </c>
      <c r="D97" s="225" t="s">
        <v>312</v>
      </c>
      <c r="E97" s="225" t="s">
        <v>312</v>
      </c>
      <c r="F97" s="225" t="s">
        <v>312</v>
      </c>
      <c r="G97" s="225" t="s">
        <v>312</v>
      </c>
      <c r="H97" s="225" t="s">
        <v>312</v>
      </c>
      <c r="I97" s="225" t="s">
        <v>312</v>
      </c>
      <c r="J97" s="225" t="s">
        <v>312</v>
      </c>
      <c r="K97" s="225" t="s">
        <v>312</v>
      </c>
      <c r="L97" s="225" t="s">
        <v>312</v>
      </c>
      <c r="M97" s="225" t="s">
        <v>312</v>
      </c>
      <c r="N97" s="225" t="s">
        <v>312</v>
      </c>
    </row>
    <row r="98" spans="3:14" x14ac:dyDescent="0.25">
      <c r="C98" t="s">
        <v>222</v>
      </c>
      <c r="D98" s="225" t="s">
        <v>312</v>
      </c>
      <c r="E98" s="225" t="s">
        <v>312</v>
      </c>
      <c r="F98" s="225" t="s">
        <v>312</v>
      </c>
      <c r="G98" s="225" t="s">
        <v>312</v>
      </c>
      <c r="H98" s="225" t="s">
        <v>312</v>
      </c>
      <c r="I98" s="225" t="s">
        <v>312</v>
      </c>
      <c r="J98" s="225" t="s">
        <v>312</v>
      </c>
      <c r="K98" s="225" t="s">
        <v>312</v>
      </c>
      <c r="L98" s="225" t="s">
        <v>312</v>
      </c>
      <c r="M98" s="225" t="s">
        <v>312</v>
      </c>
      <c r="N98" s="225" t="s">
        <v>312</v>
      </c>
    </row>
    <row r="99" spans="3:14" x14ac:dyDescent="0.25">
      <c r="C99" t="s">
        <v>223</v>
      </c>
      <c r="D99" s="225" t="s">
        <v>312</v>
      </c>
      <c r="E99" s="225" t="s">
        <v>312</v>
      </c>
      <c r="F99" s="225" t="s">
        <v>312</v>
      </c>
      <c r="G99" s="225" t="s">
        <v>312</v>
      </c>
      <c r="H99" s="225" t="s">
        <v>312</v>
      </c>
      <c r="I99" s="225" t="s">
        <v>312</v>
      </c>
      <c r="J99" s="225" t="s">
        <v>312</v>
      </c>
      <c r="K99" s="225" t="s">
        <v>312</v>
      </c>
      <c r="L99" s="225" t="s">
        <v>312</v>
      </c>
      <c r="M99" s="225" t="s">
        <v>312</v>
      </c>
      <c r="N99" s="225" t="s">
        <v>312</v>
      </c>
    </row>
  </sheetData>
  <sheetProtection algorithmName="SHA-512" hashValue="PfEBkZdEoWqNK96HBpQUDlaF+VsmYRchFk45FLfKuyxnb+n5Nx1TFvi4kSRrZfX2hfR7IAKzS42Ha0PHDRAEww==" saltValue="AgTx5OjIDo11Zq2cbRlfyw==" spinCount="100000" sheet="1" objects="1" scenarios="1"/>
  <mergeCells count="1">
    <mergeCell ref="A2:A3"/>
  </mergeCells>
  <phoneticPr fontId="30" type="noConversion"/>
  <hyperlinks>
    <hyperlink ref="B1" location="Contents!A1" display="&lt;&lt; Back to Contents" xr:uid="{981F434D-CCE9-444D-868B-201295908740}"/>
  </hyperlinks>
  <pageMargins left="0.7" right="0.7" top="0.75" bottom="0.75" header="0.3" footer="0.3"/>
  <pageSetup paperSize="9" orientation="portrait" r:id="rId1"/>
  <headerFooter>
    <oddHeader>&amp;C&amp;B&amp;"Arial"&amp;12&amp;Kff0000​‌OFFICIAL‌​</oddHeader>
  </headerFooter>
  <tableParts count="3">
    <tablePart r:id="rId2"/>
    <tablePart r:id="rId3"/>
    <tablePart r:id="rId4"/>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0750735-AC25-4CD6-90CF-6D1FD29F38AF}">
          <x14:formula1>
            <xm:f>'Lookup refs'!$M$8:$M$9</xm:f>
          </x14:formula1>
          <xm:sqref>D84:J99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185-BE6B-4916-A39F-BB308B95FEDF}">
  <sheetPr codeName="Sheet19">
    <tabColor rgb="FF236192"/>
    <outlinePr summaryBelow="0"/>
    <pageSetUpPr autoPageBreaks="0"/>
  </sheetPr>
  <dimension ref="A1:S535"/>
  <sheetViews>
    <sheetView showGridLines="0" topLeftCell="B1" zoomScale="70" zoomScaleNormal="70" workbookViewId="0">
      <pane ySplit="3" topLeftCell="A4" activePane="bottomLeft" state="frozen"/>
      <selection activeCell="B33" sqref="B33"/>
      <selection pane="bottomLeft" activeCell="B1" sqref="B1"/>
    </sheetView>
  </sheetViews>
  <sheetFormatPr defaultColWidth="9.42578125" defaultRowHeight="15" outlineLevelRow="1" outlineLevelCol="1" x14ac:dyDescent="0.25"/>
  <cols>
    <col min="1" max="1" width="100.5703125" hidden="1" customWidth="1" outlineLevel="1" collapsed="1"/>
    <col min="2" max="2" width="10.5703125" style="5" customWidth="1" collapsed="1"/>
    <col min="3" max="3" width="50.5703125" customWidth="1"/>
    <col min="4" max="6" width="20.5703125" customWidth="1"/>
    <col min="7" max="11" width="20.7109375" customWidth="1"/>
  </cols>
  <sheetData>
    <row r="1" spans="1:11" ht="15" customHeight="1" x14ac:dyDescent="0.25">
      <c r="A1" s="1" t="s">
        <v>33</v>
      </c>
      <c r="B1" s="249" t="s">
        <v>576</v>
      </c>
      <c r="C1" s="13"/>
      <c r="D1" s="85" t="s">
        <v>358</v>
      </c>
      <c r="E1" s="70"/>
      <c r="F1" s="13"/>
      <c r="G1" s="13"/>
      <c r="H1" s="13"/>
      <c r="I1" s="13"/>
      <c r="J1" s="13"/>
      <c r="K1" s="13"/>
    </row>
    <row r="2" spans="1:11" s="3" customFormat="1" ht="50.1" customHeight="1" x14ac:dyDescent="0.25">
      <c r="A2" s="253" t="s">
        <v>34</v>
      </c>
      <c r="B2" s="16"/>
      <c r="C2" s="16" t="str">
        <f>Disclaimer!$B$1</f>
        <v>VDO calculation model</v>
      </c>
      <c r="D2" s="124" t="str">
        <f>FY</f>
        <v>VDO 2024-25 - Final</v>
      </c>
      <c r="E2" s="124" t="str">
        <f>PY</f>
        <v>VDO 2023-24 - Final</v>
      </c>
      <c r="F2" s="16"/>
      <c r="G2" s="16"/>
      <c r="H2" s="16"/>
      <c r="I2" s="16"/>
      <c r="J2" s="16"/>
      <c r="K2" s="16"/>
    </row>
    <row r="3" spans="1:11" s="3" customFormat="1" ht="30" customHeight="1" x14ac:dyDescent="0.25">
      <c r="A3" s="254"/>
      <c r="B3" s="18">
        <f ca="1">_xlfn.SHEET()</f>
        <v>13</v>
      </c>
      <c r="C3" s="17" t="s">
        <v>359</v>
      </c>
      <c r="D3" s="69">
        <f>SUM($G$23:$K$23,$G$48:$K$48,$G$67:$K$67,$G$74:$K$74,$G$81:$K$81,$G$89:$K$89,$G$103:$K$103,$G$112:$K$112,$G$119:$K$119,$G$126:$K$126,$G$134:$K$134,$G$141:$K$141,$G$96:$K$96)</f>
        <v>0</v>
      </c>
      <c r="E3" s="69">
        <f>SUM($G$285:$K$285,$G$310:$K$310,$G$328:$K$328,$G$335:$K$335,$G$342:$K$342,$G$350:$K$350,$G$357:$K$357,$G$364:$K$364,$G$373:$K$373,$G$380:$K$380,$G$387:$K$387,$G$395:$K$395,$G$402:$K$402)</f>
        <v>0</v>
      </c>
      <c r="F3" s="17"/>
      <c r="G3" s="17"/>
      <c r="H3" s="17"/>
      <c r="I3" s="17"/>
      <c r="J3" s="17"/>
      <c r="K3" s="17"/>
    </row>
    <row r="4" spans="1:11" x14ac:dyDescent="0.25">
      <c r="B4"/>
    </row>
    <row r="5" spans="1:11" ht="26.25" x14ac:dyDescent="0.25">
      <c r="B5"/>
      <c r="C5" s="156" t="s">
        <v>49</v>
      </c>
      <c r="D5" s="28" t="str">
        <f>Inputs!E9</f>
        <v>VDO 2024-25 - Final</v>
      </c>
    </row>
    <row r="6" spans="1:11" x14ac:dyDescent="0.25">
      <c r="B6"/>
    </row>
    <row r="7" spans="1:11" ht="16.5" thickBot="1" x14ac:dyDescent="0.3">
      <c r="A7" s="1" t="s">
        <v>36</v>
      </c>
      <c r="B7" s="155">
        <f ca="1">MAX(B$3:B6)+0.01</f>
        <v>13.01</v>
      </c>
      <c r="C7" s="19" t="s">
        <v>360</v>
      </c>
      <c r="D7" s="19"/>
      <c r="E7" s="19"/>
      <c r="F7" s="19"/>
      <c r="G7" s="19"/>
      <c r="H7" s="19"/>
      <c r="I7" s="19"/>
      <c r="J7" s="19"/>
      <c r="K7" s="19"/>
    </row>
    <row r="8" spans="1:11" x14ac:dyDescent="0.25">
      <c r="B8"/>
      <c r="I8" s="61"/>
    </row>
    <row r="9" spans="1:11" ht="15.75" x14ac:dyDescent="0.25">
      <c r="B9"/>
      <c r="C9" s="30" t="s">
        <v>361</v>
      </c>
      <c r="D9" s="30" t="s">
        <v>114</v>
      </c>
      <c r="E9" s="30" t="s">
        <v>62</v>
      </c>
      <c r="F9" s="30" t="s">
        <v>63</v>
      </c>
      <c r="G9" s="40" t="s">
        <v>65</v>
      </c>
      <c r="H9" s="40" t="s">
        <v>66</v>
      </c>
      <c r="I9" s="40" t="s">
        <v>67</v>
      </c>
      <c r="J9" s="40" t="s">
        <v>68</v>
      </c>
      <c r="K9" s="40" t="s">
        <v>69</v>
      </c>
    </row>
    <row r="10" spans="1:11" x14ac:dyDescent="0.25">
      <c r="B10"/>
      <c r="C10" s="14" t="s">
        <v>136</v>
      </c>
      <c r="D10" s="14" t="s">
        <v>138</v>
      </c>
      <c r="E10" s="14" t="s">
        <v>71</v>
      </c>
      <c r="F10" s="14" t="s">
        <v>139</v>
      </c>
      <c r="G10" s="50">
        <f>SUMIFS(Calc_Retail_1[Ausnet],Calc_Retail_1[[Fixed/Variable]:[Fixed/Variable]],$D10,Calc_Retail_1[[Customer type]:[Customer type]],$F10)</f>
        <v>185.86772433721131</v>
      </c>
      <c r="H10" s="50">
        <f>SUMIFS(Calc_Retail_1[Citipower],Calc_Retail_1[[Fixed/Variable]:[Fixed/Variable]],$D10,Calc_Retail_1[[Customer type]:[Customer type]],$F10)</f>
        <v>185.86772433721131</v>
      </c>
      <c r="I10" s="50">
        <f>SUMIFS(Calc_Retail_1[Jemena],Calc_Retail_1[[Fixed/Variable]:[Fixed/Variable]],$D10,Calc_Retail_1[[Customer type]:[Customer type]],$F10)</f>
        <v>185.86772433721131</v>
      </c>
      <c r="J10" s="50">
        <f>SUMIFS(Calc_Retail_1[Powercor],Calc_Retail_1[[Fixed/Variable]:[Fixed/Variable]],$D10,Calc_Retail_1[[Customer type]:[Customer type]],$F10)</f>
        <v>185.86772433721131</v>
      </c>
      <c r="K10" s="50">
        <f>SUMIFS(Calc_Retail_1[United Energy],Calc_Retail_1[[Fixed/Variable]:[Fixed/Variable]],$D10,Calc_Retail_1[[Customer type]:[Customer type]],$F10)</f>
        <v>185.86772433721131</v>
      </c>
    </row>
    <row r="11" spans="1:11" x14ac:dyDescent="0.25">
      <c r="B11"/>
      <c r="C11" s="14" t="s">
        <v>147</v>
      </c>
      <c r="D11" s="14" t="s">
        <v>138</v>
      </c>
      <c r="E11" s="14" t="s">
        <v>71</v>
      </c>
      <c r="F11" s="14" t="s">
        <v>139</v>
      </c>
      <c r="G11" s="50">
        <f>SUMIFS(Calc_OtherCosts_1[Ausnet],Calc_OtherCosts_1[[Fixed/Variable]:[Fixed/Variable]],$D11,Calc_OtherCosts_1[[Customer type]:[Customer type]],$F11)</f>
        <v>14.076594479806786</v>
      </c>
      <c r="H11" s="50">
        <f>SUMIFS(Calc_OtherCosts_1[Citipower],Calc_OtherCosts_1[[Fixed/Variable]:[Fixed/Variable]],$D11,Calc_OtherCosts_1[[Customer type]:[Customer type]],$F11)</f>
        <v>14.076594479806786</v>
      </c>
      <c r="I11" s="50">
        <f>SUMIFS(Calc_OtherCosts_1[Jemena],Calc_OtherCosts_1[[Fixed/Variable]:[Fixed/Variable]],$D11,Calc_OtherCosts_1[[Customer type]:[Customer type]],$F11)</f>
        <v>14.076594479806786</v>
      </c>
      <c r="J11" s="50">
        <f>SUMIFS(Calc_OtherCosts_1[Powercor],Calc_OtherCosts_1[[Fixed/Variable]:[Fixed/Variable]],$D11,Calc_OtherCosts_1[[Customer type]:[Customer type]],$F11)</f>
        <v>14.076594479806786</v>
      </c>
      <c r="K11" s="50">
        <f>SUMIFS(Calc_OtherCosts_1[United Energy],Calc_OtherCosts_1[[Fixed/Variable]:[Fixed/Variable]],$D11,Calc_OtherCosts_1[[Customer type]:[Customer type]],$F11)</f>
        <v>14.076594479806786</v>
      </c>
    </row>
    <row r="12" spans="1:11" x14ac:dyDescent="0.25">
      <c r="B12"/>
      <c r="C12" s="14" t="s">
        <v>362</v>
      </c>
      <c r="D12" s="14" t="s">
        <v>138</v>
      </c>
      <c r="E12" s="14" t="s">
        <v>71</v>
      </c>
      <c r="F12" s="14" t="s">
        <v>139</v>
      </c>
      <c r="G12" s="50">
        <f>SUMIFS(Calc_FiT_1[Ausnet],Calc_FiT_1[[Fixed/Variable]:[Fixed/Variable]],$D12,Calc_FiT_1[[Customer type]:[Customer type]],$F12)</f>
        <v>0</v>
      </c>
      <c r="H12" s="50">
        <f>SUMIFS(Calc_FiT_1[Citipower],Calc_FiT_1[[Fixed/Variable]:[Fixed/Variable]],$D12,Calc_FiT_1[[Customer type]:[Customer type]],$F12)</f>
        <v>0</v>
      </c>
      <c r="I12" s="50">
        <f>SUMIFS(Calc_FiT_1[Jemena],Calc_FiT_1[[Fixed/Variable]:[Fixed/Variable]],$D12,Calc_FiT_1[[Customer type]:[Customer type]],$F12)</f>
        <v>0</v>
      </c>
      <c r="J12" s="50">
        <f>SUMIFS(Calc_FiT_1[Powercor],Calc_FiT_1[[Fixed/Variable]:[Fixed/Variable]],$D12,Calc_FiT_1[[Customer type]:[Customer type]],$F12)</f>
        <v>0</v>
      </c>
      <c r="K12" s="50">
        <f>SUMIFS(Calc_FiT_1[United Energy],Calc_FiT_1[[Fixed/Variable]:[Fixed/Variable]],$D12,Calc_FiT_1[[Customer type]:[Customer type]],$F12)</f>
        <v>0</v>
      </c>
    </row>
    <row r="13" spans="1:11" x14ac:dyDescent="0.25">
      <c r="B13"/>
      <c r="C13" s="14" t="s">
        <v>363</v>
      </c>
      <c r="D13" s="14" t="s">
        <v>138</v>
      </c>
      <c r="E13" s="14" t="s">
        <v>71</v>
      </c>
      <c r="F13" s="14" t="s">
        <v>139</v>
      </c>
      <c r="G13" s="50">
        <f>SUMIFS(Calc_NetworkF_1[Ausnet],Calc_NetworkF_1[[Fixed/Variable]:[Fixed/Variable]],$D13,Calc_NetworkF_1[[Customer type]:[Customer type]],$F13)</f>
        <v>81.158339169270931</v>
      </c>
      <c r="H13" s="50">
        <f>SUMIFS(Calc_NetworkF_1[Citipower],Calc_NetworkF_1[[Fixed/Variable]:[Fixed/Variable]],$D13,Calc_NetworkF_1[[Customer type]:[Customer type]],$F13)</f>
        <v>71.8711422464187</v>
      </c>
      <c r="I13" s="50">
        <f>SUMIFS(Calc_NetworkF_1[Jemena],Calc_NetworkF_1[[Fixed/Variable]:[Fixed/Variable]],$D13,Calc_NetworkF_1[[Customer type]:[Customer type]],$F13)</f>
        <v>63.959144577798369</v>
      </c>
      <c r="J13" s="50">
        <f>SUMIFS(Calc_NetworkF_1[Powercor],Calc_NetworkF_1[[Fixed/Variable]:[Fixed/Variable]],$D13,Calc_NetworkF_1[[Customer type]:[Customer type]],$F13)</f>
        <v>68.643009248580412</v>
      </c>
      <c r="K13" s="50">
        <f>SUMIFS(Calc_NetworkF_1[United Energy],Calc_NetworkF_1[[Fixed/Variable]:[Fixed/Variable]],$D13,Calc_NetworkF_1[[Customer type]:[Customer type]],$F13)</f>
        <v>49.31201052193331</v>
      </c>
    </row>
    <row r="14" spans="1:11" x14ac:dyDescent="0.25">
      <c r="B14"/>
    </row>
    <row r="15" spans="1:11" ht="15.75" x14ac:dyDescent="0.25">
      <c r="B15"/>
      <c r="C15" s="20" t="s">
        <v>364</v>
      </c>
    </row>
    <row r="16" spans="1:11" ht="15.75" outlineLevel="1" x14ac:dyDescent="0.25">
      <c r="B16"/>
      <c r="C16" s="57" t="s">
        <v>70</v>
      </c>
    </row>
    <row r="17" spans="2:15" outlineLevel="1" x14ac:dyDescent="0.25">
      <c r="B17"/>
      <c r="C17" s="14" t="s">
        <v>365</v>
      </c>
      <c r="D17" s="14" t="s">
        <v>64</v>
      </c>
      <c r="E17" s="14" t="s">
        <v>71</v>
      </c>
      <c r="F17" s="14" t="s">
        <v>72</v>
      </c>
      <c r="G17" s="41">
        <f>SUMIFS(Calc_NetworkF_1[Ausnet],Calc_NetworkF_1[[Cost item]:[Cost item]],$C16,Calc_NetworkF_1[[Customer type]:[Customer type]],$F17)</f>
        <v>138.51015094671718</v>
      </c>
      <c r="H17" s="41">
        <f>SUMIFS(Calc_NetworkF_1[Citipower],Calc_NetworkF_1[[Cost item]:[Cost item]],$C16,Calc_NetworkF_1[[Customer type]:[Customer type]],$F17)</f>
        <v>94.972999999999999</v>
      </c>
      <c r="I17" s="41">
        <f>SUMIFS(Calc_NetworkF_1[Jemena],Calc_NetworkF_1[[Cost item]:[Cost item]],$C16,Calc_NetworkF_1[[Customer type]:[Customer type]],$F17)</f>
        <v>116.44799999999999</v>
      </c>
      <c r="J17" s="41">
        <f>SUMIFS(Calc_NetworkF_1[Powercor],Calc_NetworkF_1[[Cost item]:[Cost item]],$C16,Calc_NetworkF_1[[Customer type]:[Customer type]],$F17)</f>
        <v>145.0145</v>
      </c>
      <c r="K17" s="41">
        <f>SUMIFS(Calc_NetworkF_1[United Energy],Calc_NetworkF_1[[Cost item]:[Cost item]],$C16,Calc_NetworkF_1[[Customer type]:[Customer type]],$F17)</f>
        <v>94.972999999999999</v>
      </c>
    </row>
    <row r="18" spans="2:15" outlineLevel="1" x14ac:dyDescent="0.25">
      <c r="B18"/>
      <c r="C18" s="14" t="s">
        <v>361</v>
      </c>
      <c r="D18" s="14" t="s">
        <v>64</v>
      </c>
      <c r="E18" s="14" t="s">
        <v>71</v>
      </c>
      <c r="F18" s="14" t="s">
        <v>72</v>
      </c>
      <c r="G18" s="50">
        <f>IF(G17=0,"-",SUMIFS(Calc_Fixed_1[Ausnet],Calc_Fixed_1[Customer type],"All")+SUMIFS(Calc_Fixed_1[Ausnet],Calc_Fixed_1[Customer type],$F18))</f>
        <v>281.10265798628905</v>
      </c>
      <c r="H18" s="50">
        <f>IF(H17=0,"-",SUMIFS(Calc_Fixed_1[Citipower],Calc_Fixed_1[[Customer type]:[Customer type]],"All")+SUMIFS(Calc_Fixed_1[Citipower],Calc_Fixed_1[[Customer type]:[Customer type]],$F18))</f>
        <v>271.81546106343677</v>
      </c>
      <c r="I18" s="50">
        <f>IF(I17=0,"-",SUMIFS(Calc_Fixed_1[Jemena],Calc_Fixed_1[[Customer type]:[Customer type]],"All")+SUMIFS(Calc_Fixed_1[Jemena],Calc_Fixed_1[[Customer type]:[Customer type]],$F18))</f>
        <v>263.90346339481647</v>
      </c>
      <c r="J18" s="50">
        <f>IF(J17=0,"-",SUMIFS(Calc_Fixed_1[Powercor],Calc_Fixed_1[[Customer type]:[Customer type]],"All")+SUMIFS(Calc_Fixed_1[Powercor],Calc_Fixed_1[[Customer type]:[Customer type]],$F18))</f>
        <v>268.58732806559851</v>
      </c>
      <c r="K18" s="50">
        <f>IF(K17=0,"-",SUMIFS(Calc_Fixed_1[United Energy],Calc_Fixed_1[[Customer type]:[Customer type]],"All")+SUMIFS(Calc_Fixed_1[United Energy],Calc_Fixed_1[[Customer type]:[Customer type]],$F18))</f>
        <v>249.25632933895139</v>
      </c>
    </row>
    <row r="19" spans="2:15" outlineLevel="1" x14ac:dyDescent="0.25">
      <c r="B19"/>
      <c r="C19" s="14" t="s">
        <v>263</v>
      </c>
      <c r="D19" s="14" t="s">
        <v>64</v>
      </c>
      <c r="E19" s="14" t="s">
        <v>71</v>
      </c>
      <c r="F19" s="14" t="s">
        <v>72</v>
      </c>
      <c r="G19" s="50" cm="1">
        <f t="array" ref="G19">IF(G17=0,"-",(G17+G18)*Calc_ROM_1[Ausnet])</f>
        <v>23.498317300248349</v>
      </c>
      <c r="H19" s="50" cm="1">
        <f t="array" ref="H19">IF(H17=0,"-",(H17+H18)*Calc_ROM_1[Citipower])</f>
        <v>20.540153819552462</v>
      </c>
      <c r="I19" s="50" cm="1">
        <f t="array" ref="I19">IF(I17=0,"-",(I17+I18)*Calc_ROM_1[Jemena])</f>
        <v>21.299681950109722</v>
      </c>
      <c r="J19" s="50" cm="1">
        <f t="array" ref="J19">IF(J17=0,"-",(J17+J18)*Calc_ROM_1[Powercor])</f>
        <v>23.161702371673517</v>
      </c>
      <c r="K19" s="50" cm="1">
        <f t="array" ref="K19">IF(K17=0,"-",(K17+K18)*Calc_ROM_1[United Energy])</f>
        <v>19.27684244298128</v>
      </c>
      <c r="O19" s="54"/>
    </row>
    <row r="20" spans="2:15" outlineLevel="1" x14ac:dyDescent="0.25">
      <c r="B20"/>
      <c r="C20" s="14" t="s">
        <v>366</v>
      </c>
      <c r="D20" s="14" t="s">
        <v>64</v>
      </c>
      <c r="E20" s="14" t="s">
        <v>71</v>
      </c>
      <c r="F20" s="14" t="s">
        <v>72</v>
      </c>
      <c r="G20" s="50">
        <f>IF(G17=0,"-",(G17+G18+G19)*GST)</f>
        <v>44.311112623325464</v>
      </c>
      <c r="H20" s="50">
        <f>IF(H17=0,"-",(H17+H18+H19)*GST)</f>
        <v>38.73286148829893</v>
      </c>
      <c r="I20" s="50">
        <f>IF(I17=0,"-",(I17+I18+I19)*GST)</f>
        <v>40.165114534492623</v>
      </c>
      <c r="J20" s="50">
        <f>IF(J17=0,"-",(J17+J18+J19)*GST)</f>
        <v>43.676353043727204</v>
      </c>
      <c r="K20" s="50">
        <f>IF(K17=0,"-",(K17+K18+K19)*GST)</f>
        <v>36.350617178193268</v>
      </c>
    </row>
    <row r="21" spans="2:15" outlineLevel="1" x14ac:dyDescent="0.25">
      <c r="B21"/>
      <c r="C21" s="14" t="s">
        <v>367</v>
      </c>
      <c r="D21" s="14" t="s">
        <v>64</v>
      </c>
      <c r="E21" s="14" t="s">
        <v>71</v>
      </c>
      <c r="F21" s="14" t="s">
        <v>72</v>
      </c>
      <c r="G21" s="50">
        <f>IF(G17=0,"-",G17+G18+G19+G20)</f>
        <v>487.42223885658007</v>
      </c>
      <c r="H21" s="50">
        <f>IF(H17=0,"-",H17+H18+H19+H20)</f>
        <v>426.06147637128817</v>
      </c>
      <c r="I21" s="50">
        <f>IF(I17=0,"-",I17+I18+I19+I20)</f>
        <v>441.81625987941879</v>
      </c>
      <c r="J21" s="50">
        <f>IF(J17=0,"-",J17+J18+J19+J20)</f>
        <v>480.43988348099924</v>
      </c>
      <c r="K21" s="50">
        <f>IF(K17=0,"-",K17+K18+K19+K20)</f>
        <v>399.85678896012593</v>
      </c>
    </row>
    <row r="22" spans="2:15" outlineLevel="1" x14ac:dyDescent="0.25">
      <c r="B22"/>
      <c r="C22" s="14" t="str">
        <f>C16</f>
        <v>Anytime - supply</v>
      </c>
      <c r="D22" s="14" t="s">
        <v>64</v>
      </c>
      <c r="E22" s="14" t="s">
        <v>71</v>
      </c>
      <c r="F22" s="14" t="s">
        <v>72</v>
      </c>
      <c r="G22" s="51">
        <f>IF(G17=0,"-",G21/DiY)</f>
        <v>1.3354033941276167</v>
      </c>
      <c r="H22" s="51">
        <f>IF(H17=0,"-",H21/DiY)</f>
        <v>1.167291716085721</v>
      </c>
      <c r="I22" s="51">
        <f>IF(I17=0,"-",I21/DiY)</f>
        <v>1.2104555065189555</v>
      </c>
      <c r="J22" s="51">
        <f>IF(J17=0,"-",J21/DiY)</f>
        <v>1.3162736533726007</v>
      </c>
      <c r="K22" s="51">
        <f>IF(K17=0,"-",K21/DiY)</f>
        <v>1.0954980519455504</v>
      </c>
    </row>
    <row r="23" spans="2:15" outlineLevel="1" x14ac:dyDescent="0.25">
      <c r="B23"/>
      <c r="G23" s="113" cm="1">
        <f t="array" ref="G23">IF(G17=0,"-",
IF(ROUND(G22,8)=ROUND((((
SUMIFS(Calc_NetworkF_1[Ausnet],Calc_NetworkF_1[[Cost item]:[Cost item]],$C16,Calc_NetworkF_1[[Customer type]:[Customer type]],$F17)+
SUMIFS(Calc_Fixed_1[Ausnet],Calc_Fixed_1[[Customer type]:[Customer type]],Calc_Rates!$F22)+SUMIFS(Calc_Fixed_1[Ausnet],Calc_Fixed_1[[Customer type]:[Customer type]],"All"))*(1+Calc_ROM_1[Ausnet]))*(1+GST))/DiY,8),0,1))</f>
        <v>0</v>
      </c>
      <c r="H23" s="113" cm="1">
        <f t="array" ref="H23">IF(H17=0,"-",
IF(ROUND(H22,8)=ROUND((((
SUMIFS(Calc_NetworkF_1[Citipower],Calc_NetworkF_1[[Cost item]:[Cost item]],$C16,Calc_NetworkF_1[[Customer type]:[Customer type]],$F17)+
SUMIFS(Calc_Fixed_1[Citipower],Calc_Fixed_1[[Customer type]:[Customer type]],Calc_Rates!$F22)+SUMIFS(Calc_Fixed_1[Citipower],Calc_Fixed_1[[Customer type]:[Customer type]],"All"))*(1+Calc_ROM_1[Citipower]))*(1+GST))/DiY,8),0,1))</f>
        <v>0</v>
      </c>
      <c r="I23" s="113" cm="1">
        <f t="array" ref="I23">IF(I17=0,"-",
IF(ROUND(I22,8)=ROUND((((
SUMIFS(Calc_NetworkF_1[Jemena],Calc_NetworkF_1[[Cost item]:[Cost item]],$C16,Calc_NetworkF_1[[Customer type]:[Customer type]],$F17)+
SUMIFS(Calc_Fixed_1[Jemena],Calc_Fixed_1[[Customer type]:[Customer type]],Calc_Rates!$F22)+SUMIFS(Calc_Fixed_1[Jemena],Calc_Fixed_1[[Customer type]:[Customer type]],"All"))*(1+Calc_ROM_1[Jemena]))*(1+GST))/DiY,8),0,1))</f>
        <v>0</v>
      </c>
      <c r="J23" s="113" cm="1">
        <f t="array" ref="J23">IF(J17=0,"-",
IF(ROUND(J22,8)=ROUND((((
SUMIFS(Calc_NetworkF_1[Powercor],Calc_NetworkF_1[[Cost item]:[Cost item]],$C16,Calc_NetworkF_1[[Customer type]:[Customer type]],$F17)+
SUMIFS(Calc_Fixed_1[Powercor],Calc_Fixed_1[[Customer type]:[Customer type]],Calc_Rates!$F22)+SUMIFS(Calc_Fixed_1[Powercor],Calc_Fixed_1[[Customer type]:[Customer type]],"All"))*(1+Calc_ROM_1[Powercor]))*(1+GST))/DiY,8),0,1))</f>
        <v>0</v>
      </c>
      <c r="K23" s="113" cm="1">
        <f t="array" ref="K23">IF(K17=0,"-",
IF(ROUND(K22,8)=ROUND((((
SUMIFS(Calc_NetworkF_1[United Energy],Calc_NetworkF_1[[Cost item]:[Cost item]],$C16,Calc_NetworkF_1[[Customer type]:[Customer type]],$F17)+
SUMIFS(Calc_Fixed_1[United Energy],Calc_Fixed_1[[Customer type]:[Customer type]],Calc_Rates!$F22)+SUMIFS(Calc_Fixed_1[United Energy],Calc_Fixed_1[[Customer type]:[Customer type]],"All"))*(1+Calc_ROM_1[United Energy]))*(1+GST))/DiY,8),0,1))</f>
        <v>0</v>
      </c>
    </row>
    <row r="24" spans="2:15" ht="15.75" outlineLevel="1" x14ac:dyDescent="0.25">
      <c r="B24"/>
      <c r="C24" s="57" t="s">
        <v>78</v>
      </c>
    </row>
    <row r="25" spans="2:15" outlineLevel="1" x14ac:dyDescent="0.25">
      <c r="B25"/>
      <c r="C25" s="14" t="s">
        <v>365</v>
      </c>
      <c r="D25" s="14" t="s">
        <v>64</v>
      </c>
      <c r="E25" s="14" t="s">
        <v>71</v>
      </c>
      <c r="F25" s="14" t="s">
        <v>72</v>
      </c>
      <c r="G25" s="41">
        <f>SUMIFS(Calc_NetworkF_1[Ausnet],Calc_NetworkF_1[[Cost item]:[Cost item]],$C24,Calc_NetworkF_1[[Customer type]:[Customer type]],$F25)</f>
        <v>138.51015094671718</v>
      </c>
      <c r="H25" s="41">
        <f>SUMIFS(Calc_NetworkF_1[Citipower],Calc_NetworkF_1[[Cost item]:[Cost item]],$C24,Calc_NetworkF_1[[Customer type]:[Customer type]],$F25)</f>
        <v>94.972999999999999</v>
      </c>
      <c r="I25" s="41">
        <f>SUMIFS(Calc_NetworkF_1[Jemena],Calc_NetworkF_1[[Cost item]:[Cost item]],$C24,Calc_NetworkF_1[[Customer type]:[Customer type]],$F25)</f>
        <v>116.44799999999999</v>
      </c>
      <c r="J25" s="41">
        <f>SUMIFS(Calc_NetworkF_1[Powercor],Calc_NetworkF_1[[Cost item]:[Cost item]],$C24,Calc_NetworkF_1[[Customer type]:[Customer type]],$F25)</f>
        <v>145.0145</v>
      </c>
      <c r="K25" s="41">
        <f>SUMIFS(Calc_NetworkF_1[United Energy],Calc_NetworkF_1[[Cost item]:[Cost item]],$C24,Calc_NetworkF_1[[Customer type]:[Customer type]],$F25)</f>
        <v>94.972999999999999</v>
      </c>
    </row>
    <row r="26" spans="2:15" outlineLevel="1" x14ac:dyDescent="0.25">
      <c r="B26"/>
      <c r="C26" s="14" t="s">
        <v>361</v>
      </c>
      <c r="D26" s="14" t="s">
        <v>64</v>
      </c>
      <c r="E26" s="14" t="s">
        <v>71</v>
      </c>
      <c r="F26" s="14" t="s">
        <v>72</v>
      </c>
      <c r="G26" s="50">
        <f>IF(G25=0,"-",SUMIFS(Calc_Fixed_1[Ausnet],Calc_Fixed_1[[Customer type]:[Customer type]],"All")+SUMIFS(Calc_Fixed_1[Ausnet],Calc_Fixed_1[[Customer type]:[Customer type]],$F27))</f>
        <v>281.10265798628905</v>
      </c>
      <c r="H26" s="50">
        <f>IF(H25=0,"-",SUMIFS(Calc_Fixed_1[Citipower],Calc_Fixed_1[[Customer type]:[Customer type]],"All")+SUMIFS(Calc_Fixed_1[Citipower],Calc_Fixed_1[[Customer type]:[Customer type]],$F27))</f>
        <v>271.81546106343677</v>
      </c>
      <c r="I26" s="50">
        <f>IF(I25=0,"-",SUMIFS(Calc_Fixed_1[Jemena],Calc_Fixed_1[[Customer type]:[Customer type]],"All")+SUMIFS(Calc_Fixed_1[Jemena],Calc_Fixed_1[[Customer type]:[Customer type]],$F27))</f>
        <v>263.90346339481647</v>
      </c>
      <c r="J26" s="50">
        <f>IF(J25=0,"-",SUMIFS(Calc_Fixed_1[Powercor],Calc_Fixed_1[[Customer type]:[Customer type]],"All")+SUMIFS(Calc_Fixed_1[Powercor],Calc_Fixed_1[[Customer type]:[Customer type]],$F27))</f>
        <v>268.58732806559851</v>
      </c>
      <c r="K26" s="50">
        <f>IF(K25=0,"-",SUMIFS(Calc_Fixed_1[United Energy],Calc_Fixed_1[[Customer type]:[Customer type]],"All")+SUMIFS(Calc_Fixed_1[United Energy],Calc_Fixed_1[[Customer type]:[Customer type]],$F27))</f>
        <v>249.25632933895139</v>
      </c>
    </row>
    <row r="27" spans="2:15" outlineLevel="1" x14ac:dyDescent="0.25">
      <c r="B27"/>
      <c r="C27" s="14" t="s">
        <v>263</v>
      </c>
      <c r="D27" s="14" t="s">
        <v>64</v>
      </c>
      <c r="E27" s="14" t="s">
        <v>71</v>
      </c>
      <c r="F27" s="14" t="s">
        <v>72</v>
      </c>
      <c r="G27" s="50" cm="1">
        <f t="array" ref="G27">IF(G25=0,"-",(G25+G26)*Calc_ROM_1[Ausnet])</f>
        <v>23.498317300248349</v>
      </c>
      <c r="H27" s="50" cm="1">
        <f t="array" ref="H27">IF(H25=0,"-",(H25+H26)*Calc_ROM_1[Citipower])</f>
        <v>20.540153819552462</v>
      </c>
      <c r="I27" s="50" cm="1">
        <f t="array" ref="I27">IF(I25=0,"-",(I25+I26)*Calc_ROM_1[Jemena])</f>
        <v>21.299681950109722</v>
      </c>
      <c r="J27" s="50" cm="1">
        <f t="array" ref="J27">IF(J25=0,"-",(J25+J26)*Calc_ROM_1[Powercor])</f>
        <v>23.161702371673517</v>
      </c>
      <c r="K27" s="50" cm="1">
        <f t="array" ref="K27">IF(K25=0,"-",(K25+K26)*Calc_ROM_1[United Energy])</f>
        <v>19.27684244298128</v>
      </c>
    </row>
    <row r="28" spans="2:15" outlineLevel="1" x14ac:dyDescent="0.25">
      <c r="B28"/>
      <c r="C28" s="14" t="s">
        <v>366</v>
      </c>
      <c r="D28" s="14" t="s">
        <v>64</v>
      </c>
      <c r="E28" s="14" t="s">
        <v>71</v>
      </c>
      <c r="F28" s="14" t="s">
        <v>72</v>
      </c>
      <c r="G28" s="50">
        <f>IF(G25=0,"-",(G25+G26+G27)*GST)</f>
        <v>44.311112623325464</v>
      </c>
      <c r="H28" s="50">
        <f>IF(H25=0,"-",(H25+H26+H27)*GST)</f>
        <v>38.73286148829893</v>
      </c>
      <c r="I28" s="50">
        <f>IF(I25=0,"-",(I25+I26+I27)*GST)</f>
        <v>40.165114534492623</v>
      </c>
      <c r="J28" s="50">
        <f>IF(J25=0,"-",(J25+J26+J27)*GST)</f>
        <v>43.676353043727204</v>
      </c>
      <c r="K28" s="50">
        <f>IF(K25=0,"-",(K25+K26+K27)*GST)</f>
        <v>36.350617178193268</v>
      </c>
    </row>
    <row r="29" spans="2:15" outlineLevel="1" x14ac:dyDescent="0.25">
      <c r="B29"/>
      <c r="C29" s="14" t="s">
        <v>367</v>
      </c>
      <c r="D29" s="14" t="s">
        <v>64</v>
      </c>
      <c r="E29" s="14" t="s">
        <v>71</v>
      </c>
      <c r="F29" s="14" t="s">
        <v>72</v>
      </c>
      <c r="G29" s="50">
        <f>IF(G25=0,"-",G25+G26+G27+G28)</f>
        <v>487.42223885658007</v>
      </c>
      <c r="H29" s="50">
        <f>IF(H25=0,"-",H25+H26+H27+H28)</f>
        <v>426.06147637128817</v>
      </c>
      <c r="I29" s="50">
        <f>IF(I25=0,"-",I25+I26+I27+I28)</f>
        <v>441.81625987941879</v>
      </c>
      <c r="J29" s="50">
        <f>IF(J25=0,"-",J25+J26+J27+J28)</f>
        <v>480.43988348099924</v>
      </c>
      <c r="K29" s="50">
        <f>IF(K25=0,"-",K25+K26+K27+K28)</f>
        <v>399.85678896012593</v>
      </c>
    </row>
    <row r="30" spans="2:15" outlineLevel="1" x14ac:dyDescent="0.25">
      <c r="B30"/>
      <c r="C30" s="14" t="str">
        <f>C24</f>
        <v>TOU - supply</v>
      </c>
      <c r="D30" s="14" t="s">
        <v>64</v>
      </c>
      <c r="E30" s="14" t="s">
        <v>71</v>
      </c>
      <c r="F30" s="14" t="s">
        <v>72</v>
      </c>
      <c r="G30" s="51">
        <f>IF(G25=0,"-",G29/DiY)</f>
        <v>1.3354033941276167</v>
      </c>
      <c r="H30" s="51">
        <f>IF(H25=0,"-",H29/DiY)</f>
        <v>1.167291716085721</v>
      </c>
      <c r="I30" s="51">
        <f>IF(I25=0,"-",I29/DiY)</f>
        <v>1.2104555065189555</v>
      </c>
      <c r="J30" s="51">
        <f>IF(J25=0,"-",J29/DiY)</f>
        <v>1.3162736533726007</v>
      </c>
      <c r="K30" s="51">
        <f>IF(K25=0,"-",K29/DiY)</f>
        <v>1.0954980519455504</v>
      </c>
    </row>
    <row r="31" spans="2:15" outlineLevel="1" x14ac:dyDescent="0.25">
      <c r="B31"/>
      <c r="G31" s="79" cm="1">
        <f t="array" ref="G31">IF(G25=0,"-",
IF(ROUND(G30,8)=ROUND((((
SUMIFS(Calc_NetworkF_1[Ausnet],Calc_NetworkF_1[[Cost item]:[Cost item]],$C24,Calc_NetworkF_1[[Customer type]:[Customer type]],$F25)+
SUMIFS(Calc_Fixed_1[Ausnet],Calc_Fixed_1[[Customer type]:[Customer type]],Calc_Rates!$F30)+SUMIFS(Calc_Fixed_1[Ausnet],Calc_Fixed_1[[Customer type]:[Customer type]],"All"))*(1+Calc_ROM_1[Ausnet]))*(1+GST))/DiY,8),0,1))</f>
        <v>0</v>
      </c>
      <c r="H31" s="79" cm="1">
        <f t="array" ref="H31">IF(H25=0,"-",
IF(ROUND(H30,8)=ROUND((((
SUMIFS(Calc_NetworkF_1[Citipower],Calc_NetworkF_1[[Cost item]:[Cost item]],$C24,Calc_NetworkF_1[[Customer type]:[Customer type]],$F25)+
SUMIFS(Calc_Fixed_1[Citipower],Calc_Fixed_1[[Customer type]:[Customer type]],Calc_Rates!$F30)+SUMIFS(Calc_Fixed_1[Citipower],Calc_Fixed_1[[Customer type]:[Customer type]],"All"))*(1+Calc_ROM_1[Citipower]))*(1+GST))/DiY,8),0,1))</f>
        <v>0</v>
      </c>
      <c r="I31" s="79" cm="1">
        <f t="array" ref="I31">IF(I25=0,"-",
IF(ROUND(I30,8)=ROUND((((
SUMIFS(Calc_NetworkF_1[Jemena],Calc_NetworkF_1[[Cost item]:[Cost item]],$C24,Calc_NetworkF_1[[Customer type]:[Customer type]],$F25)+
SUMIFS(Calc_Fixed_1[Jemena],Calc_Fixed_1[[Customer type]:[Customer type]],Calc_Rates!$F30)+SUMIFS(Calc_Fixed_1[Jemena],Calc_Fixed_1[[Customer type]:[Customer type]],"All"))*(1+Calc_ROM_1[Jemena]))*(1+GST))/DiY,8),0,1))</f>
        <v>0</v>
      </c>
      <c r="J31" s="79" cm="1">
        <f t="array" ref="J31">IF(J25=0,"-",
IF(ROUND(J30,8)=ROUND((((
SUMIFS(Calc_NetworkF_1[Powercor],Calc_NetworkF_1[[Cost item]:[Cost item]],$C24,Calc_NetworkF_1[[Customer type]:[Customer type]],$F25)+
SUMIFS(Calc_Fixed_1[Powercor],Calc_Fixed_1[[Customer type]:[Customer type]],Calc_Rates!$F30)+SUMIFS(Calc_Fixed_1[Powercor],Calc_Fixed_1[[Customer type]:[Customer type]],"All"))*(1+Calc_ROM_1[Powercor]))*(1+GST))/DiY,8),0,1))</f>
        <v>0</v>
      </c>
      <c r="K31" s="79" cm="1">
        <f t="array" ref="K31">IF(K25=0,"-",
IF(ROUND(K30,8)=ROUND((((
SUMIFS(Calc_NetworkF_1[United Energy],Calc_NetworkF_1[[Cost item]:[Cost item]],$C24,Calc_NetworkF_1[[Customer type]:[Customer type]],$F25)+
SUMIFS(Calc_Fixed_1[United Energy],Calc_Fixed_1[[Customer type]:[Customer type]],Calc_Rates!$F30)+SUMIFS(Calc_Fixed_1[United Energy],Calc_Fixed_1[[Customer type]:[Customer type]],"All"))*(1+Calc_ROM_1[United Energy]))*(1+GST))/DiY,8),0,1))</f>
        <v>0</v>
      </c>
    </row>
    <row r="32" spans="2:15" ht="15.75" x14ac:dyDescent="0.25">
      <c r="B32"/>
      <c r="C32" s="20" t="s">
        <v>368</v>
      </c>
    </row>
    <row r="33" spans="2:11" ht="15.75" outlineLevel="1" x14ac:dyDescent="0.25">
      <c r="B33"/>
      <c r="C33" s="57" t="s">
        <v>70</v>
      </c>
    </row>
    <row r="34" spans="2:11" outlineLevel="1" x14ac:dyDescent="0.25">
      <c r="B34"/>
      <c r="C34" s="14" t="s">
        <v>365</v>
      </c>
      <c r="D34" s="14" t="s">
        <v>64</v>
      </c>
      <c r="E34" s="14" t="s">
        <v>71</v>
      </c>
      <c r="F34" s="14" t="s">
        <v>73</v>
      </c>
      <c r="G34" s="41">
        <f>SUMIFS(Calc_NetworkF_1[Ausnet],Calc_NetworkF_1[[Cost item]:[Cost item]],$C33,Calc_NetworkF_1[[Customer type]:[Customer type]],$F34)</f>
        <v>138.51015094671718</v>
      </c>
      <c r="H34" s="41">
        <f>SUMIFS(Calc_NetworkF_1[Citipower],Calc_NetworkF_1[[Cost item]:[Cost item]],$C33,Calc_NetworkF_1[[Customer type]:[Customer type]],$F34)</f>
        <v>154.97899999999998</v>
      </c>
      <c r="I34" s="41">
        <f>SUMIFS(Calc_NetworkF_1[Jemena],Calc_NetworkF_1[[Cost item]:[Cost item]],$C33,Calc_NetworkF_1[[Customer type]:[Customer type]],$F34)</f>
        <v>177.74199999999999</v>
      </c>
      <c r="J34" s="41">
        <f>SUMIFS(Calc_NetworkF_1[Powercor],Calc_NetworkF_1[[Cost item]:[Cost item]],$C33,Calc_NetworkF_1[[Customer type]:[Customer type]],$F34)</f>
        <v>189.98249999999999</v>
      </c>
      <c r="K34" s="41">
        <f>SUMIFS(Calc_NetworkF_1[United Energy],Calc_NetworkF_1[[Cost item]:[Cost item]],$C33,Calc_NetworkF_1[[Customer type]:[Customer type]],$F34)</f>
        <v>154.97899999999998</v>
      </c>
    </row>
    <row r="35" spans="2:11" outlineLevel="1" x14ac:dyDescent="0.25">
      <c r="B35"/>
      <c r="C35" s="14" t="s">
        <v>361</v>
      </c>
      <c r="D35" s="14" t="s">
        <v>64</v>
      </c>
      <c r="E35" s="14" t="s">
        <v>71</v>
      </c>
      <c r="F35" s="14" t="s">
        <v>73</v>
      </c>
      <c r="G35" s="50">
        <f>IF(G34=0,"-",SUMIFS(Calc_Fixed_1[Ausnet],Calc_Fixed_1[[Customer type]:[Customer type]],"All")+SUMIFS(Calc_Fixed_1[Ausnet],Calc_Fixed_1[[Customer type]:[Customer type]],$F36))</f>
        <v>281.10265798628905</v>
      </c>
      <c r="H35" s="50">
        <f>IF(H34=0,"-",SUMIFS(Calc_Fixed_1[Citipower],Calc_Fixed_1[[Customer type]:[Customer type]],"All")+SUMIFS(Calc_Fixed_1[Citipower],Calc_Fixed_1[[Customer type]:[Customer type]],$F36))</f>
        <v>271.81546106343677</v>
      </c>
      <c r="I35" s="50">
        <f>IF(I34=0,"-",SUMIFS(Calc_Fixed_1[Jemena],Calc_Fixed_1[[Customer type]:[Customer type]],"All")+SUMIFS(Calc_Fixed_1[Jemena],Calc_Fixed_1[[Customer type]:[Customer type]],$F36))</f>
        <v>263.90346339481647</v>
      </c>
      <c r="J35" s="50">
        <f>IF(J34=0,"-",SUMIFS(Calc_Fixed_1[Powercor],Calc_Fixed_1[[Customer type]:[Customer type]],"All")+SUMIFS(Calc_Fixed_1[Powercor],Calc_Fixed_1[[Customer type]:[Customer type]],$F36))</f>
        <v>268.58732806559851</v>
      </c>
      <c r="K35" s="50">
        <f>IF(K34=0,"-",SUMIFS(Calc_Fixed_1[United Energy],Calc_Fixed_1[[Customer type]:[Customer type]],"All")+SUMIFS(Calc_Fixed_1[United Energy],Calc_Fixed_1[[Customer type]:[Customer type]],$F36))</f>
        <v>249.25632933895139</v>
      </c>
    </row>
    <row r="36" spans="2:11" outlineLevel="1" x14ac:dyDescent="0.25">
      <c r="B36"/>
      <c r="C36" s="14" t="s">
        <v>263</v>
      </c>
      <c r="D36" s="14" t="s">
        <v>64</v>
      </c>
      <c r="E36" s="14" t="s">
        <v>71</v>
      </c>
      <c r="F36" s="14" t="s">
        <v>73</v>
      </c>
      <c r="G36" s="50" cm="1">
        <f t="array" ref="G36">IF(G34=0,"-",(G34+G35)*Calc_ROM_1[Ausnet])</f>
        <v>23.498317300248349</v>
      </c>
      <c r="H36" s="50" cm="1">
        <f t="array" ref="H36">IF(H34=0,"-",(H34+H35)*Calc_ROM_1[Citipower])</f>
        <v>23.900489819552458</v>
      </c>
      <c r="I36" s="50" cm="1">
        <f t="array" ref="I36">IF(I34=0,"-",(I34+I35)*Calc_ROM_1[Jemena])</f>
        <v>24.732145950109725</v>
      </c>
      <c r="J36" s="50" cm="1">
        <f t="array" ref="J36">IF(J34=0,"-",(J34+J35)*Calc_ROM_1[Powercor])</f>
        <v>25.679910371673515</v>
      </c>
      <c r="K36" s="50" cm="1">
        <f t="array" ref="K36">IF(K34=0,"-",(K34+K35)*Calc_ROM_1[United Energy])</f>
        <v>22.637178442981277</v>
      </c>
    </row>
    <row r="37" spans="2:11" outlineLevel="1" x14ac:dyDescent="0.25">
      <c r="B37"/>
      <c r="C37" s="14" t="s">
        <v>366</v>
      </c>
      <c r="D37" s="14" t="s">
        <v>64</v>
      </c>
      <c r="E37" s="14" t="s">
        <v>71</v>
      </c>
      <c r="F37" s="14" t="s">
        <v>73</v>
      </c>
      <c r="G37" s="50">
        <f>IF(G34=0,"-",(G34+G35+G36)*GST)</f>
        <v>44.311112623325464</v>
      </c>
      <c r="H37" s="50">
        <f>IF(H34=0,"-",(H34+H35+H36)*GST)</f>
        <v>45.069495088298922</v>
      </c>
      <c r="I37" s="50">
        <f>IF(I34=0,"-",(I34+I35+I36)*GST)</f>
        <v>46.637760934492626</v>
      </c>
      <c r="J37" s="50">
        <f>IF(J34=0,"-",(J34+J35+J36)*GST)</f>
        <v>48.424973843727201</v>
      </c>
      <c r="K37" s="50">
        <f>IF(K34=0,"-",(K34+K35+K36)*GST)</f>
        <v>42.687250778193267</v>
      </c>
    </row>
    <row r="38" spans="2:11" outlineLevel="1" x14ac:dyDescent="0.25">
      <c r="B38"/>
      <c r="C38" s="14" t="s">
        <v>367</v>
      </c>
      <c r="D38" s="14" t="s">
        <v>64</v>
      </c>
      <c r="E38" s="14" t="s">
        <v>71</v>
      </c>
      <c r="F38" s="14" t="s">
        <v>73</v>
      </c>
      <c r="G38" s="50">
        <f>IF(G34=0,"-",G34+G35+G36+G37)</f>
        <v>487.42223885658007</v>
      </c>
      <c r="H38" s="50">
        <f>IF(H34=0,"-",H34+H35+H36+H37)</f>
        <v>495.76444597128813</v>
      </c>
      <c r="I38" s="50">
        <f>IF(I34=0,"-",I34+I35+I36+I37)</f>
        <v>513.01537027941879</v>
      </c>
      <c r="J38" s="50">
        <f>IF(J34=0,"-",J34+J35+J36+J37)</f>
        <v>532.67471228099919</v>
      </c>
      <c r="K38" s="50">
        <f>IF(K34=0,"-",K34+K35+K36+K37)</f>
        <v>469.55975856012594</v>
      </c>
    </row>
    <row r="39" spans="2:11" outlineLevel="1" x14ac:dyDescent="0.25">
      <c r="B39"/>
      <c r="C39" s="14" t="str">
        <f>C33</f>
        <v>Anytime - supply</v>
      </c>
      <c r="D39" s="14" t="s">
        <v>64</v>
      </c>
      <c r="E39" s="14" t="s">
        <v>71</v>
      </c>
      <c r="F39" s="14" t="s">
        <v>73</v>
      </c>
      <c r="G39" s="51">
        <f>IF(G34=0,"-",G38/DiY)</f>
        <v>1.3354033941276167</v>
      </c>
      <c r="H39" s="51">
        <f>IF(H34=0,"-",H38/DiY)</f>
        <v>1.3582587560857209</v>
      </c>
      <c r="I39" s="51">
        <f>IF(I34=0,"-",I38/DiY)</f>
        <v>1.4055215624093667</v>
      </c>
      <c r="J39" s="51">
        <f>IF(J34=0,"-",J38/DiY)</f>
        <v>1.4593827733726006</v>
      </c>
      <c r="K39" s="51">
        <f>IF(K34=0,"-",K38/DiY)</f>
        <v>1.2864650919455505</v>
      </c>
    </row>
    <row r="40" spans="2:11" outlineLevel="1" x14ac:dyDescent="0.25">
      <c r="B40"/>
      <c r="G40" s="79" cm="1">
        <f t="array" ref="G40">IF(G34=0,"-",
IF(ROUND(G39,8)=ROUND((((
SUMIFS(Calc_NetworkF_1[Ausnet],Calc_NetworkF_1[[Cost item]:[Cost item]],$C33,Calc_NetworkF_1[[Customer type]:[Customer type]],$F34)+
SUMIFS(Calc_Fixed_1[Ausnet],Calc_Fixed_1[[Customer type]:[Customer type]],Calc_Rates!$F39)+SUMIFS(Calc_Fixed_1[Ausnet],Calc_Fixed_1[[Customer type]:[Customer type]],"All"))*(1+Calc_ROM_1[Ausnet]))*(1+GST))/DiY,8),0,1))</f>
        <v>0</v>
      </c>
      <c r="H40" s="79" cm="1">
        <f t="array" ref="H40">IF(H34=0,"-",
IF(ROUND(H39,8)=ROUND((((
SUMIFS(Calc_NetworkF_1[Citipower],Calc_NetworkF_1[[Cost item]:[Cost item]],$C33,Calc_NetworkF_1[[Customer type]:[Customer type]],$F34)+
SUMIFS(Calc_Fixed_1[Citipower],Calc_Fixed_1[[Customer type]:[Customer type]],Calc_Rates!$F39)+SUMIFS(Calc_Fixed_1[Citipower],Calc_Fixed_1[[Customer type]:[Customer type]],"All"))*(1+Calc_ROM_1[Citipower]))*(1+GST))/DiY,8),0,1))</f>
        <v>0</v>
      </c>
      <c r="I40" s="79" cm="1">
        <f t="array" ref="I40">IF(I34=0,"-",
IF(ROUND(I39,8)=ROUND((((
SUMIFS(Calc_NetworkF_1[Jemena],Calc_NetworkF_1[[Cost item]:[Cost item]],$C33,Calc_NetworkF_1[[Customer type]:[Customer type]],$F34)+
SUMIFS(Calc_Fixed_1[Jemena],Calc_Fixed_1[[Customer type]:[Customer type]],Calc_Rates!$F39)+SUMIFS(Calc_Fixed_1[Jemena],Calc_Fixed_1[[Customer type]:[Customer type]],"All"))*(1+Calc_ROM_1[Jemena]))*(1+GST))/DiY,8),0,1))</f>
        <v>0</v>
      </c>
      <c r="J40" s="79" cm="1">
        <f t="array" ref="J40">IF(J34=0,"-",
IF(ROUND(J39,8)=ROUND((((
SUMIFS(Calc_NetworkF_1[Powercor],Calc_NetworkF_1[[Cost item]:[Cost item]],$C33,Calc_NetworkF_1[[Customer type]:[Customer type]],$F34)+
SUMIFS(Calc_Fixed_1[Powercor],Calc_Fixed_1[[Customer type]:[Customer type]],Calc_Rates!$F39)+SUMIFS(Calc_Fixed_1[Powercor],Calc_Fixed_1[[Customer type]:[Customer type]],"All"))*(1+Calc_ROM_1[Powercor]))*(1+GST))/DiY,8),0,1))</f>
        <v>0</v>
      </c>
      <c r="K40" s="79" cm="1">
        <f t="array" ref="K40">IF(K34=0,"-",
IF(ROUND(K39,8)=ROUND((((
SUMIFS(Calc_NetworkF_1[United Energy],Calc_NetworkF_1[[Cost item]:[Cost item]],$C33,Calc_NetworkF_1[[Customer type]:[Customer type]],$F34)+
SUMIFS(Calc_Fixed_1[United Energy],Calc_Fixed_1[[Customer type]:[Customer type]],Calc_Rates!$F39)+SUMIFS(Calc_Fixed_1[United Energy],Calc_Fixed_1[[Customer type]:[Customer type]],"All"))*(1+Calc_ROM_1[United Energy]))*(1+GST))/DiY,8),0,1))</f>
        <v>0</v>
      </c>
    </row>
    <row r="41" spans="2:11" ht="15.75" outlineLevel="1" x14ac:dyDescent="0.25">
      <c r="B41"/>
      <c r="C41" s="57" t="s">
        <v>78</v>
      </c>
    </row>
    <row r="42" spans="2:11" outlineLevel="1" x14ac:dyDescent="0.25">
      <c r="B42"/>
      <c r="C42" s="14" t="s">
        <v>365</v>
      </c>
      <c r="D42" s="14" t="s">
        <v>64</v>
      </c>
      <c r="E42" s="14" t="s">
        <v>71</v>
      </c>
      <c r="F42" s="14" t="s">
        <v>73</v>
      </c>
      <c r="G42" s="41">
        <f>SUMIFS(Calc_NetworkF_1[Ausnet],Calc_NetworkF_1[[Cost item]:[Cost item]],$C41,Calc_NetworkF_1[[Customer type]:[Customer type]],$F42)</f>
        <v>138.51015094671718</v>
      </c>
      <c r="H42" s="41">
        <f>SUMIFS(Calc_NetworkF_1[Citipower],Calc_NetworkF_1[[Cost item]:[Cost item]],$C41,Calc_NetworkF_1[[Customer type]:[Customer type]],$F42)</f>
        <v>154.97899999999998</v>
      </c>
      <c r="I42" s="41">
        <f>SUMIFS(Calc_NetworkF_1[Jemena],Calc_NetworkF_1[[Cost item]:[Cost item]],$C41,Calc_NetworkF_1[[Customer type]:[Customer type]],$F42)</f>
        <v>278.77499999999998</v>
      </c>
      <c r="J42" s="41">
        <f>SUMIFS(Calc_NetworkF_1[Powercor],Calc_NetworkF_1[[Cost item]:[Cost item]],$C41,Calc_NetworkF_1[[Customer type]:[Customer type]],$F42)</f>
        <v>189.98249999999999</v>
      </c>
      <c r="K42" s="41">
        <f>SUMIFS(Calc_NetworkF_1[United Energy],Calc_NetworkF_1[[Cost item]:[Cost item]],$C41,Calc_NetworkF_1[[Customer type]:[Customer type]],$F42)</f>
        <v>154.97899999999998</v>
      </c>
    </row>
    <row r="43" spans="2:11" outlineLevel="1" x14ac:dyDescent="0.25">
      <c r="B43"/>
      <c r="C43" s="14" t="s">
        <v>361</v>
      </c>
      <c r="D43" s="14" t="s">
        <v>64</v>
      </c>
      <c r="E43" s="14" t="s">
        <v>71</v>
      </c>
      <c r="F43" s="14" t="s">
        <v>73</v>
      </c>
      <c r="G43" s="50">
        <f>IF(G42=0,"-",SUMIFS(Calc_Fixed_1[Ausnet],Calc_Fixed_1[[Customer type]:[Customer type]],"All")+SUMIFS(Calc_Fixed_1[Ausnet],Calc_Fixed_1[[Customer type]:[Customer type]],$F44))</f>
        <v>281.10265798628905</v>
      </c>
      <c r="H43" s="50">
        <f>IF(H42=0,"-",SUMIFS(Calc_Fixed_1[Citipower],Calc_Fixed_1[[Customer type]:[Customer type]],"All")+SUMIFS(Calc_Fixed_1[Citipower],Calc_Fixed_1[[Customer type]:[Customer type]],$F44))</f>
        <v>271.81546106343677</v>
      </c>
      <c r="I43" s="50">
        <f>IF(I42=0,"-",SUMIFS(Calc_Fixed_1[Jemena],Calc_Fixed_1[[Customer type]:[Customer type]],"All")+SUMIFS(Calc_Fixed_1[Jemena],Calc_Fixed_1[[Customer type]:[Customer type]],$F44))</f>
        <v>263.90346339481647</v>
      </c>
      <c r="J43" s="50">
        <f>IF(J42=0,"-",SUMIFS(Calc_Fixed_1[Powercor],Calc_Fixed_1[[Customer type]:[Customer type]],"All")+SUMIFS(Calc_Fixed_1[Powercor],Calc_Fixed_1[[Customer type]:[Customer type]],$F44))</f>
        <v>268.58732806559851</v>
      </c>
      <c r="K43" s="50">
        <f>IF(K42=0,"-",SUMIFS(Calc_Fixed_1[United Energy],Calc_Fixed_1[[Customer type]:[Customer type]],"All")+SUMIFS(Calc_Fixed_1[United Energy],Calc_Fixed_1[[Customer type]:[Customer type]],$F44))</f>
        <v>249.25632933895139</v>
      </c>
    </row>
    <row r="44" spans="2:11" outlineLevel="1" x14ac:dyDescent="0.25">
      <c r="B44"/>
      <c r="C44" s="14" t="s">
        <v>263</v>
      </c>
      <c r="D44" s="14" t="s">
        <v>64</v>
      </c>
      <c r="E44" s="14" t="s">
        <v>71</v>
      </c>
      <c r="F44" s="14" t="s">
        <v>73</v>
      </c>
      <c r="G44" s="50" cm="1">
        <f t="array" ref="G44">IF(G42=0,"-",(G42+G43)*Calc_ROM_1[Ausnet])</f>
        <v>23.498317300248349</v>
      </c>
      <c r="H44" s="50" cm="1">
        <f t="array" ref="H44">IF(H42=0,"-",(H42+H43)*Calc_ROM_1[Citipower])</f>
        <v>23.900489819552458</v>
      </c>
      <c r="I44" s="50" cm="1">
        <f t="array" ref="I44">IF(I42=0,"-",(I42+I43)*Calc_ROM_1[Jemena])</f>
        <v>30.389993950109719</v>
      </c>
      <c r="J44" s="50" cm="1">
        <f t="array" ref="J44">IF(J42=0,"-",(J42+J43)*Calc_ROM_1[Powercor])</f>
        <v>25.679910371673515</v>
      </c>
      <c r="K44" s="50" cm="1">
        <f t="array" ref="K44">IF(K42=0,"-",(K42+K43)*Calc_ROM_1[United Energy])</f>
        <v>22.637178442981277</v>
      </c>
    </row>
    <row r="45" spans="2:11" outlineLevel="1" x14ac:dyDescent="0.25">
      <c r="B45"/>
      <c r="C45" s="14" t="s">
        <v>366</v>
      </c>
      <c r="D45" s="14" t="s">
        <v>64</v>
      </c>
      <c r="E45" s="14" t="s">
        <v>71</v>
      </c>
      <c r="F45" s="14" t="s">
        <v>73</v>
      </c>
      <c r="G45" s="50">
        <f>IF(G42=0,"-",(G42+G43+G44)*GST)</f>
        <v>44.311112623325464</v>
      </c>
      <c r="H45" s="50">
        <f>IF(H42=0,"-",(H42+H43+H44)*GST)</f>
        <v>45.069495088298922</v>
      </c>
      <c r="I45" s="50">
        <f>IF(I42=0,"-",(I42+I43+I44)*GST)</f>
        <v>57.306845734492612</v>
      </c>
      <c r="J45" s="50">
        <f>IF(J42=0,"-",(J42+J43+J44)*GST)</f>
        <v>48.424973843727201</v>
      </c>
      <c r="K45" s="50">
        <f>IF(K42=0,"-",(K42+K43+K44)*GST)</f>
        <v>42.687250778193267</v>
      </c>
    </row>
    <row r="46" spans="2:11" outlineLevel="1" x14ac:dyDescent="0.25">
      <c r="B46"/>
      <c r="C46" s="14" t="s">
        <v>367</v>
      </c>
      <c r="D46" s="14" t="s">
        <v>64</v>
      </c>
      <c r="E46" s="14" t="s">
        <v>71</v>
      </c>
      <c r="F46" s="14" t="s">
        <v>73</v>
      </c>
      <c r="G46" s="50">
        <f>IF(G42=0,"-",G42+G43+G44+G45)</f>
        <v>487.42223885658007</v>
      </c>
      <c r="H46" s="50">
        <f>IF(H42=0,"-",H42+H43+H44+H45)</f>
        <v>495.76444597128813</v>
      </c>
      <c r="I46" s="50">
        <f>IF(I42=0,"-",I42+I43+I44+I45)</f>
        <v>630.3753030794187</v>
      </c>
      <c r="J46" s="50">
        <f>IF(J42=0,"-",J42+J43+J44+J45)</f>
        <v>532.67471228099919</v>
      </c>
      <c r="K46" s="50">
        <f>IF(K42=0,"-",K42+K43+K44+K45)</f>
        <v>469.55975856012594</v>
      </c>
    </row>
    <row r="47" spans="2:11" outlineLevel="1" x14ac:dyDescent="0.25">
      <c r="B47"/>
      <c r="C47" s="14" t="str">
        <f>C41</f>
        <v>TOU - supply</v>
      </c>
      <c r="D47" s="14" t="s">
        <v>64</v>
      </c>
      <c r="E47" s="14" t="s">
        <v>71</v>
      </c>
      <c r="F47" s="14" t="s">
        <v>73</v>
      </c>
      <c r="G47" s="51">
        <f>IF(G42=0,"-",G46/DiY)</f>
        <v>1.3354033941276167</v>
      </c>
      <c r="H47" s="51">
        <f>IF(H42=0,"-",H46/DiY)</f>
        <v>1.3582587560857209</v>
      </c>
      <c r="I47" s="51">
        <f>IF(I42=0,"-",I46/DiY)</f>
        <v>1.7270556248751197</v>
      </c>
      <c r="J47" s="51">
        <f>IF(J42=0,"-",J46/DiY)</f>
        <v>1.4593827733726006</v>
      </c>
      <c r="K47" s="51">
        <f>IF(K42=0,"-",K46/DiY)</f>
        <v>1.2864650919455505</v>
      </c>
    </row>
    <row r="48" spans="2:11" outlineLevel="1" x14ac:dyDescent="0.25">
      <c r="B48"/>
      <c r="G48" s="79" cm="1">
        <f t="array" ref="G48">IF(G42=0,"-",
IF(ROUND(G47,8)=ROUND((((
SUMIFS(Calc_NetworkF_1[Ausnet],Calc_NetworkF_1[[Cost item]:[Cost item]],$C41,Calc_NetworkF_1[[Customer type]:[Customer type]],$F42)+
SUMIFS(Calc_Fixed_1[Ausnet],Calc_Fixed_1[[Customer type]:[Customer type]],Calc_Rates!$F47)+SUMIFS(Calc_Fixed_1[Ausnet],Calc_Fixed_1[[Customer type]:[Customer type]],"All"))*(1+Calc_ROM_1[Ausnet]))*(1+GST))/DiY,8),0,1))</f>
        <v>0</v>
      </c>
      <c r="H48" s="79" cm="1">
        <f t="array" ref="H48">IF(H42=0,"-",
IF(ROUND(H47,8)=ROUND((((
SUMIFS(Calc_NetworkF_1[Citipower],Calc_NetworkF_1[[Cost item]:[Cost item]],$C41,Calc_NetworkF_1[[Customer type]:[Customer type]],$F42)+
SUMIFS(Calc_Fixed_1[Citipower],Calc_Fixed_1[[Customer type]:[Customer type]],Calc_Rates!$F47)+SUMIFS(Calc_Fixed_1[Citipower],Calc_Fixed_1[[Customer type]:[Customer type]],"All"))*(1+Calc_ROM_1[Citipower]))*(1+GST))/DiY,8),0,1))</f>
        <v>0</v>
      </c>
      <c r="I48" s="79" cm="1">
        <f t="array" ref="I48">IF(I42=0,"-",
IF(ROUND(I47,8)=ROUND((((
SUMIFS(Calc_NetworkF_1[Jemena],Calc_NetworkF_1[[Cost item]:[Cost item]],$C41,Calc_NetworkF_1[[Customer type]:[Customer type]],$F42)+
SUMIFS(Calc_Fixed_1[Jemena],Calc_Fixed_1[[Customer type]:[Customer type]],Calc_Rates!$F47)+SUMIFS(Calc_Fixed_1[Jemena],Calc_Fixed_1[[Customer type]:[Customer type]],"All"))*(1+Calc_ROM_1[Jemena]))*(1+GST))/DiY,8),0,1))</f>
        <v>0</v>
      </c>
      <c r="J48" s="79" cm="1">
        <f t="array" ref="J48">IF(J42=0,"-",
IF(ROUND(J47,8)=ROUND((((
SUMIFS(Calc_NetworkF_1[Powercor],Calc_NetworkF_1[[Cost item]:[Cost item]],$C41,Calc_NetworkF_1[[Customer type]:[Customer type]],$F42)+
SUMIFS(Calc_Fixed_1[Powercor],Calc_Fixed_1[[Customer type]:[Customer type]],Calc_Rates!$F47)+SUMIFS(Calc_Fixed_1[Powercor],Calc_Fixed_1[[Customer type]:[Customer type]],"All"))*(1+Calc_ROM_1[Powercor]))*(1+GST))/DiY,8),0,1))</f>
        <v>0</v>
      </c>
      <c r="K48" s="79" cm="1">
        <f t="array" ref="K48">IF(K42=0,"-",
IF(ROUND(K47,8)=ROUND((((
SUMIFS(Calc_NetworkF_1[United Energy],Calc_NetworkF_1[[Cost item]:[Cost item]],$C41,Calc_NetworkF_1[[Customer type]:[Customer type]],$F42)+
SUMIFS(Calc_Fixed_1[United Energy],Calc_Fixed_1[[Customer type]:[Customer type]],Calc_Rates!$F47)+SUMIFS(Calc_Fixed_1[United Energy],Calc_Fixed_1[[Customer type]:[Customer type]],"All"))*(1+Calc_ROM_1[United Energy]))*(1+GST))/DiY,8),0,1))</f>
        <v>0</v>
      </c>
    </row>
    <row r="49" spans="2:14" x14ac:dyDescent="0.25">
      <c r="B49"/>
    </row>
    <row r="50" spans="2:14" ht="15.75" x14ac:dyDescent="0.25">
      <c r="B50"/>
      <c r="C50" s="30" t="s">
        <v>369</v>
      </c>
      <c r="D50" s="30" t="s">
        <v>114</v>
      </c>
      <c r="E50" s="30" t="s">
        <v>62</v>
      </c>
      <c r="F50" s="30" t="s">
        <v>63</v>
      </c>
      <c r="G50" s="40" t="s">
        <v>65</v>
      </c>
      <c r="H50" s="40" t="s">
        <v>66</v>
      </c>
      <c r="I50" s="40" t="s">
        <v>67</v>
      </c>
      <c r="J50" s="40" t="s">
        <v>68</v>
      </c>
      <c r="K50" s="40" t="s">
        <v>69</v>
      </c>
      <c r="M50" s="54"/>
    </row>
    <row r="51" spans="2:14" x14ac:dyDescent="0.25">
      <c r="B51"/>
      <c r="C51" s="14" t="s">
        <v>370</v>
      </c>
      <c r="D51" s="14" t="s">
        <v>184</v>
      </c>
      <c r="E51" s="14" t="s">
        <v>75</v>
      </c>
      <c r="F51" s="14" t="s">
        <v>139</v>
      </c>
      <c r="G51" s="53">
        <f>SUMIFS(Calc_EnviroVEU_1[Ausnet],Calc_EnviroVEU_1[[Fixed/Variable]:[Fixed/Variable]],$D51,Calc_EnviroVEU_1[[Customer type]:[Customer type]],$F51,Calc_EnviroVEU_1[[Cost item]:[Cost item]],"VEU cost")+
SUMIFS(Calc_EnviroLRET_1[Ausnet],Calc_EnviroLRET_1[[Fixed/Variable]:[Fixed/Variable]],$D51,Calc_EnviroLRET_1[[Customer type]:[Customer type]],$F51,Calc_EnviroLRET_1[[Cost item]:[Cost item]],"LRET cost")+
SUMIFS(Calc_EnviroSRES_1[Ausnet],Calc_EnviroSRES_1[[Fixed/Variable]:[Fixed/Variable]],$D51,Calc_EnviroSRES_1[[Customer type]:[Customer type]],$F51,Calc_EnviroSRES_1[[Cost item]:[Cost item]],"SRES cost")</f>
        <v>2.9804443936933628E-2</v>
      </c>
      <c r="H51" s="53">
        <f>SUMIFS(Calc_EnviroVEU_1[Citipower],Calc_EnviroVEU_1[[Fixed/Variable]:[Fixed/Variable]],$D51,Calc_EnviroVEU_1[[Customer type]:[Customer type]],$F51,Calc_EnviroVEU_1[[Cost item]:[Cost item]],"VEU cost")+
SUMIFS(Calc_EnviroLRET_1[Citipower],Calc_EnviroLRET_1[[Fixed/Variable]:[Fixed/Variable]],$D51,Calc_EnviroLRET_1[[Customer type]:[Customer type]],$F51,Calc_EnviroLRET_1[[Cost item]:[Cost item]],"LRET cost")+
SUMIFS(Calc_EnviroSRES_1[Citipower],Calc_EnviroSRES_1[[Fixed/Variable]:[Fixed/Variable]],$D51,Calc_EnviroSRES_1[[Customer type]:[Customer type]],$F51,Calc_EnviroSRES_1[[Cost item]:[Cost item]],"SRES cost")</f>
        <v>2.9804443936933628E-2</v>
      </c>
      <c r="I51" s="53">
        <f>SUMIFS(Calc_EnviroVEU_1[Jemena],Calc_EnviroVEU_1[[Fixed/Variable]:[Fixed/Variable]],$D51,Calc_EnviroVEU_1[[Customer type]:[Customer type]],$F51,Calc_EnviroVEU_1[[Cost item]:[Cost item]],"VEU cost")+
SUMIFS(Calc_EnviroLRET_1[Jemena],Calc_EnviroLRET_1[[Fixed/Variable]:[Fixed/Variable]],$D51,Calc_EnviroLRET_1[[Customer type]:[Customer type]],$F51,Calc_EnviroLRET_1[[Cost item]:[Cost item]],"LRET cost")+
SUMIFS(Calc_EnviroSRES_1[Jemena],Calc_EnviroSRES_1[[Fixed/Variable]:[Fixed/Variable]],$D51,Calc_EnviroSRES_1[[Customer type]:[Customer type]],$F51,Calc_EnviroSRES_1[[Cost item]:[Cost item]],"SRES cost")</f>
        <v>2.9804443936933628E-2</v>
      </c>
      <c r="J51" s="53">
        <f>SUMIFS(Calc_EnviroVEU_1[Powercor],Calc_EnviroVEU_1[[Fixed/Variable]:[Fixed/Variable]],$D51,Calc_EnviroVEU_1[[Customer type]:[Customer type]],$F51,Calc_EnviroVEU_1[[Cost item]:[Cost item]],"VEU cost")+
SUMIFS(Calc_EnviroLRET_1[Powercor],Calc_EnviroLRET_1[[Fixed/Variable]:[Fixed/Variable]],$D51,Calc_EnviroLRET_1[[Customer type]:[Customer type]],$F51,Calc_EnviroLRET_1[[Cost item]:[Cost item]],"LRET cost")+
SUMIFS(Calc_EnviroSRES_1[Powercor],Calc_EnviroSRES_1[[Fixed/Variable]:[Fixed/Variable]],$D51,Calc_EnviroSRES_1[[Customer type]:[Customer type]],$F51,Calc_EnviroSRES_1[[Cost item]:[Cost item]],"SRES cost")</f>
        <v>2.9804443936933628E-2</v>
      </c>
      <c r="K51" s="53">
        <f>SUMIFS(Calc_EnviroVEU_1[United Energy],Calc_EnviroVEU_1[[Fixed/Variable]:[Fixed/Variable]],$D51,Calc_EnviroVEU_1[[Customer type]:[Customer type]],$F51,Calc_EnviroVEU_1[[Cost item]:[Cost item]],"VEU cost")+
SUMIFS(Calc_EnviroLRET_1[United Energy],Calc_EnviroLRET_1[[Fixed/Variable]:[Fixed/Variable]],$D51,Calc_EnviroLRET_1[[Customer type]:[Customer type]],$F51,Calc_EnviroLRET_1[[Cost item]:[Cost item]],"LRET cost")+
SUMIFS(Calc_EnviroSRES_1[United Energy],Calc_EnviroSRES_1[[Fixed/Variable]:[Fixed/Variable]],$D51,Calc_EnviroSRES_1[[Customer type]:[Customer type]],$F51,Calc_EnviroSRES_1[[Cost item]:[Cost item]],"SRES cost")</f>
        <v>2.9804443936933628E-2</v>
      </c>
    </row>
    <row r="52" spans="2:14" x14ac:dyDescent="0.25">
      <c r="B52"/>
      <c r="C52" s="14" t="s">
        <v>362</v>
      </c>
      <c r="D52" s="14" t="s">
        <v>184</v>
      </c>
      <c r="E52" s="14" t="s">
        <v>75</v>
      </c>
      <c r="F52" s="14" t="s">
        <v>139</v>
      </c>
      <c r="G52" s="41">
        <f>SUMIFS(Calc_FiT_1[Ausnet],Calc_FiT_1[[Fixed/Variable]:[Fixed/Variable]],$D52,Calc_FiT_1[[Customer type]:[Customer type]],$F52)</f>
        <v>1.5968351161074819E-3</v>
      </c>
      <c r="H52" s="41">
        <f>SUMIFS(Calc_FiT_1[Ausnet],Calc_FiT_1[[Fixed/Variable]:[Fixed/Variable]],$D52,Calc_FiT_1[[Customer type]:[Customer type]],$F52)</f>
        <v>1.5968351161074819E-3</v>
      </c>
      <c r="I52" s="41">
        <f>SUMIFS(Calc_FiT_1[Ausnet],Calc_FiT_1[[Fixed/Variable]:[Fixed/Variable]],$D52,Calc_FiT_1[[Customer type]:[Customer type]],$F52)</f>
        <v>1.5968351161074819E-3</v>
      </c>
      <c r="J52" s="41">
        <f>SUMIFS(Calc_FiT_1[Ausnet],Calc_FiT_1[[Fixed/Variable]:[Fixed/Variable]],$D52,Calc_FiT_1[[Customer type]:[Customer type]],$F52)</f>
        <v>1.5968351161074819E-3</v>
      </c>
      <c r="K52" s="41">
        <f>SUMIFS(Calc_FiT_1[Ausnet],Calc_FiT_1[[Fixed/Variable]:[Fixed/Variable]],$D52,Calc_FiT_1[[Customer type]:[Customer type]],$F52)</f>
        <v>1.5968351161074819E-3</v>
      </c>
    </row>
    <row r="53" spans="2:14" x14ac:dyDescent="0.25">
      <c r="B53"/>
      <c r="C53" s="14" t="s">
        <v>147</v>
      </c>
      <c r="D53" s="14" t="s">
        <v>184</v>
      </c>
      <c r="E53" s="14" t="s">
        <v>75</v>
      </c>
      <c r="F53" s="14" t="s">
        <v>139</v>
      </c>
      <c r="G53" s="53">
        <f>SUMIFS(Calc_OtherCosts_1[Ausnet],Calc_OtherCosts_1[Fixed/Variable],$D53,Calc_OtherCosts_1[Customer type],$F53)</f>
        <v>1.0095610249207163E-3</v>
      </c>
      <c r="H53" s="53">
        <f>SUMIFS(Calc_OtherCosts_1[Citipower],Calc_OtherCosts_1[[Fixed/Variable]:[Fixed/Variable]],$D53,Calc_OtherCosts_1[[Customer type]:[Customer type]],$F53)</f>
        <v>1.0095610249207163E-3</v>
      </c>
      <c r="I53" s="53">
        <f>SUMIFS(Calc_OtherCosts_1[Jemena],Calc_OtherCosts_1[[Fixed/Variable]:[Fixed/Variable]],$D53,Calc_OtherCosts_1[[Customer type]:[Customer type]],$F53)</f>
        <v>1.0095610249207163E-3</v>
      </c>
      <c r="J53" s="53">
        <f>SUMIFS(Calc_OtherCosts_1[Powercor],Calc_OtherCosts_1[[Fixed/Variable]:[Fixed/Variable]],$D53,Calc_OtherCosts_1[[Customer type]:[Customer type]],$F53)</f>
        <v>1.0095610249207163E-3</v>
      </c>
      <c r="K53" s="53">
        <f>SUMIFS(Calc_OtherCosts_1[United Energy],Calc_OtherCosts_1[[Fixed/Variable]:[Fixed/Variable]],$D53,Calc_OtherCosts_1[[Customer type]:[Customer type]],$F53)</f>
        <v>1.0095610249207163E-3</v>
      </c>
      <c r="N53" s="55"/>
    </row>
    <row r="54" spans="2:14" x14ac:dyDescent="0.25">
      <c r="B54"/>
      <c r="C54" s="14" t="s">
        <v>371</v>
      </c>
      <c r="D54" s="14" t="s">
        <v>184</v>
      </c>
      <c r="E54" s="14" t="s">
        <v>75</v>
      </c>
      <c r="F54" s="14" t="s">
        <v>72</v>
      </c>
      <c r="G54" s="53">
        <f>SUMIFS(Calc_WholesaleRES_1[Ausnet],Calc_WholesaleRES_1[[Fixed/Variable]:[Fixed/Variable]],$D54,Calc_WholesaleRES_1[[Customer type]:[Customer type]],$F54,Calc_WholesaleRES_1[[Cost item]:[Cost item]],$C54)</f>
        <v>0.12265</v>
      </c>
      <c r="H54" s="53">
        <f>SUMIFS(Calc_WholesaleRES_1[Citipower],Calc_WholesaleRES_1[[Fixed/Variable]:[Fixed/Variable]],$D54,Calc_WholesaleRES_1[[Customer type]:[Customer type]],$F54,Calc_WholesaleRES_1[[Cost item]:[Cost item]],$C54)</f>
        <v>0.10188</v>
      </c>
      <c r="I54" s="53">
        <f>SUMIFS(Calc_WholesaleRES_1[Jemena],Calc_WholesaleRES_1[[Fixed/Variable]:[Fixed/Variable]],$D54,Calc_WholesaleRES_1[[Customer type]:[Customer type]],$F54,Calc_WholesaleRES_1[[Cost item]:[Cost item]],$C54)</f>
        <v>0.11929000000000001</v>
      </c>
      <c r="J54" s="53">
        <f>SUMIFS(Calc_WholesaleRES_1[Powercor],Calc_WholesaleRES_1[[Fixed/Variable]:[Fixed/Variable]],$D54,Calc_WholesaleRES_1[[Customer type]:[Customer type]],$F54,Calc_WholesaleRES_1[[Cost item]:[Cost item]],$C54)</f>
        <v>0.12242</v>
      </c>
      <c r="K54" s="53">
        <f>SUMIFS(Calc_WholesaleRES_1[United Energy],Calc_WholesaleRES_1[[Fixed/Variable]:[Fixed/Variable]],$D54,Calc_WholesaleRES_1[[Customer type]:[Customer type]],$F54,Calc_WholesaleRES_1[[Cost item]:[Cost item]],$C54)</f>
        <v>0.11620999999999999</v>
      </c>
    </row>
    <row r="55" spans="2:14" x14ac:dyDescent="0.25">
      <c r="B55"/>
      <c r="C55" s="14" t="s">
        <v>371</v>
      </c>
      <c r="D55" s="14" t="s">
        <v>184</v>
      </c>
      <c r="E55" s="14" t="s">
        <v>75</v>
      </c>
      <c r="F55" s="14" t="s">
        <v>73</v>
      </c>
      <c r="G55" s="53">
        <f>SUMIFS(Calc_WholesaleSME_1[Ausnet],Calc_WholesaleSME_1[[Fixed/Variable]:[Fixed/Variable]],$D55,Calc_WholesaleSME_1[[Customer type]:[Customer type]],$F55,Calc_WholesaleSME_1[[Cost item]:[Cost item]],$C55)</f>
        <v>9.4159999999999994E-2</v>
      </c>
      <c r="H55" s="53">
        <f>SUMIFS(Calc_WholesaleSME_1[Citipower],Calc_WholesaleSME_1[[Fixed/Variable]:[Fixed/Variable]],$D55,Calc_WholesaleSME_1[[Customer type]:[Customer type]],$F55,Calc_WholesaleSME_1[[Cost item]:[Cost item]],$C55)</f>
        <v>8.9980000000000004E-2</v>
      </c>
      <c r="I55" s="53">
        <f>SUMIFS(Calc_WholesaleSME_1[Jemena],Calc_WholesaleSME_1[[Fixed/Variable]:[Fixed/Variable]],$D55,Calc_WholesaleSME_1[[Customer type]:[Customer type]],$F55,Calc_WholesaleSME_1[[Cost item]:[Cost item]],$C55)</f>
        <v>9.5290000000000014E-2</v>
      </c>
      <c r="J55" s="53">
        <f>SUMIFS(Calc_WholesaleSME_1[Powercor],Calc_WholesaleSME_1[[Fixed/Variable]:[Fixed/Variable]],$D55,Calc_WholesaleSME_1[[Customer type]:[Customer type]],$F55,Calc_WholesaleSME_1[[Cost item]:[Cost item]],$C55)</f>
        <v>9.3470000000000011E-2</v>
      </c>
      <c r="K55" s="53">
        <f>SUMIFS(Calc_WholesaleSME_1[United Energy],Calc_WholesaleSME_1[[Fixed/Variable]:[Fixed/Variable]],$D55,Calc_WholesaleSME_1[[Customer type]:[Customer type]],$F55,Calc_WholesaleSME_1[[Cost item]:[Cost item]],$C55)</f>
        <v>9.4520000000000007E-2</v>
      </c>
    </row>
    <row r="56" spans="2:14" x14ac:dyDescent="0.25">
      <c r="B56"/>
      <c r="C56" s="14" t="s">
        <v>372</v>
      </c>
      <c r="D56" s="14" t="s">
        <v>184</v>
      </c>
      <c r="E56" s="14" t="s">
        <v>75</v>
      </c>
      <c r="F56" s="14" t="s">
        <v>72</v>
      </c>
      <c r="G56" s="53">
        <f>(SUMIFS(G$51:G$55,$F$51:$F$55,"All")+SUMIFS(G$51:G$55,$F$51:$F$55,$F56))*INDEX($G$170:$K$170,1,MATCH(G$50,Calc_Losses_1[[#Headers],[Ausnet]:[United Energy]],0))</f>
        <v>1.2330440487869151E-2</v>
      </c>
      <c r="H56" s="53">
        <f>(SUMIFS(H$51:H$55,$F$51:$F$55,"All")+SUMIFS(H$51:H$55,$F$51:$F$55,$F56))*INDEX($G$170:$K$170,1,MATCH(H$50,Calc_Losses_1[[#Headers],[Ausnet]:[United Energy]],0))</f>
        <v>5.8044022187522006E-3</v>
      </c>
      <c r="I56" s="53">
        <f>(SUMIFS(I$51:I$55,$F$51:$F$55,"All")+SUMIFS(I$51:I$55,$F$51:$F$55,$F56))*INDEX($G$170:$K$170,1,MATCH(I$50,Calc_Losses_1[[#Headers],[Ausnet]:[United Energy]],0))</f>
        <v>7.2504597330725409E-3</v>
      </c>
      <c r="J56" s="53">
        <f>(SUMIFS(J$51:J$55,$F$51:$F$55,"All")+SUMIFS(J$51:J$55,$F$51:$F$55,$F56))*INDEX($G$170:$K$170,1,MATCH(J$50,Calc_Losses_1[[#Headers],[Ausnet]:[United Energy]],0))</f>
        <v>1.0064573367316712E-2</v>
      </c>
      <c r="K56" s="53">
        <f>(SUMIFS(K$51:K$55,$F$51:$F$55,"All")+SUMIFS(K$51:K$55,$F$51:$F$55,$F56))*INDEX($G$170:$K$170,1,MATCH(K$50,Calc_Losses_1[[#Headers],[Ausnet]:[United Energy]],0))</f>
        <v>6.6111369035191658E-3</v>
      </c>
    </row>
    <row r="57" spans="2:14" x14ac:dyDescent="0.25">
      <c r="B57"/>
      <c r="C57" s="14" t="s">
        <v>372</v>
      </c>
      <c r="D57" s="14" t="s">
        <v>184</v>
      </c>
      <c r="E57" s="14" t="s">
        <v>75</v>
      </c>
      <c r="F57" s="14" t="s">
        <v>73</v>
      </c>
      <c r="G57" s="53">
        <f>(SUMIFS(G$51:G$55,$F$51:$F$55,"All")+SUMIFS(G$51:G$55,$F$51:$F$55,$F57))*INDEX($G$170:$K$170,1,MATCH(G$50,Calc_Losses_1[[#Headers],[Ausnet]:[United Energy]],0))</f>
        <v>1.0064915231313287E-2</v>
      </c>
      <c r="H57" s="53">
        <f>(SUMIFS(H$51:H$55,$F$51:$F$55,"All")+SUMIFS(H$51:H$55,$F$51:$F$55,$F57))*INDEX($G$170:$K$170,1,MATCH(H$50,Calc_Losses_1[[#Headers],[Ausnet]:[United Energy]],0))</f>
        <v>5.2900530169522004E-3</v>
      </c>
      <c r="I57" s="53">
        <f>(SUMIFS(I$51:I$55,$F$51:$F$55,"All")+SUMIFS(I$51:I$55,$F$51:$F$55,$F57))*INDEX($G$170:$K$170,1,MATCH(I$50,Calc_Losses_1[[#Headers],[Ausnet]:[United Energy]],0))</f>
        <v>6.1033926930725421E-3</v>
      </c>
      <c r="J57" s="53">
        <f>(SUMIFS(J$51:J$55,$F$51:$F$55,"All")+SUMIFS(J$51:J$55,$F$51:$F$55,$F57))*INDEX($G$170:$K$170,1,MATCH(J$50,Calc_Losses_1[[#Headers],[Ausnet]:[United Energy]],0))</f>
        <v>8.1827170211449442E-3</v>
      </c>
      <c r="K57" s="53">
        <f>(SUMIFS(K$51:K$55,$F$51:$F$55,"All")+SUMIFS(K$51:K$55,$F$51:$F$55,$F57))*INDEX($G$170:$K$170,1,MATCH(K$50,Calc_Losses_1[[#Headers],[Ausnet]:[United Energy]],0))</f>
        <v>5.6462953687646204E-3</v>
      </c>
    </row>
    <row r="58" spans="2:14" x14ac:dyDescent="0.25">
      <c r="B58"/>
    </row>
    <row r="59" spans="2:14" ht="15.75" x14ac:dyDescent="0.25">
      <c r="B59"/>
      <c r="C59" s="20" t="s">
        <v>373</v>
      </c>
      <c r="G59" s="55"/>
      <c r="H59" s="55"/>
      <c r="I59" s="55"/>
      <c r="J59" s="55"/>
      <c r="K59" s="55"/>
    </row>
    <row r="60" spans="2:14" ht="15.75" outlineLevel="1" x14ac:dyDescent="0.25">
      <c r="B60"/>
      <c r="C60" s="1" t="s">
        <v>374</v>
      </c>
      <c r="G60" s="55"/>
      <c r="H60" s="55"/>
      <c r="I60" s="55"/>
      <c r="J60" s="55"/>
      <c r="K60" s="55"/>
    </row>
    <row r="61" spans="2:14" ht="15.75" outlineLevel="1" x14ac:dyDescent="0.25">
      <c r="B61"/>
      <c r="C61" s="57" t="s">
        <v>74</v>
      </c>
    </row>
    <row r="62" spans="2:14" outlineLevel="1" x14ac:dyDescent="0.25">
      <c r="B62"/>
      <c r="C62" s="14" t="s">
        <v>365</v>
      </c>
      <c r="D62" s="14" t="s">
        <v>64</v>
      </c>
      <c r="E62" s="14" t="s">
        <v>75</v>
      </c>
      <c r="F62" s="14" t="s">
        <v>72</v>
      </c>
      <c r="G62" s="41">
        <f>SUMIFS(Calc_NetworkV_1[Ausnet],Calc_NetworkV_1[Cost item],$C61,Calc_NetworkV_1[Customer type],$F62)</f>
        <v>0.13647160516883983</v>
      </c>
      <c r="H62" s="41">
        <f>SUMIFS(Calc_NetworkV_1[Citipower],Calc_NetworkV_1[[Cost item]:[Cost item]],$C61,Calc_NetworkV_1[[Customer type]:[Customer type]],$F62)</f>
        <v>0</v>
      </c>
      <c r="I62" s="41">
        <f>SUMIFS(Calc_NetworkV_1[Jemena],Calc_NetworkV_1[[Cost item]:[Cost item]],$C61,Calc_NetworkV_1[[Customer type]:[Customer type]],$F62)</f>
        <v>0</v>
      </c>
      <c r="J62" s="41">
        <f>SUMIFS(Calc_NetworkV_1[Powercor],Calc_NetworkV_1[[Cost item]:[Cost item]],$C61,Calc_NetworkV_1[[Customer type]:[Customer type]],$F62)</f>
        <v>0</v>
      </c>
      <c r="K62" s="41">
        <f>SUMIFS(Calc_NetworkV_1[United Energy],Calc_NetworkV_1[[Cost item]:[Cost item]],$C61,Calc_NetworkV_1[[Customer type]:[Customer type]],$F62)</f>
        <v>0</v>
      </c>
    </row>
    <row r="63" spans="2:14" outlineLevel="1" x14ac:dyDescent="0.25">
      <c r="B63"/>
      <c r="C63" s="14" t="s">
        <v>369</v>
      </c>
      <c r="D63" s="14" t="s">
        <v>64</v>
      </c>
      <c r="E63" s="14" t="s">
        <v>75</v>
      </c>
      <c r="F63" s="14" t="s">
        <v>72</v>
      </c>
      <c r="G63" s="41">
        <f>SUMIFS(Calc_Variable_1[Ausnet],Calc_Variable_1[Customer type],"All")+SUMIFS(Calc_Variable_1[Ausnet],Calc_Variable_1[Customer type],$F63)</f>
        <v>0.16739128056583097</v>
      </c>
      <c r="H63" s="41">
        <f>SUMIFS(Calc_Variable_1[Citipower],Calc_Variable_1[[Customer type]:[Customer type]],"All")+SUMIFS(Calc_Variable_1[Citipower],Calc_Variable_1[[Customer type]:[Customer type]],$F63)</f>
        <v>0.14009524229671402</v>
      </c>
      <c r="I63" s="41">
        <f>SUMIFS(Calc_Variable_1[Jemena],Calc_Variable_1[[Customer type]:[Customer type]],"All")+SUMIFS(Calc_Variable_1[Jemena],Calc_Variable_1[[Customer type]:[Customer type]],$F63)</f>
        <v>0.15895129981103437</v>
      </c>
      <c r="J63" s="41">
        <f>SUMIFS(Calc_Variable_1[Powercor],Calc_Variable_1[[Customer type]:[Customer type]],"All")+SUMIFS(Calc_Variable_1[Powercor],Calc_Variable_1[[Customer type]:[Customer type]],$F63)</f>
        <v>0.16489541344527855</v>
      </c>
      <c r="K63" s="41">
        <f>SUMIFS(Calc_Variable_1[United Energy],Calc_Variable_1[[Customer type]:[Customer type]],"All")+SUMIFS(Calc_Variable_1[United Energy],Calc_Variable_1[[Customer type]:[Customer type]],$F63)</f>
        <v>0.155231976981481</v>
      </c>
    </row>
    <row r="64" spans="2:14" outlineLevel="1" x14ac:dyDescent="0.25">
      <c r="B64"/>
      <c r="C64" s="14" t="s">
        <v>263</v>
      </c>
      <c r="D64" s="14" t="s">
        <v>64</v>
      </c>
      <c r="E64" s="14" t="s">
        <v>75</v>
      </c>
      <c r="F64" s="14" t="s">
        <v>72</v>
      </c>
      <c r="G64" s="50" cm="1">
        <f t="array" ref="G64">IF(G62=0,"-",
(G62+G63)*Calc_ROM_1[Ausnet])</f>
        <v>1.7016321601141565E-2</v>
      </c>
      <c r="H64" s="50" t="str" cm="1">
        <f t="array" ref="H64">IF(H62=0,"-",
(H62+H63)*Calc_ROM_1[Citipower])</f>
        <v>-</v>
      </c>
      <c r="I64" s="50" t="str" cm="1">
        <f t="array" ref="I64">IF(I62=0,"-",
(I62+I63)*Calc_ROM_1[Jemena])</f>
        <v>-</v>
      </c>
      <c r="J64" s="50" t="str" cm="1">
        <f t="array" ref="J64">IF(J62=0,"-",
(J62+J63)*Calc_ROM_1[Powercor])</f>
        <v>-</v>
      </c>
      <c r="K64" s="50" t="str" cm="1">
        <f t="array" ref="K64">IF(K62=0,"-",
(K62+K63)*Calc_ROM_1[United Energy])</f>
        <v>-</v>
      </c>
    </row>
    <row r="65" spans="2:11" outlineLevel="1" x14ac:dyDescent="0.25">
      <c r="B65"/>
      <c r="C65" s="14" t="s">
        <v>366</v>
      </c>
      <c r="D65" s="14" t="s">
        <v>64</v>
      </c>
      <c r="E65" s="14" t="s">
        <v>75</v>
      </c>
      <c r="F65" s="14" t="s">
        <v>72</v>
      </c>
      <c r="G65" s="50">
        <f>IF(G62=0,"-",
(G62+G63+G64)*GST)</f>
        <v>3.2087920733581236E-2</v>
      </c>
      <c r="H65" s="50" t="str">
        <f>IF(H62=0,"-",
(H62+H63+H64)*GST)</f>
        <v>-</v>
      </c>
      <c r="I65" s="50" t="str">
        <f>IF(I62=0,"-",
(I62+I63+I64)*GST)</f>
        <v>-</v>
      </c>
      <c r="J65" s="50" t="str">
        <f>IF(J62=0,"-",
(J62+J63+J64)*GST)</f>
        <v>-</v>
      </c>
      <c r="K65" s="50" t="str">
        <f>IF(K62=0,"-",
(K62+K63+K64)*GST)</f>
        <v>-</v>
      </c>
    </row>
    <row r="66" spans="2:11" outlineLevel="1" x14ac:dyDescent="0.25">
      <c r="B66"/>
      <c r="C66" s="14" t="str">
        <f>C61&amp;" charge"</f>
        <v>Block 1 charge</v>
      </c>
      <c r="D66" s="14" t="s">
        <v>64</v>
      </c>
      <c r="E66" s="14" t="s">
        <v>75</v>
      </c>
      <c r="F66" s="14" t="s">
        <v>72</v>
      </c>
      <c r="G66" s="51">
        <f>IF(G62=0,"-",
SUM(G62:G65))</f>
        <v>0.35296712806939362</v>
      </c>
      <c r="H66" s="51" t="str">
        <f>IF(H62=0,"-",
SUM(H62:H65))</f>
        <v>-</v>
      </c>
      <c r="I66" s="51" t="str">
        <f>IF(I62=0,"-",
SUM(I62:I65))</f>
        <v>-</v>
      </c>
      <c r="J66" s="51" t="str">
        <f>IF(J62=0,"-",
SUM(J62:J65))</f>
        <v>-</v>
      </c>
      <c r="K66" s="51" t="str">
        <f>IF(K62=0,"-",
SUM(K62:K65))</f>
        <v>-</v>
      </c>
    </row>
    <row r="67" spans="2:11" outlineLevel="1" x14ac:dyDescent="0.25">
      <c r="B67"/>
      <c r="G67" s="79" cm="1">
        <f t="array" ref="G67">IF(G66="-","-",
IF(ROUND(G66,8)=ROUND((((
SUMIFS(Calc_Variable_1[Ausnet],Calc_Variable_1[[Customer type]:[Customer type]],Calc_Rates!$F66)+
SUMIFS(Calc_Variable_1[Ausnet],Calc_Variable_1[[Customer type]:[Customer type]],"All")+G62)*(1+Calc_ROM_1[Ausnet]))*(1+GST)),8),0,1))</f>
        <v>0</v>
      </c>
      <c r="H67" s="79" t="str" cm="1">
        <f t="array" ref="H67">IF(H66="-","-",
IF(ROUND(H66,8)=ROUND((((
SUMIFS(Calc_Variable_1[Citipower],Calc_Variable_1[[Customer type]:[Customer type]],Calc_Rates!$F66)+
SUMIFS(Calc_Variable_1[Citipower],Calc_Variable_1[[Customer type]:[Customer type]],"All")+H62)*(1+Calc_ROM_1[Citipower]))*(1+GST)),8),0,1))</f>
        <v>-</v>
      </c>
      <c r="I67" s="79" t="str" cm="1">
        <f t="array" ref="I67">IF(I66="-","-",
IF(ROUND(I66,8)=ROUND((((
SUMIFS(Calc_Variable_1[Jemena],Calc_Variable_1[[Customer type]:[Customer type]],Calc_Rates!$F66)+
SUMIFS(Calc_Variable_1[Jemena],Calc_Variable_1[[Customer type]:[Customer type]],"All")+I62)*(1+Calc_ROM_1[Jemena]))*(1+GST)),8),0,1))</f>
        <v>-</v>
      </c>
      <c r="J67" s="79" t="str" cm="1">
        <f t="array" ref="J67">IF(J66="-","-",
IF(ROUND(J66,8)=ROUND((((
SUMIFS(Calc_Variable_1[Powercor],Calc_Variable_1[[Customer type]:[Customer type]],Calc_Rates!$F66)+
SUMIFS(Calc_Variable_1[Powercor],Calc_Variable_1[[Customer type]:[Customer type]],"All")+J62)*(1+Calc_ROM_1[Powercor]))*(1+GST)),8),0,1))</f>
        <v>-</v>
      </c>
      <c r="K67" s="79" t="str" cm="1">
        <f t="array" ref="K67">IF(K66="-","-",
IF(ROUND(K66,8)=ROUND((((
SUMIFS(Calc_Variable_1[United Energy],Calc_Variable_1[[Customer type]:[Customer type]],Calc_Rates!$F66)+
SUMIFS(Calc_Variable_1[United Energy],Calc_Variable_1[[Customer type]:[Customer type]],"All")+K62)*(1+Calc_ROM_1[United Energy]))*(1+GST)),8),0,1))</f>
        <v>-</v>
      </c>
    </row>
    <row r="68" spans="2:11" ht="15.75" outlineLevel="1" x14ac:dyDescent="0.25">
      <c r="B68"/>
      <c r="C68" s="57" t="s">
        <v>76</v>
      </c>
    </row>
    <row r="69" spans="2:11" outlineLevel="1" x14ac:dyDescent="0.25">
      <c r="B69"/>
      <c r="C69" s="14" t="s">
        <v>365</v>
      </c>
      <c r="D69" s="14" t="s">
        <v>64</v>
      </c>
      <c r="E69" s="14" t="s">
        <v>75</v>
      </c>
      <c r="F69" s="14" t="s">
        <v>72</v>
      </c>
      <c r="G69" s="41">
        <f>SUMIFS(Calc_NetworkV_1[Ausnet],Calc_NetworkV_1[[Cost item]:[Cost item]],$C68,Calc_NetworkV_1[[Customer type]:[Customer type]],$F69)</f>
        <v>0.14341531316444667</v>
      </c>
      <c r="H69" s="41">
        <f>SUMIFS(Calc_NetworkV_1[Citipower],Calc_NetworkV_1[[Cost item]:[Cost item]],$C68,Calc_NetworkV_1[[Customer type]:[Customer type]],$F69)</f>
        <v>0</v>
      </c>
      <c r="I69" s="41">
        <f>SUMIFS(Calc_NetworkV_1[Jemena],Calc_NetworkV_1[[Cost item]:[Cost item]],$C68,Calc_NetworkV_1[[Customer type]:[Customer type]],$F69)</f>
        <v>0</v>
      </c>
      <c r="J69" s="41">
        <f>SUMIFS(Calc_NetworkV_1[Powercor],Calc_NetworkV_1[[Cost item]:[Cost item]],$C68,Calc_NetworkV_1[[Customer type]:[Customer type]],$F69)</f>
        <v>0</v>
      </c>
      <c r="K69" s="41">
        <f>SUMIFS(Calc_NetworkV_1[United Energy],Calc_NetworkV_1[[Cost item]:[Cost item]],$C68,Calc_NetworkV_1[[Customer type]:[Customer type]],$F69)</f>
        <v>0</v>
      </c>
    </row>
    <row r="70" spans="2:11" outlineLevel="1" x14ac:dyDescent="0.25">
      <c r="B70"/>
      <c r="C70" s="14" t="s">
        <v>369</v>
      </c>
      <c r="D70" s="14" t="s">
        <v>64</v>
      </c>
      <c r="E70" s="14" t="s">
        <v>75</v>
      </c>
      <c r="F70" s="14" t="s">
        <v>72</v>
      </c>
      <c r="G70" s="41">
        <f>SUMIFS(Calc_Variable_1[Ausnet],Calc_Variable_1[[Customer type]:[Customer type]],"All")+SUMIFS(Calc_Variable_1[Ausnet],Calc_Variable_1[[Customer type]:[Customer type]],$F70)</f>
        <v>0.16739128056583097</v>
      </c>
      <c r="H70" s="41">
        <f>SUMIFS(Calc_Variable_1[Citipower],Calc_Variable_1[[Customer type]:[Customer type]],"All")+SUMIFS(Calc_Variable_1[Citipower],Calc_Variable_1[[Customer type]:[Customer type]],$F70)</f>
        <v>0.14009524229671402</v>
      </c>
      <c r="I70" s="41">
        <f>SUMIFS(Calc_Variable_1[Jemena],Calc_Variable_1[[Customer type]:[Customer type]],"All")+SUMIFS(Calc_Variable_1[Jemena],Calc_Variable_1[[Customer type]:[Customer type]],$F70)</f>
        <v>0.15895129981103437</v>
      </c>
      <c r="J70" s="41">
        <f>SUMIFS(Calc_Variable_1[Powercor],Calc_Variable_1[[Customer type]:[Customer type]],"All")+SUMIFS(Calc_Variable_1[Powercor],Calc_Variable_1[[Customer type]:[Customer type]],$F70)</f>
        <v>0.16489541344527855</v>
      </c>
      <c r="K70" s="41">
        <f>SUMIFS(Calc_Variable_1[United Energy],Calc_Variable_1[[Customer type]:[Customer type]],"All")+SUMIFS(Calc_Variable_1[United Energy],Calc_Variable_1[[Customer type]:[Customer type]],$F70)</f>
        <v>0.155231976981481</v>
      </c>
    </row>
    <row r="71" spans="2:11" outlineLevel="1" x14ac:dyDescent="0.25">
      <c r="B71"/>
      <c r="C71" s="14" t="s">
        <v>263</v>
      </c>
      <c r="D71" s="14" t="s">
        <v>64</v>
      </c>
      <c r="E71" s="14" t="s">
        <v>75</v>
      </c>
      <c r="F71" s="14" t="s">
        <v>72</v>
      </c>
      <c r="G71" s="50" cm="1">
        <f t="array" ref="G71">IF(G69=0,"-",
(G69+G70)*Calc_ROM_1[Ausnet])</f>
        <v>1.7405169248895548E-2</v>
      </c>
      <c r="H71" s="50" t="str" cm="1">
        <f t="array" ref="H71">IF(H69=0,"-",
(H69+H70)*Calc_ROM_1[Citipower])</f>
        <v>-</v>
      </c>
      <c r="I71" s="50" t="str" cm="1">
        <f t="array" ref="I71">IF(I69=0,"-",
(I69+I70)*Calc_ROM_1[Jemena])</f>
        <v>-</v>
      </c>
      <c r="J71" s="50" t="str" cm="1">
        <f t="array" ref="J71">IF(J69=0,"-",
(J69+J70)*Calc_ROM_1[Powercor])</f>
        <v>-</v>
      </c>
      <c r="K71" s="50" t="str" cm="1">
        <f t="array" ref="K71">IF(K69=0,"-",
(K69+K70)*Calc_ROM_1[United Energy])</f>
        <v>-</v>
      </c>
    </row>
    <row r="72" spans="2:11" outlineLevel="1" x14ac:dyDescent="0.25">
      <c r="B72"/>
      <c r="C72" s="14" t="s">
        <v>366</v>
      </c>
      <c r="D72" s="14" t="s">
        <v>64</v>
      </c>
      <c r="E72" s="14" t="s">
        <v>75</v>
      </c>
      <c r="F72" s="14" t="s">
        <v>72</v>
      </c>
      <c r="G72" s="50">
        <f>IF(G69=0,"-",
(G69+G70+G71)*GST)</f>
        <v>3.2821176297917323E-2</v>
      </c>
      <c r="H72" s="50" t="str">
        <f>IF(H69=0,"-",
(H69+H70+H71)*GST)</f>
        <v>-</v>
      </c>
      <c r="I72" s="50" t="str">
        <f>IF(I69=0,"-",
(I69+I70+I71)*GST)</f>
        <v>-</v>
      </c>
      <c r="J72" s="50" t="str">
        <f>IF(J69=0,"-",
(J69+J70+J71)*GST)</f>
        <v>-</v>
      </c>
      <c r="K72" s="50" t="str">
        <f>IF(K69=0,"-",
(K69+K70+K71)*GST)</f>
        <v>-</v>
      </c>
    </row>
    <row r="73" spans="2:11" outlineLevel="1" x14ac:dyDescent="0.25">
      <c r="B73"/>
      <c r="C73" s="14" t="str">
        <f>C68&amp;" charge"</f>
        <v>Balance charge</v>
      </c>
      <c r="D73" s="14" t="s">
        <v>64</v>
      </c>
      <c r="E73" s="14" t="s">
        <v>75</v>
      </c>
      <c r="F73" s="14" t="s">
        <v>72</v>
      </c>
      <c r="G73" s="51">
        <f>IF(G69=0,"-",
SUM(G69:G72))</f>
        <v>0.36103293927709051</v>
      </c>
      <c r="H73" s="51" t="str">
        <f>IF(H69=0,"-",
SUM(H69:H72))</f>
        <v>-</v>
      </c>
      <c r="I73" s="51" t="str">
        <f>IF(I69=0,"-",
SUM(I69:I72))</f>
        <v>-</v>
      </c>
      <c r="J73" s="51" t="str">
        <f>IF(J69=0,"-",
SUM(J69:J72))</f>
        <v>-</v>
      </c>
      <c r="K73" s="51" t="str">
        <f>IF(K69=0,"-",
SUM(K69:K72))</f>
        <v>-</v>
      </c>
    </row>
    <row r="74" spans="2:11" outlineLevel="1" x14ac:dyDescent="0.25">
      <c r="B74"/>
      <c r="G74" s="79" cm="1">
        <f t="array" ref="G74">IF(G73="-","-",
IF(ROUND(G73,8)=ROUND((((
SUMIFS(Calc_Variable_1[Ausnet],Calc_Variable_1[[Customer type]:[Customer type]],Calc_Rates!$F73)+
SUMIFS(Calc_Variable_1[Ausnet],Calc_Variable_1[[Customer type]:[Customer type]],"All")+G69)*(1+Calc_ROM_1[Ausnet]))*(1+GST)),8),0,1))</f>
        <v>0</v>
      </c>
      <c r="H74" s="79" t="str" cm="1">
        <f t="array" ref="H74">IF(H73="-","-",
IF(ROUND(H73,8)=ROUND((((
SUMIFS(Calc_Variable_1[Citipower],Calc_Variable_1[[Customer type]:[Customer type]],Calc_Rates!$F73)+
SUMIFS(Calc_Variable_1[Citipower],Calc_Variable_1[[Customer type]:[Customer type]],"All")+H69)*(1+Calc_ROM_1[Citipower]))*(1+GST)),8),0,1))</f>
        <v>-</v>
      </c>
      <c r="I74" s="79" t="str" cm="1">
        <f t="array" ref="I74">IF(I73="-","-",
IF(ROUND(I73,8)=ROUND((((
SUMIFS(Calc_Variable_1[Jemena],Calc_Variable_1[[Customer type]:[Customer type]],Calc_Rates!$F73)+
SUMIFS(Calc_Variable_1[Jemena],Calc_Variable_1[[Customer type]:[Customer type]],"All")+I69)*(1+Calc_ROM_1[Jemena]))*(1+GST)),8),0,1))</f>
        <v>-</v>
      </c>
      <c r="J74" s="79" t="str" cm="1">
        <f t="array" ref="J74">IF(J73="-","-",
IF(ROUND(J73,8)=ROUND((((
SUMIFS(Calc_Variable_1[Powercor],Calc_Variable_1[[Customer type]:[Customer type]],Calc_Rates!$F73)+
SUMIFS(Calc_Variable_1[Powercor],Calc_Variable_1[[Customer type]:[Customer type]],"All")+J69)*(1+Calc_ROM_1[Powercor]))*(1+GST)),8),0,1))</f>
        <v>-</v>
      </c>
      <c r="K74" s="79" t="str" cm="1">
        <f t="array" ref="K74">IF(K73="-","-",
IF(ROUND(K73,8)=ROUND((((
SUMIFS(Calc_Variable_1[United Energy],Calc_Variable_1[[Customer type]:[Customer type]],Calc_Rates!$F73)+
SUMIFS(Calc_Variable_1[United Energy],Calc_Variable_1[[Customer type]:[Customer type]],"All")+K69)*(1+Calc_ROM_1[United Energy]))*(1+GST)),8),0,1))</f>
        <v>-</v>
      </c>
    </row>
    <row r="75" spans="2:11" ht="15.75" outlineLevel="1" x14ac:dyDescent="0.25">
      <c r="B75"/>
      <c r="C75" s="57" t="s">
        <v>77</v>
      </c>
    </row>
    <row r="76" spans="2:11" outlineLevel="1" x14ac:dyDescent="0.25">
      <c r="B76"/>
      <c r="C76" s="14" t="s">
        <v>365</v>
      </c>
      <c r="D76" s="14" t="s">
        <v>64</v>
      </c>
      <c r="E76" s="14" t="s">
        <v>75</v>
      </c>
      <c r="F76" s="14" t="s">
        <v>72</v>
      </c>
      <c r="G76" s="41">
        <f>SUMIFS(Calc_NetworkV_1[Ausnet],Calc_NetworkV_1[[Cost item]:[Cost item]],$C75,Calc_NetworkV_1[[Customer type]:[Customer type]],$F76)</f>
        <v>0</v>
      </c>
      <c r="H76" s="41">
        <f>SUMIFS(Calc_NetworkV_1[Citipower],Calc_NetworkV_1[[Cost item]:[Cost item]],$C75,Calc_NetworkV_1[[Customer type]:[Customer type]],$F76)</f>
        <v>8.1000000000000003E-2</v>
      </c>
      <c r="I76" s="41">
        <f>SUMIFS(Calc_NetworkV_1[Jemena],Calc_NetworkV_1[[Cost item]:[Cost item]],$C75,Calc_NetworkV_1[[Customer type]:[Customer type]],$F76)</f>
        <v>0.10345</v>
      </c>
      <c r="J76" s="41">
        <f>SUMIFS(Calc_NetworkV_1[Powercor],Calc_NetworkV_1[[Cost item]:[Cost item]],$C75,Calc_NetworkV_1[[Customer type]:[Customer type]],$F76)</f>
        <v>9.6699999999999994E-2</v>
      </c>
      <c r="K76" s="41">
        <f>SUMIFS(Calc_NetworkV_1[United Energy],Calc_NetworkV_1[[Cost item]:[Cost item]],$C75,Calc_NetworkV_1[[Customer type]:[Customer type]],$F76)</f>
        <v>9.2499999999999999E-2</v>
      </c>
    </row>
    <row r="77" spans="2:11" outlineLevel="1" x14ac:dyDescent="0.25">
      <c r="B77"/>
      <c r="C77" s="14" t="s">
        <v>369</v>
      </c>
      <c r="D77" s="14" t="s">
        <v>64</v>
      </c>
      <c r="E77" s="14" t="s">
        <v>75</v>
      </c>
      <c r="F77" s="14" t="s">
        <v>72</v>
      </c>
      <c r="G77" s="41">
        <f>SUMIFS(Calc_Variable_1[Ausnet],Calc_Variable_1[[Customer type]:[Customer type]],"All")+SUMIFS(Calc_Variable_1[Ausnet],Calc_Variable_1[[Customer type]:[Customer type]],$F77)</f>
        <v>0.16739128056583097</v>
      </c>
      <c r="H77" s="41">
        <f>SUMIFS(Calc_Variable_1[Citipower],Calc_Variable_1[[Customer type]:[Customer type]],"All")+SUMIFS(Calc_Variable_1[Citipower],Calc_Variable_1[[Customer type]:[Customer type]],$F77)</f>
        <v>0.14009524229671402</v>
      </c>
      <c r="I77" s="41">
        <f>SUMIFS(Calc_Variable_1[Jemena],Calc_Variable_1[[Customer type]:[Customer type]],"All")+SUMIFS(Calc_Variable_1[Jemena],Calc_Variable_1[[Customer type]:[Customer type]],$F77)</f>
        <v>0.15895129981103437</v>
      </c>
      <c r="J77" s="41">
        <f>SUMIFS(Calc_Variable_1[Powercor],Calc_Variable_1[[Customer type]:[Customer type]],"All")+SUMIFS(Calc_Variable_1[Powercor],Calc_Variable_1[[Customer type]:[Customer type]],$F77)</f>
        <v>0.16489541344527855</v>
      </c>
      <c r="K77" s="41">
        <f>SUMIFS(Calc_Variable_1[United Energy],Calc_Variable_1[[Customer type]:[Customer type]],"All")+SUMIFS(Calc_Variable_1[United Energy],Calc_Variable_1[[Customer type]:[Customer type]],$F77)</f>
        <v>0.155231976981481</v>
      </c>
    </row>
    <row r="78" spans="2:11" outlineLevel="1" x14ac:dyDescent="0.25">
      <c r="B78"/>
      <c r="C78" s="14" t="s">
        <v>263</v>
      </c>
      <c r="D78" s="14" t="s">
        <v>64</v>
      </c>
      <c r="E78" s="14" t="s">
        <v>75</v>
      </c>
      <c r="F78" s="14" t="s">
        <v>72</v>
      </c>
      <c r="G78" s="50" t="str" cm="1">
        <f t="array" ref="G78">IF(G76=0,"-",
(G76+G77)*Calc_ROM_1[Ausnet])</f>
        <v>-</v>
      </c>
      <c r="H78" s="50" cm="1">
        <f t="array" ref="H78">IF(H76=0,"-",
(H76+H77)*Calc_ROM_1[Citipower])</f>
        <v>1.2381333568615985E-2</v>
      </c>
      <c r="I78" s="50" cm="1">
        <f t="array" ref="I78">IF(I76=0,"-",
(I76+I77)*Calc_ROM_1[Jemena])</f>
        <v>1.4694472789417925E-2</v>
      </c>
      <c r="J78" s="50" cm="1">
        <f t="array" ref="J78">IF(J76=0,"-",
(J76+J77)*Calc_ROM_1[Powercor])</f>
        <v>1.4649343152935599E-2</v>
      </c>
      <c r="K78" s="50" cm="1">
        <f t="array" ref="K78">IF(K76=0,"-",
(K76+K77)*Calc_ROM_1[United Energy])</f>
        <v>1.3872990710962936E-2</v>
      </c>
    </row>
    <row r="79" spans="2:11" outlineLevel="1" x14ac:dyDescent="0.25">
      <c r="B79"/>
      <c r="C79" s="14" t="s">
        <v>366</v>
      </c>
      <c r="D79" s="14" t="s">
        <v>64</v>
      </c>
      <c r="E79" s="14" t="s">
        <v>75</v>
      </c>
      <c r="F79" s="14" t="s">
        <v>72</v>
      </c>
      <c r="G79" s="50" t="str">
        <f>IF(G76=0,"-",
(G76+G77+G78)*GST)</f>
        <v>-</v>
      </c>
      <c r="H79" s="50">
        <f>IF(H76=0,"-",
(H76+H77+H78)*GST)</f>
        <v>2.3347657586533E-2</v>
      </c>
      <c r="I79" s="50">
        <f>IF(I76=0,"-",
(I76+I77+I78)*GST)</f>
        <v>2.7709577260045234E-2</v>
      </c>
      <c r="J79" s="50">
        <f>IF(J76=0,"-",
(J76+J77+J78)*GST)</f>
        <v>2.7624475659821415E-2</v>
      </c>
      <c r="K79" s="50">
        <f>IF(K76=0,"-",
(K76+K77+K78)*GST)</f>
        <v>2.6160496769244396E-2</v>
      </c>
    </row>
    <row r="80" spans="2:11" outlineLevel="1" x14ac:dyDescent="0.25">
      <c r="B80"/>
      <c r="C80" s="14" t="str">
        <f>C75&amp;" charge"</f>
        <v>Single rate charge</v>
      </c>
      <c r="D80" s="14" t="s">
        <v>64</v>
      </c>
      <c r="E80" s="14" t="s">
        <v>75</v>
      </c>
      <c r="F80" s="14" t="s">
        <v>72</v>
      </c>
      <c r="G80" s="51" t="str">
        <f>IF(G76=0,"-",
SUM(G76:G79))</f>
        <v>-</v>
      </c>
      <c r="H80" s="51">
        <f>IF(H76=0,"-",
SUM(H76:H79))</f>
        <v>0.256824233451863</v>
      </c>
      <c r="I80" s="51">
        <f>IF(I76=0,"-",
SUM(I76:I79))</f>
        <v>0.30480534986049757</v>
      </c>
      <c r="J80" s="51">
        <f>IF(J76=0,"-",
SUM(J76:J79))</f>
        <v>0.30386923225803553</v>
      </c>
      <c r="K80" s="51">
        <f>IF(K76=0,"-",
SUM(K76:K79))</f>
        <v>0.28776546446168838</v>
      </c>
    </row>
    <row r="81" spans="2:11" outlineLevel="1" x14ac:dyDescent="0.25">
      <c r="B81"/>
      <c r="G81" s="79" t="str" cm="1">
        <f t="array" ref="G81">IF(G80="-","-",
IF(ROUND(G80,8)=ROUND((((
SUMIFS(Calc_Variable_1[Ausnet],Calc_Variable_1[[Customer type]:[Customer type]],Calc_Rates!$F80)+
SUMIFS(Calc_Variable_1[Ausnet],Calc_Variable_1[[Customer type]:[Customer type]],"All")+G76)*(1+Calc_ROM_1[Ausnet]))*(1+GST)),8),0,1))</f>
        <v>-</v>
      </c>
      <c r="H81" s="79" cm="1">
        <f t="array" ref="H81">IF(H80="-","-",
IF(ROUND(H80,8)=ROUND((((
SUMIFS(Calc_Variable_1[Citipower],Calc_Variable_1[[Customer type]:[Customer type]],Calc_Rates!$F80)+
SUMIFS(Calc_Variable_1[Citipower],Calc_Variable_1[[Customer type]:[Customer type]],"All")+H76)*(1+Calc_ROM_1[Citipower]))*(1+GST)),8),0,1))</f>
        <v>0</v>
      </c>
      <c r="I81" s="79" cm="1">
        <f t="array" ref="I81">IF(I80="-","-",
IF(ROUND(I80,8)=ROUND((((
SUMIFS(Calc_Variable_1[Jemena],Calc_Variable_1[[Customer type]:[Customer type]],Calc_Rates!$F80)+
SUMIFS(Calc_Variable_1[Jemena],Calc_Variable_1[[Customer type]:[Customer type]],"All")+I76)*(1+Calc_ROM_1[Jemena]))*(1+GST)),8),0,1))</f>
        <v>0</v>
      </c>
      <c r="J81" s="79" cm="1">
        <f t="array" ref="J81">IF(J80="-","-",
IF(ROUND(J80,8)=ROUND((((
SUMIFS(Calc_Variable_1[Powercor],Calc_Variable_1[[Customer type]:[Customer type]],Calc_Rates!$F80)+
SUMIFS(Calc_Variable_1[Powercor],Calc_Variable_1[[Customer type]:[Customer type]],"All")+J76)*(1+Calc_ROM_1[Powercor]))*(1+GST)),8),0,1))</f>
        <v>0</v>
      </c>
      <c r="K81" s="79" cm="1">
        <f t="array" ref="K81">IF(K80="-","-",
IF(ROUND(K80,8)=ROUND((((
SUMIFS(Calc_Variable_1[United Energy],Calc_Variable_1[[Customer type]:[Customer type]],Calc_Rates!$F80)+
SUMIFS(Calc_Variable_1[United Energy],Calc_Variable_1[[Customer type]:[Customer type]],"All")+K76)*(1+Calc_ROM_1[United Energy]))*(1+GST)),8),0,1))</f>
        <v>0</v>
      </c>
    </row>
    <row r="82" spans="2:11" ht="15.75" outlineLevel="1" x14ac:dyDescent="0.25">
      <c r="B82"/>
      <c r="C82" s="97" t="s">
        <v>375</v>
      </c>
    </row>
    <row r="83" spans="2:11" ht="15.75" outlineLevel="1" x14ac:dyDescent="0.25">
      <c r="B83"/>
      <c r="C83" s="57" t="s">
        <v>79</v>
      </c>
    </row>
    <row r="84" spans="2:11" outlineLevel="1" x14ac:dyDescent="0.25">
      <c r="B84"/>
      <c r="C84" s="14" t="s">
        <v>365</v>
      </c>
      <c r="D84" s="14" t="s">
        <v>64</v>
      </c>
      <c r="E84" s="14" t="s">
        <v>75</v>
      </c>
      <c r="F84" s="14" t="s">
        <v>72</v>
      </c>
      <c r="G84" s="41">
        <f>SUMIFS(Calc_NetworkV_1[Ausnet],Calc_NetworkV_1[[Cost item]:[Cost item]],$C83,Calc_NetworkV_1[[Customer type]:[Customer type]],$F84)</f>
        <v>0.23801248423131882</v>
      </c>
      <c r="H84" s="41">
        <f>SUMIFS(Calc_NetworkV_1[Citipower],Calc_NetworkV_1[[Cost item]:[Cost item]],$C83,Calc_NetworkV_1[[Customer type]:[Customer type]],$F84)</f>
        <v>0.156</v>
      </c>
      <c r="I84" s="41">
        <f>SUMIFS(Calc_NetworkV_1[Jemena],Calc_NetworkV_1[[Cost item]:[Cost item]],$C83,Calc_NetworkV_1[[Customer type]:[Customer type]],$F84)</f>
        <v>0.17367000000000002</v>
      </c>
      <c r="J84" s="41">
        <f>SUMIFS(Calc_NetworkV_1[Powercor],Calc_NetworkV_1[[Cost item]:[Cost item]],$C83,Calc_NetworkV_1[[Customer type]:[Customer type]],$F84)</f>
        <v>0.18340000000000001</v>
      </c>
      <c r="K84" s="41">
        <f>SUMIFS(Calc_NetworkV_1[United Energy],Calc_NetworkV_1[[Cost item]:[Cost item]],$C83,Calc_NetworkV_1[[Customer type]:[Customer type]],$F84)</f>
        <v>0.1739</v>
      </c>
    </row>
    <row r="85" spans="2:11" outlineLevel="1" x14ac:dyDescent="0.25">
      <c r="B85"/>
      <c r="C85" s="14" t="s">
        <v>369</v>
      </c>
      <c r="D85" s="14" t="s">
        <v>64</v>
      </c>
      <c r="E85" s="14" t="s">
        <v>75</v>
      </c>
      <c r="F85" s="14" t="s">
        <v>72</v>
      </c>
      <c r="G85" s="41">
        <f>SUMIFS(Calc_Variable_1[Ausnet],Calc_Variable_1[[Customer type]:[Customer type]],"All")+SUMIFS(Calc_Variable_1[Ausnet],Calc_Variable_1[[Customer type]:[Customer type]],$F85)</f>
        <v>0.16739128056583097</v>
      </c>
      <c r="H85" s="41">
        <f>SUMIFS(Calc_Variable_1[Citipower],Calc_Variable_1[[Customer type]:[Customer type]],"All")+SUMIFS(Calc_Variable_1[Citipower],Calc_Variable_1[[Customer type]:[Customer type]],$F85)</f>
        <v>0.14009524229671402</v>
      </c>
      <c r="I85" s="41">
        <f>SUMIFS(Calc_Variable_1[Jemena],Calc_Variable_1[[Customer type]:[Customer type]],"All")+SUMIFS(Calc_Variable_1[Jemena],Calc_Variable_1[[Customer type]:[Customer type]],$F85)</f>
        <v>0.15895129981103437</v>
      </c>
      <c r="J85" s="41">
        <f>SUMIFS(Calc_Variable_1[Powercor],Calc_Variable_1[[Customer type]:[Customer type]],"All")+SUMIFS(Calc_Variable_1[Powercor],Calc_Variable_1[[Customer type]:[Customer type]],$F85)</f>
        <v>0.16489541344527855</v>
      </c>
      <c r="K85" s="41">
        <f>SUMIFS(Calc_Variable_1[United Energy],Calc_Variable_1[[Customer type]:[Customer type]],"All")+SUMIFS(Calc_Variable_1[United Energy],Calc_Variable_1[[Customer type]:[Customer type]],$F85)</f>
        <v>0.155231976981481</v>
      </c>
    </row>
    <row r="86" spans="2:11" outlineLevel="1" x14ac:dyDescent="0.25">
      <c r="B86"/>
      <c r="C86" s="14" t="s">
        <v>263</v>
      </c>
      <c r="D86" s="14" t="s">
        <v>64</v>
      </c>
      <c r="E86" s="14" t="s">
        <v>75</v>
      </c>
      <c r="F86" s="14" t="s">
        <v>72</v>
      </c>
      <c r="G86" s="50" cm="1">
        <f t="array" ref="G86">IF(G84=0,"-",
(G84+G85)*Calc_ROM_1[Ausnet])</f>
        <v>2.2702610828640387E-2</v>
      </c>
      <c r="H86" s="50" cm="1">
        <f t="array" ref="H86">IF(H84=0,"-",
(H84+H85)*Calc_ROM_1[Citipower])</f>
        <v>1.6581333568615984E-2</v>
      </c>
      <c r="I86" s="50" cm="1">
        <f t="array" ref="I86">IF(I84=0,"-",
(I84+I85)*Calc_ROM_1[Jemena])</f>
        <v>1.8626792789417927E-2</v>
      </c>
      <c r="J86" s="50" cm="1">
        <f t="array" ref="J86">IF(J84=0,"-",
(J84+J85)*Calc_ROM_1[Powercor])</f>
        <v>1.9504543152935601E-2</v>
      </c>
      <c r="K86" s="50" cm="1">
        <f t="array" ref="K86">IF(K84=0,"-",
(K84+K85)*Calc_ROM_1[United Energy])</f>
        <v>1.8431390710962937E-2</v>
      </c>
    </row>
    <row r="87" spans="2:11" outlineLevel="1" x14ac:dyDescent="0.25">
      <c r="B87"/>
      <c r="C87" s="14" t="s">
        <v>366</v>
      </c>
      <c r="D87" s="14" t="s">
        <v>64</v>
      </c>
      <c r="E87" s="14" t="s">
        <v>75</v>
      </c>
      <c r="F87" s="14" t="s">
        <v>72</v>
      </c>
      <c r="G87" s="50">
        <f>IF(G84=0,"-",
(G84+G85+G86)*GST)</f>
        <v>4.2810637562579024E-2</v>
      </c>
      <c r="H87" s="50">
        <f>IF(H84=0,"-",
(H84+H85+H86)*GST)</f>
        <v>3.1267657586533E-2</v>
      </c>
      <c r="I87" s="50">
        <f>IF(I84=0,"-",
(I84+I85+I86)*GST)</f>
        <v>3.5124809260045235E-2</v>
      </c>
      <c r="J87" s="50">
        <f>IF(J84=0,"-",
(J84+J85+J86)*GST)</f>
        <v>3.6779995659821423E-2</v>
      </c>
      <c r="K87" s="50">
        <f>IF(K84=0,"-",
(K84+K85+K86)*GST)</f>
        <v>3.4756336769244396E-2</v>
      </c>
    </row>
    <row r="88" spans="2:11" outlineLevel="1" x14ac:dyDescent="0.25">
      <c r="B88"/>
      <c r="C88" s="14" t="str">
        <f>C83&amp;" charge"</f>
        <v>Peak charge</v>
      </c>
      <c r="D88" s="14" t="s">
        <v>64</v>
      </c>
      <c r="E88" s="14" t="s">
        <v>75</v>
      </c>
      <c r="F88" s="14" t="s">
        <v>72</v>
      </c>
      <c r="G88" s="51">
        <f>IF(G84=0,"-",
SUM(G84:G87))</f>
        <v>0.4709170131883692</v>
      </c>
      <c r="H88" s="51">
        <f>IF(H84=0,"-",
SUM(H84:H87))</f>
        <v>0.34394423345186298</v>
      </c>
      <c r="I88" s="51">
        <f>IF(I84=0,"-",
SUM(I84:I87))</f>
        <v>0.38637290186049755</v>
      </c>
      <c r="J88" s="51">
        <f>IF(J84=0,"-",
SUM(J84:J87))</f>
        <v>0.40457995225803561</v>
      </c>
      <c r="K88" s="51">
        <f>IF(K84=0,"-",
SUM(K84:K87))</f>
        <v>0.38231970446168834</v>
      </c>
    </row>
    <row r="89" spans="2:11" outlineLevel="1" x14ac:dyDescent="0.25">
      <c r="B89"/>
      <c r="G89" s="79" cm="1">
        <f t="array" ref="G89">IF(G88="-","-",
IF(ROUND(G88,8)=ROUND((((
SUMIFS(Calc_Variable_1[Ausnet],Calc_Variable_1[[Customer type]:[Customer type]],Calc_Rates!$F88)+
SUMIFS(Calc_Variable_1[Ausnet],Calc_Variable_1[[Customer type]:[Customer type]],"All")+G84)*(1+Calc_ROM_1[Ausnet]))*(1+GST)),8),0,1))</f>
        <v>0</v>
      </c>
      <c r="H89" s="79" cm="1">
        <f t="array" ref="H89">IF(H88="-","-",
IF(ROUND(H88,8)=ROUND((((
SUMIFS(Calc_Variable_1[Citipower],Calc_Variable_1[[Customer type]:[Customer type]],Calc_Rates!$F88)+
SUMIFS(Calc_Variable_1[Citipower],Calc_Variable_1[[Customer type]:[Customer type]],"All")+H84)*(1+Calc_ROM_1[Citipower]))*(1+GST)),8),0,1))</f>
        <v>0</v>
      </c>
      <c r="I89" s="79" cm="1">
        <f t="array" ref="I89">IF(I88="-","-",
IF(ROUND(I88,8)=ROUND((((
SUMIFS(Calc_Variable_1[Jemena],Calc_Variable_1[[Customer type]:[Customer type]],Calc_Rates!$F88)+
SUMIFS(Calc_Variable_1[Jemena],Calc_Variable_1[[Customer type]:[Customer type]],"All")+I84)*(1+Calc_ROM_1[Jemena]))*(1+GST)),8),0,1))</f>
        <v>0</v>
      </c>
      <c r="J89" s="79" cm="1">
        <f t="array" ref="J89">IF(J88="-","-",
IF(ROUND(J88,8)=ROUND((((
SUMIFS(Calc_Variable_1[Powercor],Calc_Variable_1[[Customer type]:[Customer type]],Calc_Rates!$F88)+
SUMIFS(Calc_Variable_1[Powercor],Calc_Variable_1[[Customer type]:[Customer type]],"All")+J84)*(1+Calc_ROM_1[Powercor]))*(1+GST)),8),0,1))</f>
        <v>0</v>
      </c>
      <c r="K89" s="79" cm="1">
        <f t="array" ref="K89">IF(K88="-","-",
IF(ROUND(K88,8)=ROUND((((
SUMIFS(Calc_Variable_1[United Energy],Calc_Variable_1[[Customer type]:[Customer type]],Calc_Rates!$F88)+
SUMIFS(Calc_Variable_1[United Energy],Calc_Variable_1[[Customer type]:[Customer type]],"All")+K84)*(1+Calc_ROM_1[United Energy]))*(1+GST)),8),0,1))</f>
        <v>0</v>
      </c>
    </row>
    <row r="90" spans="2:11" ht="15.75" outlineLevel="1" x14ac:dyDescent="0.25">
      <c r="B90"/>
      <c r="C90" s="57" t="s">
        <v>80</v>
      </c>
    </row>
    <row r="91" spans="2:11" outlineLevel="1" x14ac:dyDescent="0.25">
      <c r="B91"/>
      <c r="C91" s="14" t="s">
        <v>365</v>
      </c>
      <c r="D91" s="14" t="s">
        <v>64</v>
      </c>
      <c r="E91" s="14" t="s">
        <v>75</v>
      </c>
      <c r="F91" s="14" t="s">
        <v>72</v>
      </c>
      <c r="G91" s="41">
        <f>SUMIFS(Calc_NetworkV_1[Ausnet],Calc_NetworkV_1[[Cost item]:[Cost item]],$C90,Calc_NetworkV_1[[Customer type]:[Customer type]],$F91)</f>
        <v>4.8279596179871362E-2</v>
      </c>
      <c r="H91" s="41">
        <f>SUMIFS(Calc_NetworkV_1[Citipower],Calc_NetworkV_1[[Cost item]:[Cost item]],$C90,Calc_NetworkV_1[[Customer type]:[Customer type]],$F91)</f>
        <v>3.8999999999999993E-2</v>
      </c>
      <c r="I91" s="41">
        <f>SUMIFS(Calc_NetworkV_1[Jemena],Calc_NetworkV_1[[Cost item]:[Cost item]],$C90,Calc_NetworkV_1[[Customer type]:[Customer type]],$F91)</f>
        <v>4.8860000000000001E-2</v>
      </c>
      <c r="J91" s="41">
        <f>SUMIFS(Calc_NetworkV_1[Powercor],Calc_NetworkV_1[[Cost item]:[Cost item]],$C90,Calc_NetworkV_1[[Customer type]:[Customer type]],$F91)</f>
        <v>4.6100000000000002E-2</v>
      </c>
      <c r="K91" s="41">
        <f>SUMIFS(Calc_NetworkV_1[United Energy],Calc_NetworkV_1[[Cost item]:[Cost item]],$C90,Calc_NetworkV_1[[Customer type]:[Customer type]],$F91)</f>
        <v>4.3299999999999998E-2</v>
      </c>
    </row>
    <row r="92" spans="2:11" outlineLevel="1" x14ac:dyDescent="0.25">
      <c r="B92"/>
      <c r="C92" s="14" t="s">
        <v>369</v>
      </c>
      <c r="D92" s="14" t="s">
        <v>64</v>
      </c>
      <c r="E92" s="14" t="s">
        <v>75</v>
      </c>
      <c r="F92" s="14" t="s">
        <v>72</v>
      </c>
      <c r="G92" s="41">
        <f>SUMIFS(Calc_Variable_1[Ausnet],Calc_Variable_1[[Customer type]:[Customer type]],"All")+SUMIFS(Calc_Variable_1[Ausnet],Calc_Variable_1[[Customer type]:[Customer type]],$F92)</f>
        <v>0.16739128056583097</v>
      </c>
      <c r="H92" s="41">
        <f>SUMIFS(Calc_Variable_1[Citipower],Calc_Variable_1[[Customer type]:[Customer type]],"All")+SUMIFS(Calc_Variable_1[Citipower],Calc_Variable_1[[Customer type]:[Customer type]],$F92)</f>
        <v>0.14009524229671402</v>
      </c>
      <c r="I92" s="41">
        <f>SUMIFS(Calc_Variable_1[Jemena],Calc_Variable_1[[Customer type]:[Customer type]],"All")+SUMIFS(Calc_Variable_1[Jemena],Calc_Variable_1[[Customer type]:[Customer type]],$F92)</f>
        <v>0.15895129981103437</v>
      </c>
      <c r="J92" s="41">
        <f>SUMIFS(Calc_Variable_1[Powercor],Calc_Variable_1[[Customer type]:[Customer type]],"All")+SUMIFS(Calc_Variable_1[Powercor],Calc_Variable_1[[Customer type]:[Customer type]],$F92)</f>
        <v>0.16489541344527855</v>
      </c>
      <c r="K92" s="41">
        <f>SUMIFS(Calc_Variable_1[United Energy],Calc_Variable_1[[Customer type]:[Customer type]],"All")+SUMIFS(Calc_Variable_1[United Energy],Calc_Variable_1[[Customer type]:[Customer type]],$F92)</f>
        <v>0.155231976981481</v>
      </c>
    </row>
    <row r="93" spans="2:11" outlineLevel="1" x14ac:dyDescent="0.25">
      <c r="B93"/>
      <c r="C93" s="14" t="s">
        <v>263</v>
      </c>
      <c r="D93" s="14" t="s">
        <v>64</v>
      </c>
      <c r="E93" s="14" t="s">
        <v>75</v>
      </c>
      <c r="F93" s="14" t="s">
        <v>72</v>
      </c>
      <c r="G93" s="50" cm="1">
        <f t="array" ref="G93">IF(G91=0,"-",
(G91+G92)*Calc_ROM_1[Ausnet])</f>
        <v>1.2077569097759332E-2</v>
      </c>
      <c r="H93" s="50" cm="1">
        <f t="array" ref="H93">IF(H91=0,"-",
(H91+H92)*Calc_ROM_1[Citipower])</f>
        <v>1.0029333568615986E-2</v>
      </c>
      <c r="I93" s="50" cm="1">
        <f t="array" ref="I93">IF(I91=0,"-",
(I91+I92)*Calc_ROM_1[Jemena])</f>
        <v>1.1637432789417925E-2</v>
      </c>
      <c r="J93" s="50" cm="1">
        <f t="array" ref="J93">IF(J91=0,"-",
(J91+J92)*Calc_ROM_1[Powercor])</f>
        <v>1.18157431529356E-2</v>
      </c>
      <c r="K93" s="50" cm="1">
        <f t="array" ref="K93">IF(K91=0,"-",
(K91+K92)*Calc_ROM_1[United Energy])</f>
        <v>1.1117790710962937E-2</v>
      </c>
    </row>
    <row r="94" spans="2:11" outlineLevel="1" x14ac:dyDescent="0.25">
      <c r="B94"/>
      <c r="C94" s="14" t="s">
        <v>366</v>
      </c>
      <c r="D94" s="14" t="s">
        <v>64</v>
      </c>
      <c r="E94" s="14" t="s">
        <v>75</v>
      </c>
      <c r="F94" s="14" t="s">
        <v>72</v>
      </c>
      <c r="G94" s="50">
        <f>IF(G91=0,"-",
(G91+G92+G93)*GST)</f>
        <v>2.2774844584346171E-2</v>
      </c>
      <c r="H94" s="50">
        <f>IF(H91=0,"-",
(H91+H92+H93)*GST)</f>
        <v>1.8912457586533003E-2</v>
      </c>
      <c r="I94" s="50">
        <f>IF(I91=0,"-",
(I91+I92+I93)*GST)</f>
        <v>2.1944873260045229E-2</v>
      </c>
      <c r="J94" s="50">
        <f>IF(J91=0,"-",
(J91+J92+J93)*GST)</f>
        <v>2.2281115659821417E-2</v>
      </c>
      <c r="K94" s="50">
        <f>IF(K91=0,"-",
(K91+K92+K93)*GST)</f>
        <v>2.0964976769244397E-2</v>
      </c>
    </row>
    <row r="95" spans="2:11" outlineLevel="1" x14ac:dyDescent="0.25">
      <c r="B95"/>
      <c r="C95" s="14" t="str">
        <f>C90&amp;" charge"</f>
        <v>Off peak charge</v>
      </c>
      <c r="D95" s="14" t="s">
        <v>64</v>
      </c>
      <c r="E95" s="14" t="s">
        <v>75</v>
      </c>
      <c r="F95" s="14" t="s">
        <v>72</v>
      </c>
      <c r="G95" s="51">
        <f>IF(G91=0,"-",
SUM(G91:G94))</f>
        <v>0.25052329042780785</v>
      </c>
      <c r="H95" s="51">
        <f>IF(H91=0,"-",
SUM(H91:H94))</f>
        <v>0.20803703345186303</v>
      </c>
      <c r="I95" s="51">
        <f>IF(I91=0,"-",
SUM(I91:I94))</f>
        <v>0.24139360586049752</v>
      </c>
      <c r="J95" s="51">
        <f>IF(J91=0,"-",
SUM(J91:J94))</f>
        <v>0.24509227225803557</v>
      </c>
      <c r="K95" s="51">
        <f>IF(K91=0,"-",
SUM(K91:K94))</f>
        <v>0.23061474446168834</v>
      </c>
    </row>
    <row r="96" spans="2:11" outlineLevel="1" x14ac:dyDescent="0.25">
      <c r="B96"/>
      <c r="G96" s="79" cm="1">
        <f t="array" ref="G96">IF(G95="-","-",
IF(ROUND(G95,8)=ROUND((((
SUMIFS(Calc_Variable_1[Ausnet],Calc_Variable_1[[Customer type]:[Customer type]],Calc_Rates!$F95)+
SUMIFS(Calc_Variable_1[Ausnet],Calc_Variable_1[[Customer type]:[Customer type]],"All")+G91)*(1+Calc_ROM_1[Ausnet]))*(1+GST)),8),0,1))</f>
        <v>0</v>
      </c>
      <c r="H96" s="79" cm="1">
        <f t="array" ref="H96">IF(H95="-","-",
IF(ROUND(H95,8)=ROUND((((
SUMIFS(Calc_Variable_1[Citipower],Calc_Variable_1[[Customer type]:[Customer type]],Calc_Rates!$F95)+
SUMIFS(Calc_Variable_1[Citipower],Calc_Variable_1[[Customer type]:[Customer type]],"All")+H91)*(1+Calc_ROM_1[Citipower]))*(1+GST)),8),0,1))</f>
        <v>0</v>
      </c>
      <c r="I96" s="79" cm="1">
        <f t="array" ref="I96">IF(I95="-","-",
IF(ROUND(I95,8)=ROUND((((
SUMIFS(Calc_Variable_1[Jemena],Calc_Variable_1[[Customer type]:[Customer type]],Calc_Rates!$F95)+
SUMIFS(Calc_Variable_1[Jemena],Calc_Variable_1[[Customer type]:[Customer type]],"All")+I91)*(1+Calc_ROM_1[Jemena]))*(1+GST)),8),0,1))</f>
        <v>0</v>
      </c>
      <c r="J96" s="79" cm="1">
        <f t="array" ref="J96">IF(J95="-","-",
IF(ROUND(J95,8)=ROUND((((
SUMIFS(Calc_Variable_1[Powercor],Calc_Variable_1[[Customer type]:[Customer type]],Calc_Rates!$F95)+
SUMIFS(Calc_Variable_1[Powercor],Calc_Variable_1[[Customer type]:[Customer type]],"All")+J91)*(1+Calc_ROM_1[Powercor]))*(1+GST)),8),0,1))</f>
        <v>0</v>
      </c>
      <c r="K96" s="79" cm="1">
        <f t="array" ref="K96">IF(K95="-","-",
IF(ROUND(K95,8)=ROUND((((
SUMIFS(Calc_Variable_1[United Energy],Calc_Variable_1[[Customer type]:[Customer type]],Calc_Rates!$F95)+
SUMIFS(Calc_Variable_1[United Energy],Calc_Variable_1[[Customer type]:[Customer type]],"All")+K91)*(1+Calc_ROM_1[United Energy]))*(1+GST)),8),0,1))</f>
        <v>0</v>
      </c>
    </row>
    <row r="97" spans="2:11" ht="15.75" outlineLevel="1" x14ac:dyDescent="0.25">
      <c r="B97"/>
      <c r="C97" s="57" t="s">
        <v>81</v>
      </c>
    </row>
    <row r="98" spans="2:11" outlineLevel="1" x14ac:dyDescent="0.25">
      <c r="B98"/>
      <c r="C98" s="14" t="s">
        <v>365</v>
      </c>
      <c r="D98" s="14" t="s">
        <v>64</v>
      </c>
      <c r="E98" s="14" t="s">
        <v>75</v>
      </c>
      <c r="F98" s="14" t="s">
        <v>72</v>
      </c>
      <c r="G98" s="41">
        <f>SUMIFS(Calc_NetworkV_1[Ausnet],Calc_NetworkV_1[[Cost item]:[Cost item]],$C97,Calc_NetworkV_1[[Customer type]:[Customer type]],$F98)</f>
        <v>4.8279596179871362E-2</v>
      </c>
      <c r="H98" s="41">
        <f>SUMIFS(Calc_NetworkV_1[Citipower],Calc_NetworkV_1[[Cost item]:[Cost item]],$C97,Calc_NetworkV_1[[Customer type]:[Customer type]],$F98)</f>
        <v>2.3E-2</v>
      </c>
      <c r="I98" s="41">
        <f>SUMIFS(Calc_NetworkV_1[Jemena],Calc_NetworkV_1[[Cost item]:[Cost item]],$C97,Calc_NetworkV_1[[Customer type]:[Customer type]],$F98)</f>
        <v>4.3880000000000002E-2</v>
      </c>
      <c r="J98" s="41">
        <f>SUMIFS(Calc_NetworkV_1[Powercor],Calc_NetworkV_1[[Cost item]:[Cost item]],$C97,Calc_NetworkV_1[[Customer type]:[Customer type]],$F98)</f>
        <v>2.6200000000000001E-2</v>
      </c>
      <c r="K98" s="41">
        <f>SUMIFS(Calc_NetworkV_1[United Energy],Calc_NetworkV_1[[Cost item]:[Cost item]],$C97,Calc_NetworkV_1[[Customer type]:[Customer type]],$F98)</f>
        <v>2.5399999999999999E-2</v>
      </c>
    </row>
    <row r="99" spans="2:11" outlineLevel="1" x14ac:dyDescent="0.25">
      <c r="B99"/>
      <c r="C99" s="14" t="s">
        <v>369</v>
      </c>
      <c r="D99" s="14" t="s">
        <v>64</v>
      </c>
      <c r="E99" s="14" t="s">
        <v>75</v>
      </c>
      <c r="F99" s="14" t="s">
        <v>72</v>
      </c>
      <c r="G99" s="41">
        <f>SUMIFS(Calc_Variable_1[Ausnet],Calc_Variable_1[[Customer type]:[Customer type]],"All")+SUMIFS(Calc_Variable_1[Ausnet],Calc_Variable_1[[Customer type]:[Customer type]],$F99)</f>
        <v>0.16739128056583097</v>
      </c>
      <c r="H99" s="41">
        <f>SUMIFS(Calc_Variable_1[Citipower],Calc_Variable_1[[Customer type]:[Customer type]],"All")+SUMIFS(Calc_Variable_1[Citipower],Calc_Variable_1[[Customer type]:[Customer type]],$F99)</f>
        <v>0.14009524229671402</v>
      </c>
      <c r="I99" s="41">
        <f>SUMIFS(Calc_Variable_1[Jemena],Calc_Variable_1[[Customer type]:[Customer type]],"All")+SUMIFS(Calc_Variable_1[Jemena],Calc_Variable_1[[Customer type]:[Customer type]],$F99)</f>
        <v>0.15895129981103437</v>
      </c>
      <c r="J99" s="41">
        <f>SUMIFS(Calc_Variable_1[Powercor],Calc_Variable_1[[Customer type]:[Customer type]],"All")+SUMIFS(Calc_Variable_1[Powercor],Calc_Variable_1[[Customer type]:[Customer type]],$F99)</f>
        <v>0.16489541344527855</v>
      </c>
      <c r="K99" s="41">
        <f>SUMIFS(Calc_Variable_1[United Energy],Calc_Variable_1[[Customer type]:[Customer type]],"All")+SUMIFS(Calc_Variable_1[United Energy],Calc_Variable_1[[Customer type]:[Customer type]],$F99)</f>
        <v>0.155231976981481</v>
      </c>
    </row>
    <row r="100" spans="2:11" outlineLevel="1" x14ac:dyDescent="0.25">
      <c r="B100"/>
      <c r="C100" s="14" t="s">
        <v>263</v>
      </c>
      <c r="D100" s="14" t="s">
        <v>64</v>
      </c>
      <c r="E100" s="14" t="s">
        <v>75</v>
      </c>
      <c r="F100" s="14" t="s">
        <v>72</v>
      </c>
      <c r="G100" s="50" cm="1">
        <f t="array" ref="G100">IF(G98=0,"-",
(G98+G99)*Calc_ROM_1[Ausnet])</f>
        <v>1.2077569097759332E-2</v>
      </c>
      <c r="H100" s="50" cm="1">
        <f t="array" ref="H100">IF(H98=0,"-",
(H98+H99)*Calc_ROM_1[Citipower])</f>
        <v>9.1333335686159846E-3</v>
      </c>
      <c r="I100" s="50" cm="1">
        <f t="array" ref="I100">IF(I98=0,"-",
(I98+I99)*Calc_ROM_1[Jemena])</f>
        <v>1.1358552789417924E-2</v>
      </c>
      <c r="J100" s="50" cm="1">
        <f t="array" ref="J100">IF(J98=0,"-",
(J98+J99)*Calc_ROM_1[Powercor])</f>
        <v>1.0701343152935599E-2</v>
      </c>
      <c r="K100" s="50" cm="1">
        <f t="array" ref="K100">IF(K98=0,"-",
(K98+K99)*Calc_ROM_1[United Energy])</f>
        <v>1.0115390710962936E-2</v>
      </c>
    </row>
    <row r="101" spans="2:11" outlineLevel="1" x14ac:dyDescent="0.25">
      <c r="B101"/>
      <c r="C101" s="14" t="s">
        <v>366</v>
      </c>
      <c r="D101" s="14" t="s">
        <v>64</v>
      </c>
      <c r="E101" s="14" t="s">
        <v>75</v>
      </c>
      <c r="F101" s="14" t="s">
        <v>72</v>
      </c>
      <c r="G101" s="50">
        <f>IF(G98=0,"-",
(G98+G99+G100)*GST)</f>
        <v>2.2774844584346171E-2</v>
      </c>
      <c r="H101" s="50">
        <f>IF(H98=0,"-",
(H98+H99+H100)*GST)</f>
        <v>1.7222857586533E-2</v>
      </c>
      <c r="I101" s="50">
        <f>IF(I98=0,"-",
(I98+I99+I100)*GST)</f>
        <v>2.141898526004523E-2</v>
      </c>
      <c r="J101" s="50">
        <f>IF(J98=0,"-",
(J98+J99+J100)*GST)</f>
        <v>2.0179675659821417E-2</v>
      </c>
      <c r="K101" s="50">
        <f>IF(K98=0,"-",
(K98+K99+K100)*GST)</f>
        <v>1.9074736769244396E-2</v>
      </c>
    </row>
    <row r="102" spans="2:11" outlineLevel="1" x14ac:dyDescent="0.25">
      <c r="B102"/>
      <c r="C102" s="14" t="str">
        <f>C97&amp;" charge"</f>
        <v>Controlled load charge</v>
      </c>
      <c r="D102" s="14" t="s">
        <v>64</v>
      </c>
      <c r="E102" s="14" t="s">
        <v>75</v>
      </c>
      <c r="F102" s="14" t="s">
        <v>72</v>
      </c>
      <c r="G102" s="51">
        <f>IF(G98=0,"-",
SUM(G98:G101))</f>
        <v>0.25052329042780785</v>
      </c>
      <c r="H102" s="51">
        <f>IF(H98=0,"-",
SUM(H98:H101))</f>
        <v>0.18945143345186299</v>
      </c>
      <c r="I102" s="51">
        <f>IF(I98=0,"-",
SUM(I98:I101))</f>
        <v>0.23560883786049752</v>
      </c>
      <c r="J102" s="51">
        <f>IF(J98=0,"-",
SUM(J98:J101))</f>
        <v>0.22197643225803559</v>
      </c>
      <c r="K102" s="51">
        <f>IF(K98=0,"-",
SUM(K98:K101))</f>
        <v>0.20982210446168834</v>
      </c>
    </row>
    <row r="103" spans="2:11" outlineLevel="1" x14ac:dyDescent="0.25">
      <c r="B103"/>
      <c r="G103" s="79" cm="1">
        <f t="array" ref="G103">IF(G102="-","-",
IF(ROUND(G102,8)=ROUND((((
SUMIFS(Calc_Variable_1[Ausnet],Calc_Variable_1[[Customer type]:[Customer type]],Calc_Rates!$F102)+
SUMIFS(Calc_Variable_1[Ausnet],Calc_Variable_1[[Customer type]:[Customer type]],"All")+G98)*(1+Calc_ROM_1[Ausnet]))*(1+GST)),8),0,1))</f>
        <v>0</v>
      </c>
      <c r="H103" s="79" cm="1">
        <f t="array" ref="H103">IF(H102="-","-",
IF(ROUND(H102,8)=ROUND((((
SUMIFS(Calc_Variable_1[Citipower],Calc_Variable_1[[Customer type]:[Customer type]],Calc_Rates!$F102)+
SUMIFS(Calc_Variable_1[Citipower],Calc_Variable_1[[Customer type]:[Customer type]],"All")+H98)*(1+Calc_ROM_1[Citipower]))*(1+GST)),8),0,1))</f>
        <v>0</v>
      </c>
      <c r="I103" s="79" cm="1">
        <f t="array" ref="I103">IF(I102="-","-",
IF(ROUND(I102,8)=ROUND((((
SUMIFS(Calc_Variable_1[Jemena],Calc_Variable_1[[Customer type]:[Customer type]],Calc_Rates!$F102)+
SUMIFS(Calc_Variable_1[Jemena],Calc_Variable_1[[Customer type]:[Customer type]],"All")+I98)*(1+Calc_ROM_1[Jemena]))*(1+GST)),8),0,1))</f>
        <v>0</v>
      </c>
      <c r="J103" s="79" cm="1">
        <f t="array" ref="J103">IF(J102="-","-",
IF(ROUND(J102,8)=ROUND((((
SUMIFS(Calc_Variable_1[Powercor],Calc_Variable_1[[Customer type]:[Customer type]],Calc_Rates!$F102)+
SUMIFS(Calc_Variable_1[Powercor],Calc_Variable_1[[Customer type]:[Customer type]],"All")+J98)*(1+Calc_ROM_1[Powercor]))*(1+GST)),8),0,1))</f>
        <v>0</v>
      </c>
      <c r="K103" s="79" cm="1">
        <f t="array" ref="K103">IF(K102="-","-",
IF(ROUND(K102,8)=ROUND((((
SUMIFS(Calc_Variable_1[United Energy],Calc_Variable_1[[Customer type]:[Customer type]],Calc_Rates!$F102)+
SUMIFS(Calc_Variable_1[United Energy],Calc_Variable_1[[Customer type]:[Customer type]],"All")+K98)*(1+Calc_ROM_1[United Energy]))*(1+GST)),8),0,1))</f>
        <v>0</v>
      </c>
    </row>
    <row r="104" spans="2:11" ht="15.75" x14ac:dyDescent="0.25">
      <c r="B104"/>
      <c r="C104" s="20" t="s">
        <v>376</v>
      </c>
    </row>
    <row r="105" spans="2:11" ht="15.75" outlineLevel="1" x14ac:dyDescent="0.25">
      <c r="B105"/>
      <c r="C105" s="1" t="s">
        <v>374</v>
      </c>
    </row>
    <row r="106" spans="2:11" ht="15.75" outlineLevel="1" x14ac:dyDescent="0.25">
      <c r="B106"/>
      <c r="C106" s="57" t="s">
        <v>74</v>
      </c>
    </row>
    <row r="107" spans="2:11" outlineLevel="1" x14ac:dyDescent="0.25">
      <c r="B107"/>
      <c r="C107" s="14" t="s">
        <v>365</v>
      </c>
      <c r="D107" s="14" t="s">
        <v>64</v>
      </c>
      <c r="E107" s="14" t="s">
        <v>75</v>
      </c>
      <c r="F107" s="14" t="s">
        <v>73</v>
      </c>
      <c r="G107" s="41">
        <f>SUMIFS(Calc_NetworkV_1[Ausnet],Calc_NetworkV_1[[Cost item]:[Cost item]],$C106,Calc_NetworkV_1[[Customer type]:[Customer type]],$F107)</f>
        <v>0.19308159653482593</v>
      </c>
      <c r="H107" s="41">
        <f>SUMIFS(Calc_NetworkV_1[Citipower],Calc_NetworkV_1[[Cost item]:[Cost item]],$C106,Calc_NetworkV_1[[Customer type]:[Customer type]],$F107)</f>
        <v>0</v>
      </c>
      <c r="I107" s="41">
        <f>SUMIFS(Calc_NetworkV_1[Jemena],Calc_NetworkV_1[[Cost item]:[Cost item]],$C106,Calc_NetworkV_1[[Customer type]:[Customer type]],$F107)</f>
        <v>0</v>
      </c>
      <c r="J107" s="41">
        <f>SUMIFS(Calc_NetworkV_1[Powercor],Calc_NetworkV_1[[Cost item]:[Cost item]],$C106,Calc_NetworkV_1[[Customer type]:[Customer type]],$F107)</f>
        <v>0</v>
      </c>
      <c r="K107" s="41">
        <f>SUMIFS(Calc_NetworkV_1[United Energy],Calc_NetworkV_1[[Cost item]:[Cost item]],$C106,Calc_NetworkV_1[[Customer type]:[Customer type]],$F107)</f>
        <v>0</v>
      </c>
    </row>
    <row r="108" spans="2:11" outlineLevel="1" x14ac:dyDescent="0.25">
      <c r="B108"/>
      <c r="C108" s="14" t="s">
        <v>369</v>
      </c>
      <c r="D108" s="14" t="s">
        <v>64</v>
      </c>
      <c r="E108" s="14" t="s">
        <v>75</v>
      </c>
      <c r="F108" s="14" t="s">
        <v>73</v>
      </c>
      <c r="G108" s="41">
        <f>SUMIFS(Calc_Variable_1[Ausnet],Calc_Variable_1[[Customer type]:[Customer type]],"All")+SUMIFS(Calc_Variable_1[Ausnet],Calc_Variable_1[[Customer type]:[Customer type]],$F108)</f>
        <v>0.1366357553092751</v>
      </c>
      <c r="H108" s="41">
        <f>SUMIFS(Calc_Variable_1[Citipower],Calc_Variable_1[[Customer type]:[Customer type]],"All")+SUMIFS(Calc_Variable_1[Citipower],Calc_Variable_1[[Customer type]:[Customer type]],$F108)</f>
        <v>0.12768089309491404</v>
      </c>
      <c r="I108" s="41">
        <f>SUMIFS(Calc_Variable_1[Jemena],Calc_Variable_1[[Customer type]:[Customer type]],"All")+SUMIFS(Calc_Variable_1[Jemena],Calc_Variable_1[[Customer type]:[Customer type]],$F108)</f>
        <v>0.13380423277103437</v>
      </c>
      <c r="J108" s="41">
        <f>SUMIFS(Calc_Variable_1[Powercor],Calc_Variable_1[[Customer type]:[Customer type]],"All")+SUMIFS(Calc_Variable_1[Powercor],Calc_Variable_1[[Customer type]:[Customer type]],$F108)</f>
        <v>0.13406355709910678</v>
      </c>
      <c r="K108" s="41">
        <f>SUMIFS(Calc_Variable_1[United Energy],Calc_Variable_1[[Customer type]:[Customer type]],"All")+SUMIFS(Calc_Variable_1[United Energy],Calc_Variable_1[[Customer type]:[Customer type]],$F108)</f>
        <v>0.13257713544672645</v>
      </c>
    </row>
    <row r="109" spans="2:11" outlineLevel="1" x14ac:dyDescent="0.25">
      <c r="B109"/>
      <c r="C109" s="14" t="s">
        <v>263</v>
      </c>
      <c r="D109" s="14" t="s">
        <v>64</v>
      </c>
      <c r="E109" s="14" t="s">
        <v>75</v>
      </c>
      <c r="F109" s="14" t="s">
        <v>73</v>
      </c>
      <c r="G109" s="50" cm="1">
        <f t="array" ref="G109">IF(G107=0,"-",
(G107+G108)*Calc_ROM_1[Ausnet])</f>
        <v>1.8464171703269656E-2</v>
      </c>
      <c r="H109" s="50" t="str" cm="1">
        <f t="array" ref="H109">IF(H107=0,"-",
(H107+H108)*Calc_ROM_1[Citipower])</f>
        <v>-</v>
      </c>
      <c r="I109" s="50" t="str" cm="1">
        <f t="array" ref="I109">IF(I107=0,"-",
(I107+I108)*Calc_ROM_1[Jemena])</f>
        <v>-</v>
      </c>
      <c r="J109" s="50" t="str" cm="1">
        <f t="array" ref="J109">IF(J107=0,"-",
(J107+J108)*Calc_ROM_1[Powercor])</f>
        <v>-</v>
      </c>
      <c r="K109" s="50" t="str" cm="1">
        <f t="array" ref="K109">IF(K107=0,"-",
(K107+K108)*Calc_ROM_1[United Energy])</f>
        <v>-</v>
      </c>
    </row>
    <row r="110" spans="2:11" outlineLevel="1" x14ac:dyDescent="0.25">
      <c r="B110"/>
      <c r="C110" s="14" t="s">
        <v>366</v>
      </c>
      <c r="D110" s="14" t="s">
        <v>64</v>
      </c>
      <c r="E110" s="14" t="s">
        <v>75</v>
      </c>
      <c r="F110" s="14" t="s">
        <v>73</v>
      </c>
      <c r="G110" s="50">
        <f>IF(G107=0,"-",
(G107+G108+G109)*GST)</f>
        <v>3.4818152354737064E-2</v>
      </c>
      <c r="H110" s="50" t="str">
        <f>IF(H107=0,"-",
(H107+H108+H109)*GST)</f>
        <v>-</v>
      </c>
      <c r="I110" s="50" t="str">
        <f>IF(I107=0,"-",
(I107+I108+I109)*GST)</f>
        <v>-</v>
      </c>
      <c r="J110" s="50" t="str">
        <f>IF(J107=0,"-",
(J107+J108+J109)*GST)</f>
        <v>-</v>
      </c>
      <c r="K110" s="50" t="str">
        <f>IF(K107=0,"-",
(K107+K108+K109)*GST)</f>
        <v>-</v>
      </c>
    </row>
    <row r="111" spans="2:11" outlineLevel="1" x14ac:dyDescent="0.25">
      <c r="B111"/>
      <c r="C111" s="14" t="str">
        <f>C106&amp;" charge"</f>
        <v>Block 1 charge</v>
      </c>
      <c r="D111" s="14" t="s">
        <v>64</v>
      </c>
      <c r="E111" s="14" t="s">
        <v>75</v>
      </c>
      <c r="F111" s="14" t="s">
        <v>73</v>
      </c>
      <c r="G111" s="51">
        <f>IF(G107=0,"-",
SUM(G107:G110))</f>
        <v>0.38299967590210771</v>
      </c>
      <c r="H111" s="51" t="str">
        <f>IF(H107=0,"-",
SUM(H107:H110))</f>
        <v>-</v>
      </c>
      <c r="I111" s="51" t="str">
        <f>IF(I107=0,"-",
SUM(I107:I110))</f>
        <v>-</v>
      </c>
      <c r="J111" s="51" t="str">
        <f>IF(J107=0,"-",
SUM(J107:J110))</f>
        <v>-</v>
      </c>
      <c r="K111" s="51" t="str">
        <f>IF(K107=0,"-",
SUM(K107:K110))</f>
        <v>-</v>
      </c>
    </row>
    <row r="112" spans="2:11" outlineLevel="1" x14ac:dyDescent="0.25">
      <c r="B112"/>
      <c r="G112" s="79" cm="1">
        <f t="array" ref="G112">IF(G111="-","-",
IF(ROUND(G111,8)=ROUND((((
SUMIFS(Calc_Variable_1[Ausnet],Calc_Variable_1[[Customer type]:[Customer type]],Calc_Rates!$F111)+
SUMIFS(Calc_Variable_1[Ausnet],Calc_Variable_1[[Customer type]:[Customer type]],"All")+G107)*(1+Calc_ROM_1[Ausnet]))*(1+GST)),8),0,1))</f>
        <v>0</v>
      </c>
      <c r="H112" s="79" t="str" cm="1">
        <f t="array" ref="H112">IF(H111="-","-",
IF(ROUND(H111,8)=ROUND((((
SUMIFS(Calc_Variable_1[Citipower],Calc_Variable_1[[Customer type]:[Customer type]],Calc_Rates!$F111)+
SUMIFS(Calc_Variable_1[Citipower],Calc_Variable_1[[Customer type]:[Customer type]],"All")+H107)*(1+Calc_ROM_1[Citipower]))*(1+GST)),8),0,1))</f>
        <v>-</v>
      </c>
      <c r="I112" s="79" t="str" cm="1">
        <f t="array" ref="I112">IF(I111="-","-",
IF(ROUND(I111,8)=ROUND((((
SUMIFS(Calc_Variable_1[Jemena],Calc_Variable_1[[Customer type]:[Customer type]],Calc_Rates!$F111)+
SUMIFS(Calc_Variable_1[Jemena],Calc_Variable_1[[Customer type]:[Customer type]],"All")+I107)*(1+Calc_ROM_1[Jemena]))*(1+GST)),8),0,1))</f>
        <v>-</v>
      </c>
      <c r="J112" s="79" t="str" cm="1">
        <f t="array" ref="J112">IF(J111="-","-",
IF(ROUND(J111,8)=ROUND((((
SUMIFS(Calc_Variable_1[Powercor],Calc_Variable_1[[Customer type]:[Customer type]],Calc_Rates!$F111)+
SUMIFS(Calc_Variable_1[Powercor],Calc_Variable_1[[Customer type]:[Customer type]],"All")+J107)*(1+Calc_ROM_1[Powercor]))*(1+GST)),8),0,1))</f>
        <v>-</v>
      </c>
      <c r="K112" s="79" t="str" cm="1">
        <f t="array" ref="K112">IF(K111="-","-",
IF(ROUND(K111,8)=ROUND((((
SUMIFS(Calc_Variable_1[United Energy],Calc_Variable_1[[Customer type]:[Customer type]],Calc_Rates!$F111)+
SUMIFS(Calc_Variable_1[United Energy],Calc_Variable_1[[Customer type]:[Customer type]],"All")+K107)*(1+Calc_ROM_1[United Energy]))*(1+GST)),8),0,1))</f>
        <v>-</v>
      </c>
    </row>
    <row r="113" spans="2:11" ht="15.75" outlineLevel="1" x14ac:dyDescent="0.25">
      <c r="B113"/>
      <c r="C113" s="57" t="s">
        <v>76</v>
      </c>
    </row>
    <row r="114" spans="2:11" outlineLevel="1" x14ac:dyDescent="0.25">
      <c r="B114"/>
      <c r="C114" s="14" t="s">
        <v>365</v>
      </c>
      <c r="D114" s="14" t="s">
        <v>64</v>
      </c>
      <c r="E114" s="14" t="s">
        <v>75</v>
      </c>
      <c r="F114" s="14" t="s">
        <v>73</v>
      </c>
      <c r="G114" s="41">
        <f>SUMIFS(Calc_NetworkV_1[Ausnet],Calc_NetworkV_1[[Cost item]:[Cost item]],$C113,Calc_NetworkV_1[[Customer type]:[Customer type]],$F114)</f>
        <v>0.20237137578661479</v>
      </c>
      <c r="H114" s="41">
        <f>SUMIFS(Calc_NetworkV_1[Citipower],Calc_NetworkV_1[[Cost item]:[Cost item]],$C113,Calc_NetworkV_1[[Customer type]:[Customer type]],$F114)</f>
        <v>0</v>
      </c>
      <c r="I114" s="41">
        <f>SUMIFS(Calc_NetworkV_1[Jemena],Calc_NetworkV_1[[Cost item]:[Cost item]],$C113,Calc_NetworkV_1[[Customer type]:[Customer type]],$F114)</f>
        <v>0</v>
      </c>
      <c r="J114" s="41">
        <f>SUMIFS(Calc_NetworkV_1[Powercor],Calc_NetworkV_1[[Cost item]:[Cost item]],$C113,Calc_NetworkV_1[[Customer type]:[Customer type]],$F114)</f>
        <v>0</v>
      </c>
      <c r="K114" s="41">
        <f>SUMIFS(Calc_NetworkV_1[United Energy],Calc_NetworkV_1[[Cost item]:[Cost item]],$C113,Calc_NetworkV_1[[Customer type]:[Customer type]],$F114)</f>
        <v>0</v>
      </c>
    </row>
    <row r="115" spans="2:11" outlineLevel="1" x14ac:dyDescent="0.25">
      <c r="B115"/>
      <c r="C115" s="14" t="s">
        <v>369</v>
      </c>
      <c r="D115" s="14" t="s">
        <v>64</v>
      </c>
      <c r="E115" s="14" t="s">
        <v>75</v>
      </c>
      <c r="F115" s="14" t="s">
        <v>73</v>
      </c>
      <c r="G115" s="41">
        <f>SUMIFS(Calc_Variable_1[Ausnet],Calc_Variable_1[[Customer type]:[Customer type]],"All")+SUMIFS(Calc_Variable_1[Ausnet],Calc_Variable_1[[Customer type]:[Customer type]],$F115)</f>
        <v>0.1366357553092751</v>
      </c>
      <c r="H115" s="41">
        <f>SUMIFS(Calc_Variable_1[Citipower],Calc_Variable_1[[Customer type]:[Customer type]],"All")+SUMIFS(Calc_Variable_1[Citipower],Calc_Variable_1[[Customer type]:[Customer type]],$F115)</f>
        <v>0.12768089309491404</v>
      </c>
      <c r="I115" s="41">
        <f>SUMIFS(Calc_Variable_1[Jemena],Calc_Variable_1[[Customer type]:[Customer type]],"All")+SUMIFS(Calc_Variable_1[Jemena],Calc_Variable_1[[Customer type]:[Customer type]],$F115)</f>
        <v>0.13380423277103437</v>
      </c>
      <c r="J115" s="41">
        <f>SUMIFS(Calc_Variable_1[Powercor],Calc_Variable_1[[Customer type]:[Customer type]],"All")+SUMIFS(Calc_Variable_1[Powercor],Calc_Variable_1[[Customer type]:[Customer type]],$F115)</f>
        <v>0.13406355709910678</v>
      </c>
      <c r="K115" s="41">
        <f>SUMIFS(Calc_Variable_1[United Energy],Calc_Variable_1[[Customer type]:[Customer type]],"All")+SUMIFS(Calc_Variable_1[United Energy],Calc_Variable_1[[Customer type]:[Customer type]],$F115)</f>
        <v>0.13257713544672645</v>
      </c>
    </row>
    <row r="116" spans="2:11" outlineLevel="1" x14ac:dyDescent="0.25">
      <c r="B116"/>
      <c r="C116" s="14" t="s">
        <v>263</v>
      </c>
      <c r="D116" s="14" t="s">
        <v>64</v>
      </c>
      <c r="E116" s="14" t="s">
        <v>75</v>
      </c>
      <c r="F116" s="14" t="s">
        <v>73</v>
      </c>
      <c r="G116" s="50" cm="1">
        <f t="array" ref="G116">IF(G114=0,"-",
(G114+G115)*Calc_ROM_1[Ausnet])</f>
        <v>1.8984399341369834E-2</v>
      </c>
      <c r="H116" s="50" t="str" cm="1">
        <f t="array" ref="H116">IF(H114=0,"-",
(H114+H115)*Calc_ROM_1[Citipower])</f>
        <v>-</v>
      </c>
      <c r="I116" s="50" t="str" cm="1">
        <f t="array" ref="I116">IF(I114=0,"-",
(I114+I115)*Calc_ROM_1[Jemena])</f>
        <v>-</v>
      </c>
      <c r="J116" s="50" t="str" cm="1">
        <f t="array" ref="J116">IF(J114=0,"-",
(J114+J115)*Calc_ROM_1[Powercor])</f>
        <v>-</v>
      </c>
      <c r="K116" s="50" t="str" cm="1">
        <f t="array" ref="K116">IF(K114=0,"-",
(K114+K115)*Calc_ROM_1[United Energy])</f>
        <v>-</v>
      </c>
    </row>
    <row r="117" spans="2:11" outlineLevel="1" x14ac:dyDescent="0.25">
      <c r="B117"/>
      <c r="C117" s="14" t="s">
        <v>366</v>
      </c>
      <c r="D117" s="14" t="s">
        <v>64</v>
      </c>
      <c r="E117" s="14" t="s">
        <v>75</v>
      </c>
      <c r="F117" s="14" t="s">
        <v>73</v>
      </c>
      <c r="G117" s="50">
        <f>IF(G114=0,"-",
(G114+G115+G116)*GST)</f>
        <v>3.5799153043725974E-2</v>
      </c>
      <c r="H117" s="50" t="str">
        <f>IF(H114=0,"-",
(H114+H115+H116)*GST)</f>
        <v>-</v>
      </c>
      <c r="I117" s="50" t="str">
        <f>IF(I114=0,"-",
(I114+I115+I116)*GST)</f>
        <v>-</v>
      </c>
      <c r="J117" s="50" t="str">
        <f>IF(J114=0,"-",
(J114+J115+J116)*GST)</f>
        <v>-</v>
      </c>
      <c r="K117" s="50" t="str">
        <f>IF(K114=0,"-",
(K114+K115+K116)*GST)</f>
        <v>-</v>
      </c>
    </row>
    <row r="118" spans="2:11" outlineLevel="1" x14ac:dyDescent="0.25">
      <c r="B118"/>
      <c r="C118" s="14" t="str">
        <f>C113&amp;" charge"</f>
        <v>Balance charge</v>
      </c>
      <c r="D118" s="14" t="s">
        <v>64</v>
      </c>
      <c r="E118" s="14" t="s">
        <v>75</v>
      </c>
      <c r="F118" s="14" t="s">
        <v>73</v>
      </c>
      <c r="G118" s="51">
        <f>IF(G114=0,"-",
SUM(G114:G117))</f>
        <v>0.39379068348098573</v>
      </c>
      <c r="H118" s="51" t="str">
        <f>IF(H114=0,"-",
SUM(H114:H117))</f>
        <v>-</v>
      </c>
      <c r="I118" s="51" t="str">
        <f>IF(I114=0,"-",
SUM(I114:I117))</f>
        <v>-</v>
      </c>
      <c r="J118" s="51" t="str">
        <f>IF(J114=0,"-",
SUM(J114:J117))</f>
        <v>-</v>
      </c>
      <c r="K118" s="51" t="str">
        <f>IF(K114=0,"-",
SUM(K114:K117))</f>
        <v>-</v>
      </c>
    </row>
    <row r="119" spans="2:11" outlineLevel="1" x14ac:dyDescent="0.25">
      <c r="B119"/>
      <c r="G119" s="79" cm="1">
        <f t="array" ref="G119">IF(G118="-","-",
IF(ROUND(G118,8)=ROUND((((
SUMIFS(Calc_Variable_1[Ausnet],Calc_Variable_1[[Customer type]:[Customer type]],Calc_Rates!$F118)+
SUMIFS(Calc_Variable_1[Ausnet],Calc_Variable_1[[Customer type]:[Customer type]],"All")+G114)*(1+Calc_ROM_1[Ausnet]))*(1+GST)),8),0,1))</f>
        <v>0</v>
      </c>
      <c r="H119" s="79" t="str" cm="1">
        <f t="array" ref="H119">IF(H118="-","-",
IF(ROUND(H118,8)=ROUND((((
SUMIFS(Calc_Variable_1[Citipower],Calc_Variable_1[[Customer type]:[Customer type]],Calc_Rates!$F118)+
SUMIFS(Calc_Variable_1[Citipower],Calc_Variable_1[[Customer type]:[Customer type]],"All")+H114)*(1+Calc_ROM_1[Citipower]))*(1+GST)),8),0,1))</f>
        <v>-</v>
      </c>
      <c r="I119" s="79" t="str" cm="1">
        <f t="array" ref="I119">IF(I118="-","-",
IF(ROUND(I118,8)=ROUND((((
SUMIFS(Calc_Variable_1[Jemena],Calc_Variable_1[[Customer type]:[Customer type]],Calc_Rates!$F118)+
SUMIFS(Calc_Variable_1[Jemena],Calc_Variable_1[[Customer type]:[Customer type]],"All")+I114)*(1+Calc_ROM_1[Jemena]))*(1+GST)),8),0,1))</f>
        <v>-</v>
      </c>
      <c r="J119" s="79" t="str" cm="1">
        <f t="array" ref="J119">IF(J118="-","-",
IF(ROUND(J118,8)=ROUND((((
SUMIFS(Calc_Variable_1[Powercor],Calc_Variable_1[[Customer type]:[Customer type]],Calc_Rates!$F118)+
SUMIFS(Calc_Variable_1[Powercor],Calc_Variable_1[[Customer type]:[Customer type]],"All")+J114)*(1+Calc_ROM_1[Powercor]))*(1+GST)),8),0,1))</f>
        <v>-</v>
      </c>
      <c r="K119" s="79" t="str" cm="1">
        <f t="array" ref="K119">IF(K118="-","-",
IF(ROUND(K118,8)=ROUND((((
SUMIFS(Calc_Variable_1[United Energy],Calc_Variable_1[[Customer type]:[Customer type]],Calc_Rates!$F118)+
SUMIFS(Calc_Variable_1[United Energy],Calc_Variable_1[[Customer type]:[Customer type]],"All")+K114)*(1+Calc_ROM_1[United Energy]))*(1+GST)),8),0,1))</f>
        <v>-</v>
      </c>
    </row>
    <row r="120" spans="2:11" ht="15.75" outlineLevel="1" x14ac:dyDescent="0.25">
      <c r="B120"/>
      <c r="C120" s="57" t="s">
        <v>77</v>
      </c>
    </row>
    <row r="121" spans="2:11" outlineLevel="1" x14ac:dyDescent="0.25">
      <c r="B121"/>
      <c r="C121" s="14" t="s">
        <v>365</v>
      </c>
      <c r="D121" s="14" t="s">
        <v>64</v>
      </c>
      <c r="E121" s="14" t="s">
        <v>75</v>
      </c>
      <c r="F121" s="14" t="s">
        <v>73</v>
      </c>
      <c r="G121" s="41">
        <f>SUMIFS(Calc_NetworkV_1[Ausnet],Calc_NetworkV_1[[Cost item]:[Cost item]],$C120,Calc_NetworkV_1[[Customer type]:[Customer type]],$F121)</f>
        <v>0</v>
      </c>
      <c r="H121" s="41">
        <f>SUMIFS(Calc_NetworkV_1[Citipower],Calc_NetworkV_1[[Cost item]:[Cost item]],$C120,Calc_NetworkV_1[[Customer type]:[Customer type]],$F121)</f>
        <v>8.950000000000001E-2</v>
      </c>
      <c r="I121" s="41">
        <f>SUMIFS(Calc_NetworkV_1[Jemena],Calc_NetworkV_1[[Cost item]:[Cost item]],$C120,Calc_NetworkV_1[[Customer type]:[Customer type]],$F121)</f>
        <v>0.13955000000000001</v>
      </c>
      <c r="J121" s="41">
        <f>SUMIFS(Calc_NetworkV_1[Powercor],Calc_NetworkV_1[[Cost item]:[Cost item]],$C120,Calc_NetworkV_1[[Customer type]:[Customer type]],$F121)</f>
        <v>0.10619999999999999</v>
      </c>
      <c r="K121" s="41">
        <f>SUMIFS(Calc_NetworkV_1[United Energy],Calc_NetworkV_1[[Cost item]:[Cost item]],$C120,Calc_NetworkV_1[[Customer type]:[Customer type]],$F121)</f>
        <v>0.10289999999999999</v>
      </c>
    </row>
    <row r="122" spans="2:11" outlineLevel="1" x14ac:dyDescent="0.25">
      <c r="B122"/>
      <c r="C122" s="14" t="s">
        <v>369</v>
      </c>
      <c r="D122" s="14" t="s">
        <v>64</v>
      </c>
      <c r="E122" s="14" t="s">
        <v>75</v>
      </c>
      <c r="F122" s="14" t="s">
        <v>73</v>
      </c>
      <c r="G122" s="41">
        <f>SUMIFS(Calc_Variable_1[Ausnet],Calc_Variable_1[[Customer type]:[Customer type]],"All")+SUMIFS(Calc_Variable_1[Ausnet],Calc_Variable_1[[Customer type]:[Customer type]],$F122)</f>
        <v>0.1366357553092751</v>
      </c>
      <c r="H122" s="41">
        <f>SUMIFS(Calc_Variable_1[Citipower],Calc_Variable_1[[Customer type]:[Customer type]],"All")+SUMIFS(Calc_Variable_1[Citipower],Calc_Variable_1[[Customer type]:[Customer type]],$F122)</f>
        <v>0.12768089309491404</v>
      </c>
      <c r="I122" s="41">
        <f>SUMIFS(Calc_Variable_1[Jemena],Calc_Variable_1[[Customer type]:[Customer type]],"All")+SUMIFS(Calc_Variable_1[Jemena],Calc_Variable_1[[Customer type]:[Customer type]],$F122)</f>
        <v>0.13380423277103437</v>
      </c>
      <c r="J122" s="41">
        <f>SUMIFS(Calc_Variable_1[Powercor],Calc_Variable_1[[Customer type]:[Customer type]],"All")+SUMIFS(Calc_Variable_1[Powercor],Calc_Variable_1[[Customer type]:[Customer type]],$F122)</f>
        <v>0.13406355709910678</v>
      </c>
      <c r="K122" s="41">
        <f>SUMIFS(Calc_Variable_1[United Energy],Calc_Variable_1[[Customer type]:[Customer type]],"All")+SUMIFS(Calc_Variable_1[United Energy],Calc_Variable_1[[Customer type]:[Customer type]],$F122)</f>
        <v>0.13257713544672645</v>
      </c>
    </row>
    <row r="123" spans="2:11" outlineLevel="1" x14ac:dyDescent="0.25">
      <c r="B123"/>
      <c r="C123" s="14" t="s">
        <v>263</v>
      </c>
      <c r="D123" s="14" t="s">
        <v>64</v>
      </c>
      <c r="E123" s="14" t="s">
        <v>75</v>
      </c>
      <c r="F123" s="14" t="s">
        <v>73</v>
      </c>
      <c r="G123" s="50" t="str" cm="1">
        <f t="array" ref="G123">IF(G121=0,"-",
(G121+G122)*Calc_ROM_1[Ausnet])</f>
        <v>-</v>
      </c>
      <c r="H123" s="50" cm="1">
        <f t="array" ref="H123">IF(H121=0,"-",
(H121+H122)*Calc_ROM_1[Citipower])</f>
        <v>1.2162130013315188E-2</v>
      </c>
      <c r="I123" s="50" cm="1">
        <f t="array" ref="I123">IF(I121=0,"-",
(I121+I122)*Calc_ROM_1[Jemena])</f>
        <v>1.5307837035177926E-2</v>
      </c>
      <c r="J123" s="50" cm="1">
        <f t="array" ref="J123">IF(J121=0,"-",
(J121+J122)*Calc_ROM_1[Powercor])</f>
        <v>1.345475919754998E-2</v>
      </c>
      <c r="K123" s="50" cm="1">
        <f t="array" ref="K123">IF(K121=0,"-",
(K121+K122)*Calc_ROM_1[United Energy])</f>
        <v>1.318671958501668E-2</v>
      </c>
    </row>
    <row r="124" spans="2:11" outlineLevel="1" x14ac:dyDescent="0.25">
      <c r="B124"/>
      <c r="C124" s="14" t="s">
        <v>366</v>
      </c>
      <c r="D124" s="14" t="s">
        <v>64</v>
      </c>
      <c r="E124" s="14" t="s">
        <v>75</v>
      </c>
      <c r="F124" s="14" t="s">
        <v>73</v>
      </c>
      <c r="G124" s="50" t="str">
        <f>IF(G121=0,"-",
(G121+G122+G123)*GST)</f>
        <v>-</v>
      </c>
      <c r="H124" s="50">
        <f>IF(H121=0,"-",
(H121+H122+H123)*GST)</f>
        <v>2.2934302310822927E-2</v>
      </c>
      <c r="I124" s="50">
        <f>IF(I121=0,"-",
(I121+I122+I123)*GST)</f>
        <v>2.8866206980621228E-2</v>
      </c>
      <c r="J124" s="50">
        <f>IF(J121=0,"-",
(J121+J122+J123)*GST)</f>
        <v>2.5371831629665678E-2</v>
      </c>
      <c r="K124" s="50">
        <f>IF(K121=0,"-",
(K121+K122+K123)*GST)</f>
        <v>2.4866385503174313E-2</v>
      </c>
    </row>
    <row r="125" spans="2:11" outlineLevel="1" x14ac:dyDescent="0.25">
      <c r="B125"/>
      <c r="C125" s="14" t="str">
        <f>C120&amp;" charge"</f>
        <v>Single rate charge</v>
      </c>
      <c r="D125" s="14" t="s">
        <v>64</v>
      </c>
      <c r="E125" s="14" t="s">
        <v>75</v>
      </c>
      <c r="F125" s="14" t="s">
        <v>73</v>
      </c>
      <c r="G125" s="51" t="str">
        <f>IF(G121=0,"-",
SUM(G121:G124))</f>
        <v>-</v>
      </c>
      <c r="H125" s="51">
        <f>IF(H121=0,"-",
SUM(H121:H124))</f>
        <v>0.25227732541905218</v>
      </c>
      <c r="I125" s="51">
        <f>IF(I121=0,"-",
SUM(I121:I124))</f>
        <v>0.31752827678683349</v>
      </c>
      <c r="J125" s="51">
        <f>IF(J121=0,"-",
SUM(J121:J124))</f>
        <v>0.27909014792632242</v>
      </c>
      <c r="K125" s="51">
        <f>IF(K121=0,"-",
SUM(K121:K124))</f>
        <v>0.27353024053491742</v>
      </c>
    </row>
    <row r="126" spans="2:11" outlineLevel="1" x14ac:dyDescent="0.25">
      <c r="B126"/>
      <c r="G126" s="79" t="str" cm="1">
        <f t="array" ref="G126">IF(G125="-","-",
IF(ROUND(G125,8)=ROUND((((
SUMIFS(Calc_Variable_1[Ausnet],Calc_Variable_1[[Customer type]:[Customer type]],Calc_Rates!$F125)+
SUMIFS(Calc_Variable_1[Ausnet],Calc_Variable_1[[Customer type]:[Customer type]],"All")+G121)*(1+Calc_ROM_1[Ausnet]))*(1+GST)),8),0,1))</f>
        <v>-</v>
      </c>
      <c r="H126" s="79" cm="1">
        <f t="array" ref="H126">IF(H125="-","-",
IF(ROUND(H125,8)=ROUND((((
SUMIFS(Calc_Variable_1[Citipower],Calc_Variable_1[[Customer type]:[Customer type]],Calc_Rates!$F125)+
SUMIFS(Calc_Variable_1[Citipower],Calc_Variable_1[[Customer type]:[Customer type]],"All")+H121)*(1+Calc_ROM_1[Citipower]))*(1+GST)),8),0,1))</f>
        <v>0</v>
      </c>
      <c r="I126" s="79" cm="1">
        <f t="array" ref="I126">IF(I125="-","-",
IF(ROUND(I125,8)=ROUND((((
SUMIFS(Calc_Variable_1[Jemena],Calc_Variable_1[[Customer type]:[Customer type]],Calc_Rates!$F125)+
SUMIFS(Calc_Variable_1[Jemena],Calc_Variable_1[[Customer type]:[Customer type]],"All")+I121)*(1+Calc_ROM_1[Jemena]))*(1+GST)),8),0,1))</f>
        <v>0</v>
      </c>
      <c r="J126" s="79" cm="1">
        <f t="array" ref="J126">IF(J125="-","-",
IF(ROUND(J125,8)=ROUND((((
SUMIFS(Calc_Variable_1[Powercor],Calc_Variable_1[[Customer type]:[Customer type]],Calc_Rates!$F125)+
SUMIFS(Calc_Variable_1[Powercor],Calc_Variable_1[[Customer type]:[Customer type]],"All")+J121)*(1+Calc_ROM_1[Powercor]))*(1+GST)),8),0,1))</f>
        <v>0</v>
      </c>
      <c r="K126" s="79" cm="1">
        <f t="array" ref="K126">IF(K125="-","-",
IF(ROUND(K125,8)=ROUND((((
SUMIFS(Calc_Variable_1[United Energy],Calc_Variable_1[[Customer type]:[Customer type]],Calc_Rates!$F125)+
SUMIFS(Calc_Variable_1[United Energy],Calc_Variable_1[[Customer type]:[Customer type]],"All")+K121)*(1+Calc_ROM_1[United Energy]))*(1+GST)),8),0,1))</f>
        <v>0</v>
      </c>
    </row>
    <row r="127" spans="2:11" ht="15.75" outlineLevel="1" x14ac:dyDescent="0.25">
      <c r="B127"/>
      <c r="C127" s="97" t="s">
        <v>375</v>
      </c>
    </row>
    <row r="128" spans="2:11" ht="15.75" outlineLevel="1" x14ac:dyDescent="0.25">
      <c r="B128"/>
      <c r="C128" s="57" t="s">
        <v>79</v>
      </c>
    </row>
    <row r="129" spans="1:11" outlineLevel="1" x14ac:dyDescent="0.25">
      <c r="B129"/>
      <c r="C129" s="14" t="s">
        <v>365</v>
      </c>
      <c r="D129" s="14" t="s">
        <v>64</v>
      </c>
      <c r="E129" s="14" t="s">
        <v>75</v>
      </c>
      <c r="F129" s="14" t="s">
        <v>73</v>
      </c>
      <c r="G129" s="41">
        <f>SUMIFS(Calc_NetworkV_1[Ausnet],Calc_NetworkV_1[[Cost item]:[Cost item]],$C128,Calc_NetworkV_1[[Customer type]:[Customer type]],$F129)</f>
        <v>0.203089189747413</v>
      </c>
      <c r="H129" s="41">
        <f>SUMIFS(Calc_NetworkV_1[Citipower],Calc_NetworkV_1[[Cost item]:[Cost item]],$C128,Calc_NetworkV_1[[Customer type]:[Customer type]],$F129)</f>
        <v>0.14249999999999999</v>
      </c>
      <c r="I129" s="41">
        <f>SUMIFS(Calc_NetworkV_1[Jemena],Calc_NetworkV_1[[Cost item]:[Cost item]],$C128,Calc_NetworkV_1[[Customer type]:[Customer type]],$F129)</f>
        <v>0.17986000000000002</v>
      </c>
      <c r="J129" s="41">
        <f>SUMIFS(Calc_NetworkV_1[Powercor],Calc_NetworkV_1[[Cost item]:[Cost item]],$C128,Calc_NetworkV_1[[Customer type]:[Customer type]],$F129)</f>
        <v>0.18729999999999999</v>
      </c>
      <c r="K129" s="41">
        <f>SUMIFS(Calc_NetworkV_1[United Energy],Calc_NetworkV_1[[Cost item]:[Cost item]],$C128,Calc_NetworkV_1[[Customer type]:[Customer type]],$F129)</f>
        <v>0.1641</v>
      </c>
    </row>
    <row r="130" spans="1:11" outlineLevel="1" x14ac:dyDescent="0.25">
      <c r="B130"/>
      <c r="C130" s="14" t="s">
        <v>369</v>
      </c>
      <c r="D130" s="14" t="s">
        <v>64</v>
      </c>
      <c r="E130" s="14" t="s">
        <v>75</v>
      </c>
      <c r="F130" s="14" t="s">
        <v>73</v>
      </c>
      <c r="G130" s="41">
        <f>SUMIFS(Calc_Variable_1[Ausnet],Calc_Variable_1[[Customer type]:[Customer type]],"All")+SUMIFS(Calc_Variable_1[Ausnet],Calc_Variable_1[[Customer type]:[Customer type]],$F130)</f>
        <v>0.1366357553092751</v>
      </c>
      <c r="H130" s="41">
        <f>SUMIFS(Calc_Variable_1[Citipower],Calc_Variable_1[[Customer type]:[Customer type]],"All")+SUMIFS(Calc_Variable_1[Citipower],Calc_Variable_1[[Customer type]:[Customer type]],$F130)</f>
        <v>0.12768089309491404</v>
      </c>
      <c r="I130" s="41">
        <f>SUMIFS(Calc_Variable_1[Jemena],Calc_Variable_1[[Customer type]:[Customer type]],"All")+SUMIFS(Calc_Variable_1[Jemena],Calc_Variable_1[[Customer type]:[Customer type]],$F130)</f>
        <v>0.13380423277103437</v>
      </c>
      <c r="J130" s="41">
        <f>SUMIFS(Calc_Variable_1[Powercor],Calc_Variable_1[[Customer type]:[Customer type]],"All")+SUMIFS(Calc_Variable_1[Powercor],Calc_Variable_1[[Customer type]:[Customer type]],$F130)</f>
        <v>0.13406355709910678</v>
      </c>
      <c r="K130" s="41">
        <f>SUMIFS(Calc_Variable_1[United Energy],Calc_Variable_1[[Customer type]:[Customer type]],"All")+SUMIFS(Calc_Variable_1[United Energy],Calc_Variable_1[[Customer type]:[Customer type]],$F130)</f>
        <v>0.13257713544672645</v>
      </c>
    </row>
    <row r="131" spans="1:11" outlineLevel="1" x14ac:dyDescent="0.25">
      <c r="B131"/>
      <c r="C131" s="14" t="s">
        <v>263</v>
      </c>
      <c r="D131" s="14" t="s">
        <v>64</v>
      </c>
      <c r="E131" s="14" t="s">
        <v>75</v>
      </c>
      <c r="F131" s="14" t="s">
        <v>73</v>
      </c>
      <c r="G131" s="50" cm="1">
        <f t="array" ref="G131">IF(G129=0,"-",
(G129+G130)*Calc_ROM_1[Ausnet])</f>
        <v>1.9024596923174535E-2</v>
      </c>
      <c r="H131" s="50" cm="1">
        <f t="array" ref="H131">IF(H129=0,"-",
(H129+H130)*Calc_ROM_1[Citipower])</f>
        <v>1.5130130013315184E-2</v>
      </c>
      <c r="I131" s="50" cm="1">
        <f t="array" ref="I131">IF(I129=0,"-",
(I129+I130)*Calc_ROM_1[Jemena])</f>
        <v>1.7565197035177928E-2</v>
      </c>
      <c r="J131" s="50" cm="1">
        <f t="array" ref="J131">IF(J129=0,"-",
(J129+J130)*Calc_ROM_1[Powercor])</f>
        <v>1.799635919754998E-2</v>
      </c>
      <c r="K131" s="50" cm="1">
        <f t="array" ref="K131">IF(K129=0,"-",
(K129+K130)*Calc_ROM_1[United Energy])</f>
        <v>1.6613919585016682E-2</v>
      </c>
    </row>
    <row r="132" spans="1:11" outlineLevel="1" x14ac:dyDescent="0.25">
      <c r="B132"/>
      <c r="C132" s="14" t="s">
        <v>366</v>
      </c>
      <c r="D132" s="14" t="s">
        <v>64</v>
      </c>
      <c r="E132" s="14" t="s">
        <v>75</v>
      </c>
      <c r="F132" s="14" t="s">
        <v>73</v>
      </c>
      <c r="G132" s="50">
        <f>IF(G129=0,"-",
(G129+G130+G131)*GST)</f>
        <v>3.5874954197986267E-2</v>
      </c>
      <c r="H132" s="50">
        <f>IF(H129=0,"-",
(H129+H130+H131)*GST)</f>
        <v>2.8531102310822922E-2</v>
      </c>
      <c r="I132" s="50">
        <f>IF(I129=0,"-",
(I129+I130+I131)*GST)</f>
        <v>3.3122942980621232E-2</v>
      </c>
      <c r="J132" s="50">
        <f>IF(J129=0,"-",
(J129+J130+J131)*GST)</f>
        <v>3.3935991629665679E-2</v>
      </c>
      <c r="K132" s="50">
        <f>IF(K129=0,"-",
(K129+K130+K131)*GST)</f>
        <v>3.1329105503174318E-2</v>
      </c>
    </row>
    <row r="133" spans="1:11" outlineLevel="1" x14ac:dyDescent="0.25">
      <c r="B133"/>
      <c r="C133" s="14" t="str">
        <f>C128&amp;" charge"</f>
        <v>Peak charge</v>
      </c>
      <c r="D133" s="14" t="s">
        <v>64</v>
      </c>
      <c r="E133" s="14" t="s">
        <v>75</v>
      </c>
      <c r="F133" s="14" t="s">
        <v>73</v>
      </c>
      <c r="G133" s="51">
        <f>IF(G129=0,"-",
SUM(G129:G132))</f>
        <v>0.39462449617784889</v>
      </c>
      <c r="H133" s="51">
        <f>IF(H129=0,"-",
SUM(H129:H132))</f>
        <v>0.3138421254190521</v>
      </c>
      <c r="I133" s="51">
        <f>IF(I129=0,"-",
SUM(I129:I132))</f>
        <v>0.36435237278683358</v>
      </c>
      <c r="J133" s="51">
        <f>IF(J129=0,"-",
SUM(J129:J132))</f>
        <v>0.3732959079263225</v>
      </c>
      <c r="K133" s="51">
        <f>IF(K129=0,"-",
SUM(K129:K132))</f>
        <v>0.34462016053491745</v>
      </c>
    </row>
    <row r="134" spans="1:11" outlineLevel="1" x14ac:dyDescent="0.25">
      <c r="B134"/>
      <c r="G134" s="79" cm="1">
        <f t="array" ref="G134">IF(G133="-","-",
IF(ROUND(G133,8)=ROUND((((
SUMIFS(Calc_Variable_1[Ausnet],Calc_Variable_1[[Customer type]:[Customer type]],Calc_Rates!$F133)+
SUMIFS(Calc_Variable_1[Ausnet],Calc_Variable_1[[Customer type]:[Customer type]],"All")+G129)*(1+Calc_ROM_1[Ausnet]))*(1+GST)),8),0,1))</f>
        <v>0</v>
      </c>
      <c r="H134" s="79" cm="1">
        <f t="array" ref="H134">IF(H133="-","-",
IF(ROUND(H133,8)=ROUND((((
SUMIFS(Calc_Variable_1[Citipower],Calc_Variable_1[[Customer type]:[Customer type]],Calc_Rates!$F133)+
SUMIFS(Calc_Variable_1[Citipower],Calc_Variable_1[[Customer type]:[Customer type]],"All")+H129)*(1+Calc_ROM_1[Citipower]))*(1+GST)),8),0,1))</f>
        <v>0</v>
      </c>
      <c r="I134" s="79" cm="1">
        <f t="array" ref="I134">IF(I133="-","-",
IF(ROUND(I133,8)=ROUND((((
SUMIFS(Calc_Variable_1[Jemena],Calc_Variable_1[[Customer type]:[Customer type]],Calc_Rates!$F133)+
SUMIFS(Calc_Variable_1[Jemena],Calc_Variable_1[[Customer type]:[Customer type]],"All")+I129)*(1+Calc_ROM_1[Jemena]))*(1+GST)),8),0,1))</f>
        <v>0</v>
      </c>
      <c r="J134" s="79" cm="1">
        <f t="array" ref="J134">IF(J133="-","-",
IF(ROUND(J133,8)=ROUND((((
SUMIFS(Calc_Variable_1[Powercor],Calc_Variable_1[[Customer type]:[Customer type]],Calc_Rates!$F133)+
SUMIFS(Calc_Variable_1[Powercor],Calc_Variable_1[[Customer type]:[Customer type]],"All")+J129)*(1+Calc_ROM_1[Powercor]))*(1+GST)),8),0,1))</f>
        <v>0</v>
      </c>
      <c r="K134" s="79" cm="1">
        <f t="array" ref="K134">IF(K133="-","-",
IF(ROUND(K133,8)=ROUND((((
SUMIFS(Calc_Variable_1[United Energy],Calc_Variable_1[[Customer type]:[Customer type]],Calc_Rates!$F133)+
SUMIFS(Calc_Variable_1[United Energy],Calc_Variable_1[[Customer type]:[Customer type]],"All")+K129)*(1+Calc_ROM_1[United Energy]))*(1+GST)),8),0,1))</f>
        <v>0</v>
      </c>
    </row>
    <row r="135" spans="1:11" ht="15.75" outlineLevel="1" x14ac:dyDescent="0.25">
      <c r="B135"/>
      <c r="C135" s="57" t="s">
        <v>80</v>
      </c>
    </row>
    <row r="136" spans="1:11" outlineLevel="1" x14ac:dyDescent="0.25">
      <c r="B136"/>
      <c r="C136" s="14" t="s">
        <v>365</v>
      </c>
      <c r="D136" s="14" t="s">
        <v>64</v>
      </c>
      <c r="E136" s="14" t="s">
        <v>75</v>
      </c>
      <c r="F136" s="14" t="s">
        <v>73</v>
      </c>
      <c r="G136" s="41">
        <f>SUMIFS(Calc_NetworkV_1[Ausnet],Calc_NetworkV_1[[Cost item]:[Cost item]],$C135,Calc_NetworkV_1[[Customer type]:[Customer type]],$F136)</f>
        <v>4.8151683390904247E-2</v>
      </c>
      <c r="H136" s="41">
        <f>SUMIFS(Calc_NetworkV_1[Citipower],Calc_NetworkV_1[[Cost item]:[Cost item]],$C135,Calc_NetworkV_1[[Customer type]:[Customer type]],$F136)</f>
        <v>3.1599999999999996E-2</v>
      </c>
      <c r="I136" s="41">
        <f>SUMIFS(Calc_NetworkV_1[Jemena],Calc_NetworkV_1[[Cost item]:[Cost item]],$C135,Calc_NetworkV_1[[Customer type]:[Customer type]],$F136)</f>
        <v>3.8610000000000005E-2</v>
      </c>
      <c r="J136" s="41">
        <f>SUMIFS(Calc_NetworkV_1[Powercor],Calc_NetworkV_1[[Cost item]:[Cost item]],$C135,Calc_NetworkV_1[[Customer type]:[Customer type]],$F136)</f>
        <v>4.1599999999999998E-2</v>
      </c>
      <c r="K136" s="41">
        <f>SUMIFS(Calc_NetworkV_1[United Energy],Calc_NetworkV_1[[Cost item]:[Cost item]],$C135,Calc_NetworkV_1[[Customer type]:[Customer type]],$F136)</f>
        <v>3.6400000000000002E-2</v>
      </c>
    </row>
    <row r="137" spans="1:11" outlineLevel="1" x14ac:dyDescent="0.25">
      <c r="B137"/>
      <c r="C137" s="14" t="s">
        <v>369</v>
      </c>
      <c r="D137" s="14" t="s">
        <v>64</v>
      </c>
      <c r="E137" s="14" t="s">
        <v>75</v>
      </c>
      <c r="F137" s="14" t="s">
        <v>73</v>
      </c>
      <c r="G137" s="41">
        <f>SUMIFS(Calc_Variable_1[Ausnet],Calc_Variable_1[[Customer type]:[Customer type]],"All")+SUMIFS(Calc_Variable_1[Ausnet],Calc_Variable_1[[Customer type]:[Customer type]],$F137)</f>
        <v>0.1366357553092751</v>
      </c>
      <c r="H137" s="41">
        <f>SUMIFS(Calc_Variable_1[Citipower],Calc_Variable_1[[Customer type]:[Customer type]],"All")+SUMIFS(Calc_Variable_1[Citipower],Calc_Variable_1[[Customer type]:[Customer type]],$F137)</f>
        <v>0.12768089309491404</v>
      </c>
      <c r="I137" s="41">
        <f>SUMIFS(Calc_Variable_1[Jemena],Calc_Variable_1[[Customer type]:[Customer type]],"All")+SUMIFS(Calc_Variable_1[Jemena],Calc_Variable_1[[Customer type]:[Customer type]],$F137)</f>
        <v>0.13380423277103437</v>
      </c>
      <c r="J137" s="41">
        <f>SUMIFS(Calc_Variable_1[Powercor],Calc_Variable_1[[Customer type]:[Customer type]],"All")+SUMIFS(Calc_Variable_1[Powercor],Calc_Variable_1[[Customer type]:[Customer type]],$F137)</f>
        <v>0.13406355709910678</v>
      </c>
      <c r="K137" s="41">
        <f>SUMIFS(Calc_Variable_1[United Energy],Calc_Variable_1[[Customer type]:[Customer type]],"All")+SUMIFS(Calc_Variable_1[United Energy],Calc_Variable_1[[Customer type]:[Customer type]],$F137)</f>
        <v>0.13257713544672645</v>
      </c>
    </row>
    <row r="138" spans="1:11" ht="15.75" outlineLevel="1" collapsed="1" x14ac:dyDescent="0.25">
      <c r="A138" s="1" t="s">
        <v>36</v>
      </c>
      <c r="C138" s="14" t="s">
        <v>263</v>
      </c>
      <c r="D138" s="14" t="s">
        <v>64</v>
      </c>
      <c r="E138" s="14" t="s">
        <v>75</v>
      </c>
      <c r="F138" s="14" t="s">
        <v>73</v>
      </c>
      <c r="G138" s="50" cm="1">
        <f t="array" ref="G138">IF(G136=0,"-",
(G136+G137)*Calc_ROM_1[Ausnet])</f>
        <v>1.0348096567210044E-2</v>
      </c>
      <c r="H138" s="50" cm="1">
        <f t="array" ref="H138">IF(H136=0,"-",
(H136+H137)*Calc_ROM_1[Citipower])</f>
        <v>8.9197300133151865E-3</v>
      </c>
      <c r="I138" s="50" cm="1">
        <f t="array" ref="I138">IF(I136=0,"-",
(I136+I137)*Calc_ROM_1[Jemena])</f>
        <v>9.6551970351779256E-3</v>
      </c>
      <c r="J138" s="50" cm="1">
        <f t="array" ref="J138">IF(J136=0,"-",
(J136+J137)*Calc_ROM_1[Powercor])</f>
        <v>9.8371591975499797E-3</v>
      </c>
      <c r="K138" s="50" cm="1">
        <f t="array" ref="K138">IF(K136=0,"-",
(K136+K137)*Calc_ROM_1[United Energy])</f>
        <v>9.4627195850166806E-3</v>
      </c>
    </row>
    <row r="139" spans="1:11" outlineLevel="1" x14ac:dyDescent="0.25">
      <c r="C139" s="14" t="s">
        <v>366</v>
      </c>
      <c r="D139" s="14" t="s">
        <v>64</v>
      </c>
      <c r="E139" s="14" t="s">
        <v>75</v>
      </c>
      <c r="F139" s="14" t="s">
        <v>73</v>
      </c>
      <c r="G139" s="50">
        <f>IF(G136=0,"-",
(G136+G137+G138)*GST)</f>
        <v>1.9513553526738944E-2</v>
      </c>
      <c r="H139" s="50">
        <f>IF(H136=0,"-",
(H136+H137+H138)*GST)</f>
        <v>1.6820062310822923E-2</v>
      </c>
      <c r="I139" s="50">
        <f>IF(I136=0,"-",
(I136+I137+I138)*GST)</f>
        <v>1.820694298062123E-2</v>
      </c>
      <c r="J139" s="50">
        <f>IF(J136=0,"-",
(J136+J137+J138)*GST)</f>
        <v>1.8550071629665679E-2</v>
      </c>
      <c r="K139" s="50">
        <f>IF(K136=0,"-",
(K136+K137+K138)*GST)</f>
        <v>1.7843985503174311E-2</v>
      </c>
    </row>
    <row r="140" spans="1:11" outlineLevel="1" x14ac:dyDescent="0.25">
      <c r="C140" s="14" t="str">
        <f>C135&amp;" charge"</f>
        <v>Off peak charge</v>
      </c>
      <c r="D140" s="14" t="s">
        <v>64</v>
      </c>
      <c r="E140" s="14" t="s">
        <v>75</v>
      </c>
      <c r="F140" s="14" t="s">
        <v>73</v>
      </c>
      <c r="G140" s="51">
        <f>IF(G136=0,"-",
SUM(G136:G139))</f>
        <v>0.21464908879412836</v>
      </c>
      <c r="H140" s="51">
        <f>IF(H136=0,"-",
SUM(H136:H139))</f>
        <v>0.18502068541905214</v>
      </c>
      <c r="I140" s="51">
        <f>IF(I136=0,"-",
SUM(I136:I139))</f>
        <v>0.20027637278683352</v>
      </c>
      <c r="J140" s="51">
        <f>IF(J136=0,"-",
SUM(J136:J139))</f>
        <v>0.20405078792632245</v>
      </c>
      <c r="K140" s="51">
        <f>IF(K136=0,"-",
SUM(K136:K139))</f>
        <v>0.19628384053491743</v>
      </c>
    </row>
    <row r="141" spans="1:11" outlineLevel="1" x14ac:dyDescent="0.25">
      <c r="G141" s="79" cm="1">
        <f t="array" ref="G141">IF(G140="-","-",
IF(ROUND(G140,8)=ROUND((((
SUMIFS(Calc_Variable_1[Ausnet],Calc_Variable_1[[Customer type]:[Customer type]],Calc_Rates!$F140)+
SUMIFS(Calc_Variable_1[Ausnet],Calc_Variable_1[[Customer type]:[Customer type]],"All")+G136)*(1+Calc_ROM_1[Ausnet]))*(1+GST)),8),0,1))</f>
        <v>0</v>
      </c>
      <c r="H141" s="79" cm="1">
        <f t="array" ref="H141">IF(H140="-","-",
IF(ROUND(H140,8)=ROUND((((
SUMIFS(Calc_Variable_1[Citipower],Calc_Variable_1[[Customer type]:[Customer type]],Calc_Rates!$F140)+
SUMIFS(Calc_Variable_1[Citipower],Calc_Variable_1[[Customer type]:[Customer type]],"All")+H136)*(1+Calc_ROM_1[Citipower]))*(1+GST)),8),0,1))</f>
        <v>0</v>
      </c>
      <c r="I141" s="79" cm="1">
        <f t="array" ref="I141">IF(I140="-","-",
IF(ROUND(I140,8)=ROUND((((
SUMIFS(Calc_Variable_1[Jemena],Calc_Variable_1[[Customer type]:[Customer type]],Calc_Rates!$F140)+
SUMIFS(Calc_Variable_1[Jemena],Calc_Variable_1[[Customer type]:[Customer type]],"All")+I136)*(1+Calc_ROM_1[Jemena]))*(1+GST)),8),0,1))</f>
        <v>0</v>
      </c>
      <c r="J141" s="79" cm="1">
        <f t="array" ref="J141">IF(J140="-","-",
IF(ROUND(J140,8)=ROUND((((
SUMIFS(Calc_Variable_1[Powercor],Calc_Variable_1[[Customer type]:[Customer type]],Calc_Rates!$F140)+
SUMIFS(Calc_Variable_1[Powercor],Calc_Variable_1[[Customer type]:[Customer type]],"All")+J136)*(1+Calc_ROM_1[Powercor]))*(1+GST)),8),0,1))</f>
        <v>0</v>
      </c>
      <c r="K141" s="79" cm="1">
        <f t="array" ref="K141">IF(K140="-","-",
IF(ROUND(K140,8)=ROUND((((
SUMIFS(Calc_Variable_1[United Energy],Calc_Variable_1[[Customer type]:[Customer type]],Calc_Rates!$F140)+
SUMIFS(Calc_Variable_1[United Energy],Calc_Variable_1[[Customer type]:[Customer type]],"All")+K136)*(1+Calc_ROM_1[United Energy]))*(1+GST)),8),0,1))</f>
        <v>0</v>
      </c>
    </row>
    <row r="143" spans="1:11" ht="16.5" thickBot="1" x14ac:dyDescent="0.3">
      <c r="B143" s="155">
        <f ca="1">MAX(B$3:B142)+0.01</f>
        <v>13.02</v>
      </c>
      <c r="C143" s="19" t="s">
        <v>377</v>
      </c>
      <c r="D143" s="19"/>
      <c r="E143" s="19"/>
      <c r="F143" s="19"/>
      <c r="G143" s="19"/>
      <c r="H143" s="19"/>
      <c r="I143" s="19"/>
      <c r="J143" s="19"/>
      <c r="K143" s="19"/>
    </row>
    <row r="144" spans="1:11" outlineLevel="1" x14ac:dyDescent="0.25"/>
    <row r="145" spans="3:10" ht="15.75" outlineLevel="1" x14ac:dyDescent="0.25">
      <c r="C145" s="20" t="s">
        <v>31</v>
      </c>
    </row>
    <row r="146" spans="3:10" ht="15.75" outlineLevel="1" x14ac:dyDescent="0.25">
      <c r="C146" s="36" t="s">
        <v>378</v>
      </c>
      <c r="D146" s="52">
        <f>IFERROR(INDEX(Input_CPI[Indice],MATCH($D$5,Input_CPI[Decision paper],0),1),"-")</f>
        <v>137.4</v>
      </c>
    </row>
    <row r="147" spans="3:10" ht="15.75" outlineLevel="1" x14ac:dyDescent="0.25">
      <c r="C147" s="20"/>
    </row>
    <row r="148" spans="3:10" ht="15.75" outlineLevel="1" x14ac:dyDescent="0.25">
      <c r="C148" s="30" t="s">
        <v>51</v>
      </c>
      <c r="D148" s="30" t="s">
        <v>114</v>
      </c>
      <c r="E148" s="30" t="s">
        <v>62</v>
      </c>
      <c r="F148" s="30" t="s">
        <v>63</v>
      </c>
      <c r="G148" s="30" t="s">
        <v>379</v>
      </c>
      <c r="H148" s="40" t="s">
        <v>380</v>
      </c>
      <c r="I148" s="40" t="s">
        <v>381</v>
      </c>
    </row>
    <row r="149" spans="3:10" outlineLevel="1" x14ac:dyDescent="0.25">
      <c r="C149" s="14" t="s">
        <v>137</v>
      </c>
      <c r="D149" s="14"/>
      <c r="E149" s="14" t="str">
        <f>INDEX(Input_ForRateCalc[Unit],MATCH(Calc_CPI_1[[#This Row],[Cost item]],Input_ForRateCalc[Cost item],0),1)</f>
        <v>$</v>
      </c>
      <c r="F149" s="14" t="str">
        <f>INDEX(Input_ForRateCalc[Customer type],MATCH(Calc_CPI_1[[#This Row],[Cost item]],Input_ForRateCalc[Cost item],0),1)</f>
        <v>All</v>
      </c>
      <c r="G149" s="14" t="str">
        <f>INDEX(Input_CostItemCPI[],MATCH(Calc_CPI_1[[#This Row],[Cost item]],Input_CostItemCPI[Cost item],0),MATCH($D$5,Input_CostItemCPI[#Headers],0))</f>
        <v>Yes</v>
      </c>
      <c r="H149" s="152" cm="1">
        <f t="array" ref="H149">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2.7673896783844559E-2</v>
      </c>
      <c r="I149" s="41" cm="1">
        <f t="array" ref="I149">IFERROR((H149)*
INDEX(Input_ForRateCalc[],MATCH(Calc_CPI_1[[#This Row],[Cost item]:[Cost item]],Input_ForRateCalc[Cost item],0),MATCH($D$5,Inputs!$C$15:$AZ$15,0)),"-")</f>
        <v>3.780432940109383</v>
      </c>
    </row>
    <row r="150" spans="3:10" outlineLevel="1" x14ac:dyDescent="0.25">
      <c r="C150" s="14" t="s">
        <v>143</v>
      </c>
      <c r="D150" s="14"/>
      <c r="E150" s="14" t="str">
        <f>INDEX(Input_ForRateCalc[Unit],MATCH(Calc_CPI_1[[#This Row],[Cost item]],Input_ForRateCalc[Cost item],0),1)</f>
        <v>$</v>
      </c>
      <c r="F150" s="14" t="str">
        <f>INDEX(Input_ForRateCalc[Customer type],MATCH(Calc_CPI_1[[#This Row],[Cost item]],Input_ForRateCalc[Cost item],0),1)</f>
        <v>All</v>
      </c>
      <c r="G150" s="14" t="str">
        <f>INDEX(Input_CostItemCPI[],MATCH(Calc_CPI_1[[#This Row],[Cost item]],Input_CostItemCPI[Cost item],0),MATCH($D$5,Input_CostItemCPI[#Headers],0))</f>
        <v>No</v>
      </c>
      <c r="H150" s="152" cm="1">
        <f t="array" ref="H150">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0" s="41" cm="1">
        <f t="array" ref="I150">IFERROR((H150)*
INDEX(Input_ForRateCalc[],MATCH(Calc_CPI_1[[#This Row],[Cost item]:[Cost item]],Input_ForRateCalc[Cost item],0),MATCH($D$5,Inputs!$C$15:$AZ$15,0)),"-")</f>
        <v>0</v>
      </c>
      <c r="J150" t="s">
        <v>382</v>
      </c>
    </row>
    <row r="151" spans="3:10" outlineLevel="1" x14ac:dyDescent="0.25">
      <c r="C151" s="14" t="s">
        <v>144</v>
      </c>
      <c r="D151" s="14"/>
      <c r="E151" s="14" t="str">
        <f>INDEX(Input_ForRateCalc[Unit],MATCH(Calc_CPI_1[[#This Row],[Cost item]],Input_ForRateCalc[Cost item],0),1)</f>
        <v>$</v>
      </c>
      <c r="F151" s="14" t="str">
        <f>INDEX(Input_ForRateCalc[Customer type],MATCH(Calc_CPI_1[[#This Row],[Cost item]],Input_ForRateCalc[Cost item],0),1)</f>
        <v>All</v>
      </c>
      <c r="G151" s="14" t="str">
        <f>INDEX(Input_CostItemCPI[],MATCH(Calc_CPI_1[[#This Row],[Cost item]],Input_CostItemCPI[Cost item],0),MATCH($D$5,Input_CostItemCPI[#Headers],0))</f>
        <v>Yes</v>
      </c>
      <c r="H151" s="152" cm="1">
        <f t="array" ref="H151">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0.19686411149825792</v>
      </c>
      <c r="I151" s="41" cm="1">
        <f t="array" ref="I151">IFERROR((H151)*
INDEX(Input_ForRateCalc[],MATCH(Calc_CPI_1[[#This Row],[Cost item]:[Cost item]],Input_ForRateCalc[Cost item],0),MATCH($D$5,Inputs!$C$15:$AZ$15,0)),"-")</f>
        <v>7.4808362369338006</v>
      </c>
    </row>
    <row r="152" spans="3:10" outlineLevel="1" x14ac:dyDescent="0.25">
      <c r="C152" s="14" t="s">
        <v>146</v>
      </c>
      <c r="D152" s="14"/>
      <c r="E152" s="14" t="str">
        <f>INDEX(Input_ForRateCalc[Unit],MATCH(Calc_CPI_1[[#This Row],[Cost item]],Input_ForRateCalc[Cost item],0),1)</f>
        <v>$/MWh</v>
      </c>
      <c r="F152" s="14" t="str">
        <f>INDEX(Input_ForRateCalc[Customer type],MATCH(Calc_CPI_1[[#This Row],[Cost item]],Input_ForRateCalc[Cost item],0),1)</f>
        <v>All</v>
      </c>
      <c r="G152" s="14" t="str">
        <f>INDEX(Input_CostItemCPI[],MATCH(Calc_CPI_1[[#This Row],[Cost item]],Input_CostItemCPI[Cost item],0),MATCH($D$5,Input_CostItemCPI[#Headers],0))</f>
        <v>No</v>
      </c>
      <c r="H152" s="152" cm="1">
        <f t="array" ref="H152">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2" s="41" cm="1">
        <f t="array" ref="I152">IFERROR((H152)*
INDEX(Input_ForRateCalc[],MATCH(Calc_CPI_1[[#This Row],[Cost item]:[Cost item]],Input_ForRateCalc[Cost item],0),MATCH($D$5,Inputs!$C$15:$AZ$15,0)),"-")</f>
        <v>0</v>
      </c>
    </row>
    <row r="153" spans="3:10" outlineLevel="1" x14ac:dyDescent="0.25">
      <c r="C153" s="14" t="s">
        <v>148</v>
      </c>
      <c r="D153" s="14"/>
      <c r="E153" s="14" t="str">
        <f>INDEX(Input_ForRateCalc[Unit],MATCH(Calc_CPI_1[[#This Row],[Cost item]],Input_ForRateCalc[Cost item],0),1)</f>
        <v>$</v>
      </c>
      <c r="F153" s="14" t="str">
        <f>INDEX(Input_ForRateCalc[Customer type],MATCH(Calc_CPI_1[[#This Row],[Cost item]],Input_ForRateCalc[Cost item],0),1)</f>
        <v>All</v>
      </c>
      <c r="G153" s="14" t="str">
        <f>INDEX(Input_CostItemCPI[],MATCH(Calc_CPI_1[[#This Row],[Cost item]],Input_CostItemCPI[Cost item],0),MATCH($D$5,Input_CostItemCPI[#Headers],0))</f>
        <v>Yes</v>
      </c>
      <c r="H153" s="152" cm="1">
        <f t="array" ref="H153">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2.7673896783844559E-2</v>
      </c>
      <c r="I153" s="41" cm="1">
        <f t="array" ref="I153">IFERROR((H153)*
INDEX(Input_ForRateCalc[],MATCH(Calc_CPI_1[[#This Row],[Cost item]:[Cost item]],Input_ForRateCalc[Cost item],0),MATCH($D$5,Inputs!$C$15:$AZ$15,0)),"-")</f>
        <v>5.8457196950505254E-2</v>
      </c>
    </row>
    <row r="154" spans="3:10" outlineLevel="1" x14ac:dyDescent="0.25">
      <c r="C154" s="39" t="s">
        <v>150</v>
      </c>
      <c r="D154" s="14"/>
      <c r="E154" s="14" t="str">
        <f>INDEX(Input_ForRateCalc[Unit],MATCH(Calc_CPI_1[[#This Row],[Cost item]],Input_ForRateCalc[Cost item],0),1)</f>
        <v>$/week</v>
      </c>
      <c r="F154" s="14" t="str">
        <f>INDEX(Input_ForRateCalc[Customer type],MATCH(Calc_CPI_1[[#This Row],[Cost item]],Input_ForRateCalc[Cost item],0),1)</f>
        <v>All</v>
      </c>
      <c r="G154" s="14" t="str">
        <f>INDEX(Input_CostItemCPI[],MATCH(Calc_CPI_1[[#This Row],[Cost item]],Input_CostItemCPI[Cost item],0),MATCH($D$5,Input_CostItemCPI[#Headers],0))</f>
        <v>No</v>
      </c>
      <c r="H154" s="152" cm="1">
        <f t="array" ref="H154">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4" s="41" cm="1">
        <f t="array" ref="I154">IFERROR((H154)*
INDEX(Input_ForRateCalc[],MATCH(Calc_CPI_1[[#This Row],[Cost item]:[Cost item]],Input_ForRateCalc[Cost item],0),MATCH($D$5,Inputs!$C$15:$AZ$15,0)),"-")</f>
        <v>0</v>
      </c>
    </row>
    <row r="155" spans="3:10" outlineLevel="1" x14ac:dyDescent="0.25">
      <c r="C155" s="31" t="s">
        <v>152</v>
      </c>
      <c r="D155" s="14"/>
      <c r="E155" s="14" t="str">
        <f>INDEX(Input_ForRateCalc[Unit],MATCH(Calc_CPI_1[[#This Row],[Cost item]],Input_ForRateCalc[Cost item],0),1)</f>
        <v>$/week</v>
      </c>
      <c r="F155" s="14" t="str">
        <f>INDEX(Input_ForRateCalc[Customer type],MATCH(Calc_CPI_1[[#This Row],[Cost item]],Input_ForRateCalc[Cost item],0),1)</f>
        <v>All</v>
      </c>
      <c r="G155" s="14" t="str">
        <f>INDEX(Input_CostItemCPI[],MATCH(Calc_CPI_1[[#This Row],[Cost item]],Input_CostItemCPI[Cost item],0),MATCH($D$5,Input_CostItemCPI[#Headers],0))</f>
        <v>No</v>
      </c>
      <c r="H155" s="152" cm="1">
        <f t="array" ref="H155">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5" s="41" cm="1">
        <f t="array" ref="I155">IFERROR((H155)*
INDEX(Input_ForRateCalc[],MATCH(Calc_CPI_1[[#This Row],[Cost item]:[Cost item]],Input_ForRateCalc[Cost item],0),MATCH($D$5,Inputs!$C$15:$AZ$15,0)),"-")</f>
        <v>0</v>
      </c>
    </row>
    <row r="156" spans="3:10" outlineLevel="1" x14ac:dyDescent="0.25">
      <c r="C156" s="31" t="s">
        <v>214</v>
      </c>
      <c r="D156" s="14"/>
      <c r="E156" s="14" t="str">
        <f>INDEX(Input_ForRateCalc[Unit],MATCH(Calc_CPI_1[[#This Row],[Cost item]],Input_ForRateCalc[Cost item],0),1)</f>
        <v>$/MWh</v>
      </c>
      <c r="F156" s="14" t="str">
        <f>INDEX(Input_ForRateCalc[Customer type],MATCH(Calc_CPI_1[[#This Row],[Cost item]],Input_ForRateCalc[Cost item],0),1)</f>
        <v>All</v>
      </c>
      <c r="G156" s="14" t="str">
        <f>INDEX(Input_CostItemCPI[],MATCH(Calc_CPI_1[[#This Row],[Cost item]],Input_CostItemCPI[Cost item],0),MATCH($D$5,Input_CostItemCPI[#Headers],0))</f>
        <v>No</v>
      </c>
      <c r="H156" s="152" cm="1">
        <f t="array" ref="H156">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6" s="41" cm="1">
        <f t="array" ref="I156">IFERROR((H156)*
INDEX(Input_ForRateCalc[],MATCH(Calc_CPI_1[[#This Row],[Cost item]:[Cost item]],Input_ForRateCalc[Cost item],0),MATCH($D$5,Inputs!$C$15:$AZ$15,0)),"-")</f>
        <v>0</v>
      </c>
    </row>
    <row r="157" spans="3:10" outlineLevel="1" x14ac:dyDescent="0.25">
      <c r="C157" s="14" t="s">
        <v>218</v>
      </c>
      <c r="D157" s="14"/>
      <c r="E157" s="14" t="str">
        <f>INDEX(Input_ForRateCalc[Unit],MATCH(Calc_CPI_1[[#This Row],[Cost item]],Input_ForRateCalc[Cost item],0),1)</f>
        <v>$/MWh</v>
      </c>
      <c r="F157" s="14" t="str">
        <f>INDEX(Input_ForRateCalc[Customer type],MATCH(Calc_CPI_1[[#This Row],[Cost item]],Input_ForRateCalc[Cost item],0),1)</f>
        <v>All</v>
      </c>
      <c r="G157" s="14" t="str">
        <f>INDEX(Input_CostItemCPI[],MATCH(Calc_CPI_1[[#This Row],[Cost item]],Input_CostItemCPI[Cost item],0),MATCH($D$5,Input_CostItemCPI[#Headers],0))</f>
        <v>No</v>
      </c>
      <c r="H157" s="152" cm="1">
        <f t="array" ref="H157">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7" s="41" cm="1">
        <f t="array" ref="I157">IFERROR((H157)*
INDEX(Input_ForRateCalc[],MATCH(Calc_CPI_1[[#This Row],[Cost item]:[Cost item]],Input_ForRateCalc[Cost item],0),MATCH($D$5,Inputs!$C$15:$AZ$15,0)),"-")</f>
        <v>0</v>
      </c>
    </row>
    <row r="158" spans="3:10" outlineLevel="1" x14ac:dyDescent="0.25">
      <c r="C158" s="14" t="s">
        <v>219</v>
      </c>
      <c r="D158" s="14"/>
      <c r="E158" s="14" t="str">
        <f>INDEX(Input_ForRateCalc[Unit],MATCH(Calc_CPI_1[[#This Row],[Cost item]],Input_ForRateCalc[Cost item],0),1)</f>
        <v>$/MWh</v>
      </c>
      <c r="F158" s="14" t="str">
        <f>INDEX(Input_ForRateCalc[Customer type],MATCH(Calc_CPI_1[[#This Row],[Cost item]],Input_ForRateCalc[Cost item],0),1)</f>
        <v>All</v>
      </c>
      <c r="G158" s="14" t="str">
        <f>INDEX(Input_CostItemCPI[],MATCH(Calc_CPI_1[[#This Row],[Cost item]],Input_CostItemCPI[Cost item],0),MATCH($D$5,Input_CostItemCPI[#Headers],0))</f>
        <v>No</v>
      </c>
      <c r="H158" s="152" cm="1">
        <f t="array" ref="H158">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8" s="41" cm="1">
        <f t="array" ref="I158">IFERROR((H158)*
INDEX(Input_ForRateCalc[],MATCH(Calc_CPI_1[[#This Row],[Cost item]:[Cost item]],Input_ForRateCalc[Cost item],0),MATCH($D$5,Inputs!$C$15:$AZ$15,0)),"-")</f>
        <v>0</v>
      </c>
    </row>
    <row r="159" spans="3:10" outlineLevel="1" x14ac:dyDescent="0.25">
      <c r="C159" s="39" t="s">
        <v>153</v>
      </c>
      <c r="D159" s="14"/>
      <c r="E159" s="14" t="str">
        <f>INDEX(Input_ForRateCalc[Unit],MATCH(Calc_CPI_1[[#This Row],[Cost item]],Input_ForRateCalc[Cost item],0),1)</f>
        <v>$/week</v>
      </c>
      <c r="F159" s="14" t="str">
        <f>INDEX(Input_ForRateCalc[Customer type],MATCH(Calc_CPI_1[[#This Row],[Cost item]],Input_ForRateCalc[Cost item],0),1)</f>
        <v>All</v>
      </c>
      <c r="G159" s="14" t="str">
        <f>INDEX(Input_CostItemCPI[],MATCH(Calc_CPI_1[[#This Row],[Cost item]],Input_CostItemCPI[Cost item],0),MATCH($D$5,Input_CostItemCPI[#Headers],0))</f>
        <v>No</v>
      </c>
      <c r="H159" s="152" cm="1">
        <f t="array" ref="H159">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59" s="41" cm="1">
        <f t="array" ref="I159">IFERROR((H159)*
INDEX(Input_ForRateCalc[],MATCH(Calc_CPI_1[[#This Row],[Cost item]:[Cost item]],Input_ForRateCalc[Cost item],0),MATCH($D$5,Inputs!$C$15:$AZ$15,0)),"-")</f>
        <v>0</v>
      </c>
    </row>
    <row r="160" spans="3:10" outlineLevel="1" x14ac:dyDescent="0.25">
      <c r="C160" s="39" t="s">
        <v>154</v>
      </c>
      <c r="D160" s="14"/>
      <c r="E160" s="14" t="str">
        <f>INDEX(Input_ForRateCalc[Unit],MATCH(Calc_CPI_1[[#This Row],[Cost item]],Input_ForRateCalc[Cost item],0),1)</f>
        <v>$/week</v>
      </c>
      <c r="F160" s="14" t="str">
        <f>INDEX(Input_ForRateCalc[Customer type],MATCH(Calc_CPI_1[[#This Row],[Cost item]],Input_ForRateCalc[Cost item],0),1)</f>
        <v>All</v>
      </c>
      <c r="G160" s="14" t="str">
        <f>INDEX(Input_CostItemCPI[],MATCH(Calc_CPI_1[[#This Row],[Cost item]],Input_CostItemCPI[Cost item],0),MATCH($D$5,Input_CostItemCPI[#Headers],0))</f>
        <v>No</v>
      </c>
      <c r="H160" s="152" cm="1">
        <f t="array" ref="H160">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0" s="41" cm="1">
        <f t="array" ref="I160">IFERROR((H160)*
INDEX(Input_ForRateCalc[],MATCH(Calc_CPI_1[[#This Row],[Cost item]:[Cost item]],Input_ForRateCalc[Cost item],0),MATCH($D$5,Inputs!$C$15:$AZ$15,0)),"-")</f>
        <v>0</v>
      </c>
    </row>
    <row r="161" spans="1:11" outlineLevel="1" x14ac:dyDescent="0.25">
      <c r="C161" s="14" t="s">
        <v>155</v>
      </c>
      <c r="D161" s="14"/>
      <c r="E161" s="14" t="str">
        <f>INDEX(Input_ForRateCalc[Unit],MATCH(Calc_CPI_1[[#This Row],[Cost item]],Input_ForRateCalc[Cost item],0),1)</f>
        <v>$/week</v>
      </c>
      <c r="F161" s="14" t="str">
        <f>INDEX(Input_ForRateCalc[Customer type],MATCH(Calc_CPI_1[[#This Row],[Cost item]],Input_ForRateCalc[Cost item],0),1)</f>
        <v>All</v>
      </c>
      <c r="G161" s="14" t="str">
        <f>INDEX(Input_CostItemCPI[],MATCH(Calc_CPI_1[[#This Row],[Cost item]],Input_CostItemCPI[Cost item],0),MATCH($D$5,Input_CostItemCPI[#Headers],0))</f>
        <v>No</v>
      </c>
      <c r="H161" s="152" cm="1">
        <f t="array" ref="H161">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1" s="41" cm="1">
        <f t="array" ref="I161">IFERROR((H161)*
INDEX(Input_ForRateCalc[],MATCH(Calc_CPI_1[[#This Row],[Cost item]:[Cost item]],Input_ForRateCalc[Cost item],0),MATCH($D$5,Inputs!$C$15:$AZ$15,0)),"-")</f>
        <v>0</v>
      </c>
    </row>
    <row r="162" spans="1:11" outlineLevel="1" x14ac:dyDescent="0.25">
      <c r="C162" s="39" t="s">
        <v>221</v>
      </c>
      <c r="D162" s="14"/>
      <c r="E162" s="14" t="str">
        <f>INDEX(Input_ForRateCalc[Unit],MATCH(Calc_CPI_1[[#This Row],[Cost item]],Input_ForRateCalc[Cost item],0),1)</f>
        <v>$/MWh</v>
      </c>
      <c r="F162" s="14" t="str">
        <f>INDEX(Input_ForRateCalc[Customer type],MATCH(Calc_CPI_1[[#This Row],[Cost item]],Input_ForRateCalc[Cost item],0),1)</f>
        <v>All</v>
      </c>
      <c r="G162" s="14" t="str">
        <f>INDEX(Input_CostItemCPI[],MATCH(Calc_CPI_1[[#This Row],[Cost item]],Input_CostItemCPI[Cost item],0),MATCH($D$5,Input_CostItemCPI[#Headers],0))</f>
        <v>No</v>
      </c>
      <c r="H162" s="152" cm="1">
        <f t="array" ref="H162">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2" s="41" cm="1">
        <f t="array" ref="I162">IFERROR((H162)*
INDEX(Input_ForRateCalc[],MATCH(Calc_CPI_1[[#This Row],[Cost item]:[Cost item]],Input_ForRateCalc[Cost item],0),MATCH($D$5,Inputs!$C$15:$AZ$15,0)),"-")</f>
        <v>0</v>
      </c>
    </row>
    <row r="163" spans="1:11" outlineLevel="1" x14ac:dyDescent="0.25">
      <c r="C163" s="39" t="s">
        <v>222</v>
      </c>
      <c r="D163" s="14"/>
      <c r="E163" s="14" t="str">
        <f>INDEX(Input_ForRateCalc[Unit],MATCH(Calc_CPI_1[[#This Row],[Cost item]],Input_ForRateCalc[Cost item],0),1)</f>
        <v>$/MWh</v>
      </c>
      <c r="F163" s="14" t="str">
        <f>INDEX(Input_ForRateCalc[Customer type],MATCH(Calc_CPI_1[[#This Row],[Cost item]],Input_ForRateCalc[Cost item],0),1)</f>
        <v>All</v>
      </c>
      <c r="G163" s="14" t="str">
        <f>INDEX(Input_CostItemCPI[],MATCH(Calc_CPI_1[[#This Row],[Cost item]],Input_CostItemCPI[Cost item],0),MATCH($D$5,Input_CostItemCPI[#Headers],0))</f>
        <v>No</v>
      </c>
      <c r="H163" s="152" cm="1">
        <f t="array" ref="H163">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3" s="41" cm="1">
        <f t="array" ref="I163">IFERROR((H163)*
INDEX(Input_ForRateCalc[],MATCH(Calc_CPI_1[[#This Row],[Cost item]:[Cost item]],Input_ForRateCalc[Cost item],0),MATCH($D$5,Inputs!$C$15:$AZ$15,0)),"-")</f>
        <v>0</v>
      </c>
    </row>
    <row r="164" spans="1:11" outlineLevel="1" x14ac:dyDescent="0.25">
      <c r="C164" s="39" t="s">
        <v>223</v>
      </c>
      <c r="D164" s="14"/>
      <c r="E164" s="14" t="str">
        <f>INDEX(Input_ForRateCalc[Unit],MATCH(Calc_CPI_1[[#This Row],[Cost item]],Input_ForRateCalc[Cost item],0),1)</f>
        <v>$/MWh</v>
      </c>
      <c r="F164" s="14" t="str">
        <f>INDEX(Input_ForRateCalc[Customer type],MATCH(Calc_CPI_1[[#This Row],[Cost item]],Input_ForRateCalc[Cost item],0),1)</f>
        <v>All</v>
      </c>
      <c r="G164" s="14" t="str">
        <f>INDEX(Input_CostItemCPI[],MATCH(Calc_CPI_1[[#This Row],[Cost item]],Input_CostItemCPI[Cost item],0),MATCH($D$5,Input_CostItemCPI[#Headers],0))</f>
        <v>No</v>
      </c>
      <c r="H164" s="152" cm="1">
        <f t="array" ref="H164">IF(Calc_CPI_1[[#This Row],[Adjust?]]="No",0,
IFERROR(
($D$146-
INDEX(CPI[Indice],MATCH(
INDEX(Input_ForRateCalc[],MATCH(Calc_CPI_1[[#This Row],[Cost item]:[Cost item]],Input_ForRateCalc[Cost item],0),MATCH($D$5&amp;" - input date",Inputs!C$15:AZ$15,0)),
CPI[Period],0),1))/
INDEX(CPI[Indice],MATCH(
INDEX(Input_ForRateCalc[],MATCH(Calc_CPI_1[[#This Row],[Cost item]:[Cost item]],Input_ForRateCalc[Cost item],0),MATCH($D$5&amp;" - input date",Inputs!C$15:AZ$15,0)),
CPI[Period],0),1),"-"))</f>
        <v>0</v>
      </c>
      <c r="I164" s="41" cm="1">
        <f t="array" ref="I164">IFERROR((H164)*
INDEX(Input_ForRateCalc[],MATCH(Calc_CPI_1[[#This Row],[Cost item]:[Cost item]],Input_ForRateCalc[Cost item],0),MATCH($D$5,Inputs!$C$15:$AZ$15,0)),"-")</f>
        <v>0</v>
      </c>
    </row>
    <row r="165" spans="1:11" outlineLevel="1" x14ac:dyDescent="0.25"/>
    <row r="166" spans="1:11" ht="15.75" outlineLevel="1" x14ac:dyDescent="0.25">
      <c r="C166" s="20" t="s">
        <v>372</v>
      </c>
    </row>
    <row r="167" spans="1:11" ht="15.75" outlineLevel="1" x14ac:dyDescent="0.25">
      <c r="C167" s="30" t="s">
        <v>51</v>
      </c>
      <c r="D167" s="30" t="s">
        <v>114</v>
      </c>
      <c r="E167" s="30" t="s">
        <v>62</v>
      </c>
      <c r="F167" s="30" t="s">
        <v>63</v>
      </c>
      <c r="G167" s="40" t="s">
        <v>65</v>
      </c>
      <c r="H167" s="40" t="s">
        <v>66</v>
      </c>
      <c r="I167" s="40" t="s">
        <v>67</v>
      </c>
      <c r="J167" s="40" t="s">
        <v>68</v>
      </c>
      <c r="K167" s="40" t="s">
        <v>69</v>
      </c>
    </row>
    <row r="168" spans="1:11" outlineLevel="1" x14ac:dyDescent="0.25">
      <c r="C168" s="14" t="s">
        <v>383</v>
      </c>
      <c r="D168" s="14" t="s">
        <v>64</v>
      </c>
      <c r="E168" s="14" t="s">
        <v>264</v>
      </c>
      <c r="F168" s="14" t="s">
        <v>139</v>
      </c>
      <c r="G168" s="49" cm="1">
        <f t="array" ref="G168">IFERROR(INDEX(Input_ForRateCalc[],MATCH(Calc_Losses_1[[#This Row],[Cost item]:[Cost item]]&amp;" - "&amp;Calc_Losses_1[[#Headers],[Ausnet]],Input_ForRateCalc[[Cost item]:[Cost item]],0),MATCH($D$5,Inputs!$C$15:$AZ$15,0)),"-")</f>
        <v>1.0024692307692307</v>
      </c>
      <c r="H168" s="49" cm="1">
        <f t="array" ref="H168">IFERROR(INDEX(Input_ForRateCalc[],MATCH(Calc_Losses_1[[#This Row],[Cost item]:[Cost item]]&amp;" - "&amp;Calc_Losses_1[[#Headers],[Citipower]],Input_ForRateCalc[[Cost item]:[Cost item]],0),MATCH($D$5,Inputs!$C$15:$AZ$15,0)),"-")</f>
        <v>0.99983</v>
      </c>
      <c r="I168" s="49" cm="1">
        <f t="array" ref="I168">IFERROR(INDEX(Input_ForRateCalc[],MATCH(Calc_Losses_1[[#This Row],[Cost item]:[Cost item]]&amp;" - "&amp;Calc_Losses_1[[#Headers],[Jemena]],Input_ForRateCalc[[Cost item]:[Cost item]],0),MATCH($D$5,Inputs!$C$15:$AZ$15,0)),"-")</f>
        <v>1.00095</v>
      </c>
      <c r="J168" s="49" cm="1">
        <f t="array" ref="J168">IFERROR(INDEX(Input_ForRateCalc[],MATCH(Calc_Losses_1[[#This Row],[Cost item]:[Cost item]]&amp;" - "&amp;Calc_Losses_1[[#Headers],[Powercor]],Input_ForRateCalc[[Cost item]:[Cost item]],0),MATCH($D$5,Inputs!$C$15:$AZ$15,0)),"-")</f>
        <v>0.99005789473684214</v>
      </c>
      <c r="K168" s="49" cm="1">
        <f t="array" ref="K168">IFERROR(INDEX(Input_ForRateCalc[],MATCH(Calc_Losses_1[[#This Row],[Cost item]:[Cost item]]&amp;" - "&amp;Calc_Losses_1[[#Headers],[United Energy]],Input_ForRateCalc[[Cost item]:[Cost item]],0),MATCH($D$5,Inputs!$C$15:$AZ$15,0)),"-")</f>
        <v>0.99826363636363635</v>
      </c>
    </row>
    <row r="169" spans="1:11" outlineLevel="1" x14ac:dyDescent="0.25">
      <c r="C169" s="14" t="s">
        <v>384</v>
      </c>
      <c r="D169" s="14" t="s">
        <v>64</v>
      </c>
      <c r="E169" s="14" t="s">
        <v>264</v>
      </c>
      <c r="F169" s="14" t="s">
        <v>139</v>
      </c>
      <c r="G169" s="49" cm="1">
        <f t="array" ref="G169">IFERROR(INDEX(Input_ForRateCalc[],MATCH(Calc_Losses_1[[#This Row],[Cost item]:[Cost item]]&amp;" - "&amp;Calc_Losses_1[[#Headers],[Ausnet]],Input_ForRateCalc[[Cost item]:[Cost item]],0),MATCH($D$5,Inputs!$C$15:$AZ$15,0)),"-")</f>
        <v>1.0768609977153836</v>
      </c>
      <c r="H169" s="49" cm="1">
        <f t="array" ref="H169">IFERROR(INDEX(Input_ForRateCalc[],MATCH(Calc_Losses_1[[#This Row],[Cost item]:[Cost item]]&amp;" - "&amp;Calc_Losses_1[[#Headers],[Citipower]],Input_ForRateCalc[[Cost item]:[Cost item]],0),MATCH($D$5,Inputs!$C$15:$AZ$15,0)),"-")</f>
        <v>1.0434000000000001</v>
      </c>
      <c r="I169" s="49" cm="1">
        <f t="array" ref="I169">IFERROR(INDEX(Input_ForRateCalc[],MATCH(Calc_Losses_1[[#This Row],[Cost item]:[Cost item]]&amp;" - "&amp;Calc_Losses_1[[#Headers],[Jemena]],Input_ForRateCalc[[Cost item]:[Cost item]],0),MATCH($D$5,Inputs!$C$15:$AZ$15,0)),"-")</f>
        <v>1.0468</v>
      </c>
      <c r="J169" s="49" cm="1">
        <f t="array" ref="J169">IFERROR(INDEX(Input_ForRateCalc[],MATCH(Calc_Losses_1[[#This Row],[Cost item]:[Cost item]]&amp;" - "&amp;Calc_Losses_1[[#Headers],[Powercor]],Input_ForRateCalc[[Cost item]:[Cost item]],0),MATCH($D$5,Inputs!$C$15:$AZ$15,0)),"-")</f>
        <v>1.0756983799679434</v>
      </c>
      <c r="K169" s="49" cm="1">
        <f t="array" ref="K169">IFERROR(INDEX(Input_ForRateCalc[],MATCH(Calc_Losses_1[[#This Row],[Cost item]:[Cost item]]&amp;" - "&amp;Calc_Losses_1[[#Headers],[United Energy]],Input_ForRateCalc[[Cost item]:[Cost item]],0),MATCH($D$5,Inputs!$C$15:$AZ$15,0)),"-")</f>
        <v>1.0463</v>
      </c>
    </row>
    <row r="170" spans="1:11" outlineLevel="1" x14ac:dyDescent="0.25">
      <c r="C170" s="31" t="s">
        <v>385</v>
      </c>
      <c r="D170" s="14" t="s">
        <v>64</v>
      </c>
      <c r="E170" s="31" t="s">
        <v>264</v>
      </c>
      <c r="F170" s="14" t="s">
        <v>139</v>
      </c>
      <c r="G170" s="125">
        <f>(G168*G169)-1</f>
        <v>7.9520016025126816E-2</v>
      </c>
      <c r="H170" s="125">
        <f>(H168*H169)-1</f>
        <v>4.3222622000000044E-2</v>
      </c>
      <c r="I170" s="125">
        <f>(I168*I169)-1</f>
        <v>4.7794459999999983E-2</v>
      </c>
      <c r="J170" s="125">
        <f>(J168*J169)-1</f>
        <v>6.5003673442893595E-2</v>
      </c>
      <c r="K170" s="125">
        <f>(K168*K169)-1</f>
        <v>4.4483242727272776E-2</v>
      </c>
    </row>
    <row r="171" spans="1:11" outlineLevel="1" x14ac:dyDescent="0.25">
      <c r="B171"/>
    </row>
    <row r="172" spans="1:11" ht="15.75" outlineLevel="1" collapsed="1" x14ac:dyDescent="0.25">
      <c r="A172" s="1" t="s">
        <v>36</v>
      </c>
      <c r="C172" s="20" t="s">
        <v>263</v>
      </c>
    </row>
    <row r="173" spans="1:11" ht="15.75" outlineLevel="1" x14ac:dyDescent="0.25">
      <c r="C173" s="30" t="s">
        <v>51</v>
      </c>
      <c r="D173" s="30" t="s">
        <v>114</v>
      </c>
      <c r="E173" s="30" t="s">
        <v>62</v>
      </c>
      <c r="F173" s="30" t="s">
        <v>63</v>
      </c>
      <c r="G173" s="40" t="s">
        <v>65</v>
      </c>
      <c r="H173" s="40" t="s">
        <v>66</v>
      </c>
      <c r="I173" s="40" t="s">
        <v>67</v>
      </c>
      <c r="J173" s="40" t="s">
        <v>68</v>
      </c>
      <c r="K173" s="40" t="s">
        <v>69</v>
      </c>
    </row>
    <row r="174" spans="1:11" outlineLevel="1" x14ac:dyDescent="0.25">
      <c r="C174" s="14" t="s">
        <v>263</v>
      </c>
      <c r="D174" s="14" t="s">
        <v>64</v>
      </c>
      <c r="E174" s="14" t="s">
        <v>264</v>
      </c>
      <c r="F174" s="14" t="s">
        <v>139</v>
      </c>
      <c r="G174" s="60" cm="1">
        <f t="array" ref="G174">IFERROR(INDEX(Input_ForRateCalc[],MATCH(Calc_ROM_1[[#This Row],[Cost item]:[Cost item]],Input_ForRateCalc[[Cost item]:[Cost item]],0),MATCH($D$5,Inputs!$C$15:$AZ$15,0)),"-")</f>
        <v>5.6000000000000001E-2</v>
      </c>
      <c r="H174" s="60" cm="1">
        <f t="array" ref="H174">IFERROR(INDEX(Input_ForRateCalc[],MATCH(Calc_ROM_1[[#This Row],[Cost item]:[Cost item]],Input_ForRateCalc[[Cost item]:[Cost item]],0),MATCH($D$5,Inputs!$C$15:$AZ$15,0)),"-")</f>
        <v>5.6000000000000001E-2</v>
      </c>
      <c r="I174" s="60" cm="1">
        <f t="array" ref="I174">IFERROR(INDEX(Input_ForRateCalc[],MATCH(Calc_ROM_1[[#This Row],[Cost item]:[Cost item]],Input_ForRateCalc[[Cost item]:[Cost item]],0),MATCH($D$5,Inputs!$C$15:$AZ$15,0)),"-")</f>
        <v>5.6000000000000001E-2</v>
      </c>
      <c r="J174" s="60" cm="1">
        <f t="array" ref="J174">IFERROR(INDEX(Input_ForRateCalc[],MATCH(Calc_ROM_1[[#This Row],[Cost item]:[Cost item]],Input_ForRateCalc[[Cost item]:[Cost item]],0),MATCH($D$5,Inputs!$C$15:$AZ$15,0)),"-")</f>
        <v>5.6000000000000001E-2</v>
      </c>
      <c r="K174" s="60" cm="1">
        <f t="array" ref="K174">IFERROR(INDEX(Input_ForRateCalc[],MATCH(Calc_ROM_1[[#This Row],[Cost item]:[Cost item]],Input_ForRateCalc[[Cost item]:[Cost item]],0),MATCH($D$5,Inputs!$C$15:$AZ$15,0)),"-")</f>
        <v>5.6000000000000001E-2</v>
      </c>
    </row>
    <row r="175" spans="1:11" x14ac:dyDescent="0.25">
      <c r="B175"/>
    </row>
    <row r="176" spans="1:11" x14ac:dyDescent="0.25">
      <c r="C176" s="93"/>
      <c r="D176" s="93"/>
      <c r="E176" s="94"/>
      <c r="F176" s="93"/>
      <c r="G176" s="93"/>
      <c r="H176" s="93"/>
      <c r="I176" s="93"/>
      <c r="J176" s="93"/>
      <c r="K176" s="93"/>
    </row>
    <row r="177" spans="1:11" ht="16.5" thickBot="1" x14ac:dyDescent="0.3">
      <c r="B177" s="155">
        <f ca="1">MAX(B$3:B176)+0.01</f>
        <v>13.03</v>
      </c>
      <c r="C177" s="19" t="s">
        <v>386</v>
      </c>
      <c r="D177" s="19"/>
      <c r="E177" s="19"/>
      <c r="F177" s="19"/>
      <c r="G177" s="19"/>
      <c r="H177" s="19"/>
      <c r="I177" s="19"/>
      <c r="J177" s="19"/>
      <c r="K177" s="19"/>
    </row>
    <row r="178" spans="1:11" outlineLevel="1" x14ac:dyDescent="0.25"/>
    <row r="179" spans="1:11" ht="15.75" outlineLevel="1" collapsed="1" x14ac:dyDescent="0.25">
      <c r="A179" s="1" t="s">
        <v>36</v>
      </c>
      <c r="C179" s="30" t="s">
        <v>51</v>
      </c>
      <c r="D179" s="30" t="s">
        <v>114</v>
      </c>
      <c r="E179" s="30" t="s">
        <v>62</v>
      </c>
      <c r="F179" s="30" t="s">
        <v>63</v>
      </c>
      <c r="G179" s="40" t="s">
        <v>65</v>
      </c>
      <c r="H179" s="40" t="s">
        <v>66</v>
      </c>
      <c r="I179" s="40" t="s">
        <v>67</v>
      </c>
      <c r="J179" s="40" t="s">
        <v>68</v>
      </c>
      <c r="K179" s="40" t="s">
        <v>69</v>
      </c>
    </row>
    <row r="180" spans="1:11" outlineLevel="1" x14ac:dyDescent="0.25">
      <c r="C180" s="14" t="s">
        <v>387</v>
      </c>
      <c r="D180" s="14" t="s">
        <v>138</v>
      </c>
      <c r="E180" s="14" t="s">
        <v>71</v>
      </c>
      <c r="F180" s="14" t="s">
        <v>139</v>
      </c>
      <c r="G180" s="49" cm="1">
        <f t="array" ref="G180">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140.38688810027753</v>
      </c>
      <c r="H180" s="49" cm="1">
        <f t="array" ref="H180">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140.38688810027753</v>
      </c>
      <c r="I180" s="49" cm="1">
        <f t="array" ref="I180">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140.38688810027753</v>
      </c>
      <c r="J180" s="49" cm="1">
        <f t="array" ref="J180">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140.38688810027753</v>
      </c>
      <c r="K180" s="49" cm="1">
        <f t="array" ref="K180">IFERROR(
IFERROR(INDEX(Calc_CPI_1[[CPI uplift factor]:[CPI uplift factor]],MATCH(Calc_Retail_1[[#This Row],[Cost item]:[Cost item]]&amp;" - base",Calc_CPI_1[[Cost item]:[Cost item]],0),1),0)+
IFERROR(INDEX(Calc_CPI_1[[CPI uplift factor]:[CPI uplift factor]],MATCH(Calc_Retail_1[[#This Row],[Cost item]:[Cost item]]&amp;" - consumer data right allowance",Calc_CPI_1[[Cost item]:[Cost item]],0),1),0)+
INDEX(Input_ForRateCalc[],MATCH(Calc_Retail_1[[#This Row],[Cost item]:[Cost item]]&amp;" - base",Input_ForRateCalc[[Cost item]:[Cost item]],0),MATCH($D$5,Inputs!$C$15:$AZ$15,0))+
INDEX(Input_ForRateCalc[],MATCH(Calc_Retail_1[[#This Row],[Cost item]:[Cost item]]&amp;" - 5 min settlement allowance",Input_ForRateCalc[[Cost item]:[Cost item]],0),MATCH($D$5,Inputs!$C$15:$AZ$15,0))+
INDEX(Input_ForRateCalc[],MATCH(Calc_Retail_1[[#This Row],[Cost item]:[Cost item]]&amp;" - regulatory cost allowance",Input_ForRateCalc[[Cost item]:[Cost item]],0),MATCH($D$5,Inputs!$C$15:$AZ$15,0))+
INDEX(Input_ForRateCalc[],MATCH(Calc_Retail_1[[#This Row],[Cost item]:[Cost item]]&amp;" - consumer data right allowance",Input_ForRateCalc[[Cost item]:[Cost item]],0),MATCH($D$5,Inputs!$C$15:$AZ$15,0))+
INDEX(Input_ForRateCalc[],MATCH(Calc_Retail_1[[#This Row],[Cost item]:[Cost item]]&amp;" - bad debt allowance",Input_ForRateCalc[[Cost item]:[Cost item]],0),MATCH($D$5,Inputs!$C$15:$AZ$15,0)),"-")</f>
        <v>140.38688810027753</v>
      </c>
    </row>
    <row r="181" spans="1:11" outlineLevel="1" x14ac:dyDescent="0.25">
      <c r="C181" s="31" t="s">
        <v>144</v>
      </c>
      <c r="D181" s="31" t="s">
        <v>138</v>
      </c>
      <c r="E181" s="14" t="s">
        <v>71</v>
      </c>
      <c r="F181" s="14" t="s">
        <v>139</v>
      </c>
      <c r="G181" s="49" cm="1">
        <f t="array" ref="G181">IFERROR(
IFERROR(INDEX(Calc_CPI_1[[CPI uplift factor]:[CPI uplift factor]],MATCH(Calc_Retail_1[[#This Row],[Cost item]:[Cost item]],Calc_CPI_1[[Cost item]:[Cost item]],0),1),0)+
INDEX(Input_ForRateCalc[],MATCH(Calc_Retail_1[[#This Row],[Cost item]:[Cost item]],Input_ForRateCalc[[Cost item]:[Cost item]],0),MATCH($D$5,Inputs!$C$15:$AZ$15,0)),"-")</f>
        <v>45.480836236933797</v>
      </c>
      <c r="H181" s="49" cm="1">
        <f t="array" ref="H181">IFERROR(
IFERROR(INDEX(Calc_CPI_1[[CPI uplift factor]:[CPI uplift factor]],MATCH(Calc_Retail_1[[#This Row],[Cost item]:[Cost item]],Calc_CPI_1[[Cost item]:[Cost item]],0),1),0)+
INDEX(Input_ForRateCalc[],MATCH(Calc_Retail_1[[#This Row],[Cost item]:[Cost item]],Input_ForRateCalc[[Cost item]:[Cost item]],0),MATCH($D$5,Inputs!$C$15:$AZ$15,0)),"-")</f>
        <v>45.480836236933797</v>
      </c>
      <c r="I181" s="49" cm="1">
        <f t="array" ref="I181">IFERROR(
IFERROR(INDEX(Calc_CPI_1[[CPI uplift factor]:[CPI uplift factor]],MATCH(Calc_Retail_1[[#This Row],[Cost item]:[Cost item]],Calc_CPI_1[[Cost item]:[Cost item]],0),1),0)+
INDEX(Input_ForRateCalc[],MATCH(Calc_Retail_1[[#This Row],[Cost item]:[Cost item]],Input_ForRateCalc[[Cost item]:[Cost item]],0),MATCH($D$5,Inputs!$C$15:$AZ$15,0)),"-")</f>
        <v>45.480836236933797</v>
      </c>
      <c r="J181" s="49" cm="1">
        <f t="array" ref="J181">IFERROR(
IFERROR(INDEX(Calc_CPI_1[[CPI uplift factor]:[CPI uplift factor]],MATCH(Calc_Retail_1[[#This Row],[Cost item]:[Cost item]],Calc_CPI_1[[Cost item]:[Cost item]],0),1),0)+
INDEX(Input_ForRateCalc[],MATCH(Calc_Retail_1[[#This Row],[Cost item]:[Cost item]],Input_ForRateCalc[[Cost item]:[Cost item]],0),MATCH($D$5,Inputs!$C$15:$AZ$15,0)),"-")</f>
        <v>45.480836236933797</v>
      </c>
      <c r="K181" s="49" cm="1">
        <f t="array" ref="K181">IFERROR(
IFERROR(INDEX(Calc_CPI_1[[CPI uplift factor]:[CPI uplift factor]],MATCH(Calc_Retail_1[[#This Row],[Cost item]:[Cost item]],Calc_CPI_1[[Cost item]:[Cost item]],0),1),0)+
INDEX(Input_ForRateCalc[],MATCH(Calc_Retail_1[[#This Row],[Cost item]:[Cost item]],Input_ForRateCalc[[Cost item]:[Cost item]],0),MATCH($D$5,Inputs!$C$15:$AZ$15,0)),"-")</f>
        <v>45.480836236933797</v>
      </c>
    </row>
    <row r="183" spans="1:11" ht="16.5" thickBot="1" x14ac:dyDescent="0.3">
      <c r="B183" s="155">
        <f ca="1">MAX(B$3:B182)+0.01</f>
        <v>13.04</v>
      </c>
      <c r="C183" s="19" t="s">
        <v>147</v>
      </c>
      <c r="D183" s="19"/>
      <c r="E183" s="19"/>
      <c r="F183" s="19"/>
      <c r="G183" s="19"/>
      <c r="H183" s="19"/>
      <c r="I183" s="19"/>
      <c r="J183" s="19"/>
      <c r="K183" s="19"/>
    </row>
    <row r="184" spans="1:11" outlineLevel="1" x14ac:dyDescent="0.25"/>
    <row r="185" spans="1:11" ht="15.75" outlineLevel="1" x14ac:dyDescent="0.25">
      <c r="C185" s="30" t="s">
        <v>51</v>
      </c>
      <c r="D185" s="30" t="s">
        <v>114</v>
      </c>
      <c r="E185" s="30" t="s">
        <v>62</v>
      </c>
      <c r="F185" s="30" t="s">
        <v>63</v>
      </c>
      <c r="G185" s="40" t="s">
        <v>65</v>
      </c>
      <c r="H185" s="40" t="s">
        <v>66</v>
      </c>
      <c r="I185" s="40" t="s">
        <v>67</v>
      </c>
      <c r="J185" s="40" t="s">
        <v>68</v>
      </c>
      <c r="K185" s="40" t="s">
        <v>69</v>
      </c>
    </row>
    <row r="186" spans="1:11" outlineLevel="1" x14ac:dyDescent="0.25">
      <c r="C186" s="14" t="s">
        <v>148</v>
      </c>
      <c r="D186" s="14" t="str">
        <f>_xlfn.XLOOKUP(Calc_OtherCosts_1[[#This Row],[Cost item]],Input_ForRateCalc[Cost item],Input_ForRateCalc[Fixed/Variable])</f>
        <v>Fixed</v>
      </c>
      <c r="E186" s="14" t="str">
        <f>_xlfn.XLOOKUP(Calc_OtherCosts_1[[#This Row],[Cost item]],Input_ForRateCalc[Cost item],Input_ForRateCalc[Unit])</f>
        <v>$</v>
      </c>
      <c r="F186" s="14" t="s">
        <v>139</v>
      </c>
      <c r="G186" s="49" cm="1">
        <f t="array" ref="G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2.1708159083782124</v>
      </c>
      <c r="H186" s="49" cm="1">
        <f t="array" ref="H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2.1708159083782124</v>
      </c>
      <c r="I186" s="49" cm="1">
        <f t="array" ref="I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2.1708159083782124</v>
      </c>
      <c r="J186" s="49" cm="1">
        <f t="array" ref="J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2.1708159083782124</v>
      </c>
      <c r="K186" s="49" cm="1">
        <f t="array" ref="K18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2.1708159083782124</v>
      </c>
    </row>
    <row r="187" spans="1:11" outlineLevel="1" x14ac:dyDescent="0.25">
      <c r="C187" s="14" t="s">
        <v>149</v>
      </c>
      <c r="D187" s="14" t="str">
        <f>_xlfn.XLOOKUP(Calc_OtherCosts_1[[#This Row],[Cost item]],Input_ForRateCalc[Cost item],Input_ForRateCalc[Fixed/Variable])</f>
        <v>Variable</v>
      </c>
      <c r="E187" s="14" t="str">
        <f>_xlfn.XLOOKUP(Calc_OtherCosts_1[[#This Row],[Cost item]],Input_ForRateCalc[Cost item],Input_ForRateCalc[Unit])</f>
        <v>$/MWh</v>
      </c>
      <c r="F187" s="14" t="s">
        <v>139</v>
      </c>
      <c r="G187" s="49" cm="1">
        <f t="array" ref="G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2.209915802392202E-4</v>
      </c>
      <c r="H187" s="49" cm="1">
        <f t="array" ref="H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2.209915802392202E-4</v>
      </c>
      <c r="I187" s="49" cm="1">
        <f t="array" ref="I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2.209915802392202E-4</v>
      </c>
      <c r="J187" s="49" cm="1">
        <f t="array" ref="J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2.209915802392202E-4</v>
      </c>
      <c r="K187" s="49" cm="1">
        <f t="array" ref="K18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2.209915802392202E-4</v>
      </c>
    </row>
    <row r="188" spans="1:11" outlineLevel="1" x14ac:dyDescent="0.25">
      <c r="C188" s="39" t="s">
        <v>150</v>
      </c>
      <c r="D188" s="14" t="str">
        <f>_xlfn.XLOOKUP(Calc_OtherCosts_1[[#This Row],[Cost item]],Input_ForRateCalc[Cost item],Input_ForRateCalc[Fixed/Variable])</f>
        <v>Fixed</v>
      </c>
      <c r="E188" s="14" t="str">
        <f>_xlfn.XLOOKUP(Calc_OtherCosts_1[[#This Row],[Cost item]],Input_ForRateCalc[Cost item],Input_ForRateCalc[Unit])</f>
        <v>$/week</v>
      </c>
      <c r="F188" s="14" t="s">
        <v>139</v>
      </c>
      <c r="G188" s="49" cm="1">
        <f t="array" ref="G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0.70027857142857142</v>
      </c>
      <c r="H188" s="49" cm="1">
        <f t="array" ref="H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0.70027857142857142</v>
      </c>
      <c r="I188" s="49" cm="1">
        <f t="array" ref="I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0.70027857142857142</v>
      </c>
      <c r="J188" s="49" cm="1">
        <f t="array" ref="J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0.70027857142857142</v>
      </c>
      <c r="K188" s="49" cm="1">
        <f t="array" ref="K18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0.70027857142857142</v>
      </c>
    </row>
    <row r="189" spans="1:11" outlineLevel="1" x14ac:dyDescent="0.25">
      <c r="C189" s="14" t="s">
        <v>152</v>
      </c>
      <c r="D189" s="14" t="str">
        <f>_xlfn.XLOOKUP(Calc_OtherCosts_1[[#This Row],[Cost item]],Input_ForRateCalc[Cost item],Input_ForRateCalc[Fixed/Variable])</f>
        <v>Fixed</v>
      </c>
      <c r="E189" s="14" t="str">
        <f>_xlfn.XLOOKUP(Calc_OtherCosts_1[[#This Row],[Cost item]],Input_ForRateCalc[Cost item],Input_ForRateCalc[Unit])</f>
        <v>$/week</v>
      </c>
      <c r="F189" s="14" t="s">
        <v>139</v>
      </c>
      <c r="G189" s="49" cm="1">
        <f t="array" ref="G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1.8818357142857143</v>
      </c>
      <c r="H189" s="49" cm="1">
        <f t="array" ref="H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1.8818357142857143</v>
      </c>
      <c r="I189" s="49" cm="1">
        <f t="array" ref="I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1.8818357142857143</v>
      </c>
      <c r="J189" s="49" cm="1">
        <f t="array" ref="J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1.8818357142857143</v>
      </c>
      <c r="K189" s="49" cm="1">
        <f t="array" ref="K18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1.8818357142857143</v>
      </c>
    </row>
    <row r="190" spans="1:11" ht="15.75" outlineLevel="1" collapsed="1" x14ac:dyDescent="0.25">
      <c r="A190" s="1" t="s">
        <v>36</v>
      </c>
      <c r="C190" s="14" t="s">
        <v>214</v>
      </c>
      <c r="D190" s="14" t="str">
        <f>_xlfn.XLOOKUP(Calc_OtherCosts_1[[#This Row],[Cost item]],Input_ForRateCalc[Cost item],Input_ForRateCalc[Fixed/Variable])</f>
        <v>Variable</v>
      </c>
      <c r="E190" s="14" t="str">
        <f>_xlfn.XLOOKUP(Calc_OtherCosts_1[[#This Row],[Cost item]],Input_ForRateCalc[Cost item],Input_ForRateCalc[Unit])</f>
        <v>$/MWh</v>
      </c>
      <c r="F190" s="14" t="s">
        <v>139</v>
      </c>
      <c r="G190" s="49" cm="1">
        <f t="array" ref="G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2.9524999999999999E-4</v>
      </c>
      <c r="H190" s="49" cm="1">
        <f t="array" ref="H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2.9524999999999999E-4</v>
      </c>
      <c r="I190" s="49" cm="1">
        <f t="array" ref="I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2.9524999999999999E-4</v>
      </c>
      <c r="J190" s="49" cm="1">
        <f t="array" ref="J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2.9524999999999999E-4</v>
      </c>
      <c r="K190" s="49" cm="1">
        <f t="array" ref="K19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2.9524999999999999E-4</v>
      </c>
    </row>
    <row r="191" spans="1:11" outlineLevel="1" x14ac:dyDescent="0.25">
      <c r="C191" s="14" t="s">
        <v>216</v>
      </c>
      <c r="D191" s="14" t="str">
        <f>_xlfn.XLOOKUP(Calc_OtherCosts_1[[#This Row],[Cost item]],Input_ForRateCalc[Cost item],Input_ForRateCalc[Fixed/Variable])</f>
        <v>Variable</v>
      </c>
      <c r="E191" s="14" t="str">
        <f>_xlfn.XLOOKUP(Calc_OtherCosts_1[[#This Row],[Cost item]],Input_ForRateCalc[Cost item],Input_ForRateCalc[Unit])</f>
        <v>$/MWh</v>
      </c>
      <c r="F191" s="14" t="s">
        <v>139</v>
      </c>
      <c r="G191" s="49" cm="1">
        <f t="array" ref="G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H191" s="49" cm="1">
        <f t="array" ref="H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I191" s="49" cm="1">
        <f t="array" ref="I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J191" s="49" cm="1">
        <f t="array" ref="J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K191" s="49" cm="1">
        <f t="array" ref="K191">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row>
    <row r="192" spans="1:11" outlineLevel="1" x14ac:dyDescent="0.25">
      <c r="C192" s="14" t="s">
        <v>218</v>
      </c>
      <c r="D192" s="14" t="str">
        <f>_xlfn.XLOOKUP(Calc_OtherCosts_1[[#This Row],[Cost item]],Input_ForRateCalc[Cost item],Input_ForRateCalc[Fixed/Variable])</f>
        <v>Variable</v>
      </c>
      <c r="E192" s="14" t="str">
        <f>_xlfn.XLOOKUP(Calc_OtherCosts_1[[#This Row],[Cost item]],Input_ForRateCalc[Cost item],Input_ForRateCalc[Unit])</f>
        <v>$/MWh</v>
      </c>
      <c r="F192" s="14" t="s">
        <v>139</v>
      </c>
      <c r="G192" s="49" cm="1">
        <f t="array" ref="G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9.8610000000000006E-5</v>
      </c>
      <c r="H192" s="49" cm="1">
        <f t="array" ref="H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9.8610000000000006E-5</v>
      </c>
      <c r="I192" s="49" cm="1">
        <f t="array" ref="I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9.8610000000000006E-5</v>
      </c>
      <c r="J192" s="49" cm="1">
        <f t="array" ref="J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9.8610000000000006E-5</v>
      </c>
      <c r="K192" s="49" cm="1">
        <f t="array" ref="K192">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9.8610000000000006E-5</v>
      </c>
    </row>
    <row r="193" spans="2:11" outlineLevel="1" x14ac:dyDescent="0.25">
      <c r="C193" s="14" t="s">
        <v>219</v>
      </c>
      <c r="D193" s="14" t="str">
        <f>_xlfn.XLOOKUP(Calc_OtherCosts_1[[#This Row],[Cost item]],Input_ForRateCalc[Cost item],Input_ForRateCalc[Fixed/Variable])</f>
        <v>Variable</v>
      </c>
      <c r="E193" s="14" t="str">
        <f>_xlfn.XLOOKUP(Calc_OtherCosts_1[[#This Row],[Cost item]],Input_ForRateCalc[Cost item],Input_ForRateCalc[Unit])</f>
        <v>$/MWh</v>
      </c>
      <c r="F193" s="14" t="s">
        <v>139</v>
      </c>
      <c r="G193" s="49" cm="1">
        <f t="array" ref="G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1.1022999999999999E-4</v>
      </c>
      <c r="H193" s="49" cm="1">
        <f t="array" ref="H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1.1022999999999999E-4</v>
      </c>
      <c r="I193" s="49" cm="1">
        <f t="array" ref="I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1.1022999999999999E-4</v>
      </c>
      <c r="J193" s="49" cm="1">
        <f t="array" ref="J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1.1022999999999999E-4</v>
      </c>
      <c r="K193" s="49" cm="1">
        <f t="array" ref="K193">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1.1022999999999999E-4</v>
      </c>
    </row>
    <row r="194" spans="2:11" outlineLevel="1" x14ac:dyDescent="0.25">
      <c r="C194" s="31" t="s">
        <v>217</v>
      </c>
      <c r="D194" s="14" t="str">
        <f>_xlfn.XLOOKUP(Calc_OtherCosts_1[[#This Row],[Cost item]],Input_ForRateCalc[Cost item],Input_ForRateCalc[Fixed/Variable])</f>
        <v>Variable</v>
      </c>
      <c r="E194" s="14" t="str">
        <f>_xlfn.XLOOKUP(Calc_OtherCosts_1[[#This Row],[Cost item]],Input_ForRateCalc[Cost item],Input_ForRateCalc[Unit])</f>
        <v>$/MWh</v>
      </c>
      <c r="F194" s="14" t="s">
        <v>139</v>
      </c>
      <c r="G194" s="49" cm="1">
        <f t="array" ref="G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2.8120728749374794E-4</v>
      </c>
      <c r="H194" s="49" cm="1">
        <f t="array" ref="H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2.8120728749374794E-4</v>
      </c>
      <c r="I194" s="49" cm="1">
        <f t="array" ref="I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2.8120728749374794E-4</v>
      </c>
      <c r="J194" s="49" cm="1">
        <f t="array" ref="J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2.8120728749374794E-4</v>
      </c>
      <c r="K194" s="49" cm="1">
        <f t="array" ref="K194">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2.8120728749374794E-4</v>
      </c>
    </row>
    <row r="195" spans="2:11" outlineLevel="1" x14ac:dyDescent="0.25">
      <c r="C195" s="14" t="s">
        <v>153</v>
      </c>
      <c r="D195" s="14" t="str">
        <f>_xlfn.XLOOKUP(Calc_OtherCosts_1[[#This Row],[Cost item]],Input_ForRateCalc[Cost item],Input_ForRateCalc[Fixed/Variable])</f>
        <v>Fixed</v>
      </c>
      <c r="E195" s="14" t="str">
        <f>_xlfn.XLOOKUP(Calc_OtherCosts_1[[#This Row],[Cost item]],Input_ForRateCalc[Cost item],Input_ForRateCalc[Unit])</f>
        <v>$/week</v>
      </c>
      <c r="F195" s="14" t="s">
        <v>139</v>
      </c>
      <c r="G195" s="49" cm="1">
        <f t="array" ref="G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4.8117428571428578</v>
      </c>
      <c r="H195" s="49" cm="1">
        <f t="array" ref="H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4.8117428571428578</v>
      </c>
      <c r="I195" s="49" cm="1">
        <f t="array" ref="I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4.8117428571428578</v>
      </c>
      <c r="J195" s="49" cm="1">
        <f t="array" ref="J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4.8117428571428578</v>
      </c>
      <c r="K195" s="49" cm="1">
        <f t="array" ref="K195">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4.8117428571428578</v>
      </c>
    </row>
    <row r="196" spans="2:11" outlineLevel="1" x14ac:dyDescent="0.25">
      <c r="C196" s="14" t="s">
        <v>154</v>
      </c>
      <c r="D196" s="14" t="str">
        <f>_xlfn.XLOOKUP(Calc_OtherCosts_1[[#This Row],[Cost item]],Input_ForRateCalc[Cost item],Input_ForRateCalc[Fixed/Variable])</f>
        <v>Fixed</v>
      </c>
      <c r="E196" s="14" t="str">
        <f>_xlfn.XLOOKUP(Calc_OtherCosts_1[[#This Row],[Cost item]],Input_ForRateCalc[Cost item],Input_ForRateCalc[Unit])</f>
        <v>$/week</v>
      </c>
      <c r="F196" s="14" t="s">
        <v>139</v>
      </c>
      <c r="G196" s="49" cm="1">
        <f t="array" ref="G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2.9048785714285716</v>
      </c>
      <c r="H196" s="49" cm="1">
        <f t="array" ref="H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2.9048785714285716</v>
      </c>
      <c r="I196" s="49" cm="1">
        <f t="array" ref="I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2.9048785714285716</v>
      </c>
      <c r="J196" s="49" cm="1">
        <f t="array" ref="J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2.9048785714285716</v>
      </c>
      <c r="K196" s="49" cm="1">
        <f t="array" ref="K196">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2.9048785714285716</v>
      </c>
    </row>
    <row r="197" spans="2:11" outlineLevel="1" x14ac:dyDescent="0.25">
      <c r="C197" s="14" t="s">
        <v>155</v>
      </c>
      <c r="D197" s="14" t="str">
        <f>_xlfn.XLOOKUP(Calc_OtherCosts_1[[#This Row],[Cost item]],Input_ForRateCalc[Cost item],Input_ForRateCalc[Fixed/Variable])</f>
        <v>Fixed</v>
      </c>
      <c r="E197" s="14" t="str">
        <f>_xlfn.XLOOKUP(Calc_OtherCosts_1[[#This Row],[Cost item]],Input_ForRateCalc[Cost item],Input_ForRateCalc[Unit])</f>
        <v>$/week</v>
      </c>
      <c r="F197" s="14" t="s">
        <v>139</v>
      </c>
      <c r="G197" s="49" cm="1">
        <f t="array" ref="G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1.6070428571428572</v>
      </c>
      <c r="H197" s="49" cm="1">
        <f t="array" ref="H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1.6070428571428572</v>
      </c>
      <c r="I197" s="49" cm="1">
        <f t="array" ref="I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1.6070428571428572</v>
      </c>
      <c r="J197" s="49" cm="1">
        <f t="array" ref="J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1.6070428571428572</v>
      </c>
      <c r="K197" s="49" cm="1">
        <f t="array" ref="K197">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1.6070428571428572</v>
      </c>
    </row>
    <row r="198" spans="2:11" outlineLevel="1" x14ac:dyDescent="0.25">
      <c r="C198" s="14" t="s">
        <v>221</v>
      </c>
      <c r="D198" s="14" t="str">
        <f>_xlfn.XLOOKUP(Calc_OtherCosts_1[[#This Row],[Cost item]],Input_ForRateCalc[Cost item],Input_ForRateCalc[Fixed/Variable])</f>
        <v>Variable</v>
      </c>
      <c r="E198" s="14" t="str">
        <f>_xlfn.XLOOKUP(Calc_OtherCosts_1[[#This Row],[Cost item]],Input_ForRateCalc[Cost item],Input_ForRateCalc[Unit])</f>
        <v>$/MWh</v>
      </c>
      <c r="F198" s="14" t="s">
        <v>139</v>
      </c>
      <c r="G198" s="49" cm="1">
        <f t="array" ref="G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3.2721571877481956E-6</v>
      </c>
      <c r="H198" s="49" cm="1">
        <f t="array" ref="H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3.2721571877481956E-6</v>
      </c>
      <c r="I198" s="49" cm="1">
        <f t="array" ref="I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3.2721571877481956E-6</v>
      </c>
      <c r="J198" s="49" cm="1">
        <f t="array" ref="J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3.2721571877481956E-6</v>
      </c>
      <c r="K198" s="49" cm="1">
        <f t="array" ref="K198">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3.2721571877481956E-6</v>
      </c>
    </row>
    <row r="199" spans="2:11" outlineLevel="1" x14ac:dyDescent="0.25">
      <c r="C199" s="14" t="s">
        <v>222</v>
      </c>
      <c r="D199" s="14" t="str">
        <f>_xlfn.XLOOKUP(Calc_OtherCosts_1[[#This Row],[Cost item]],Input_ForRateCalc[Cost item],Input_ForRateCalc[Fixed/Variable])</f>
        <v>Variable</v>
      </c>
      <c r="E199" s="14" t="str">
        <f>_xlfn.XLOOKUP(Calc_OtherCosts_1[[#This Row],[Cost item]],Input_ForRateCalc[Cost item],Input_ForRateCalc[Unit])</f>
        <v>$/MWh</v>
      </c>
      <c r="F199" s="14" t="s">
        <v>139</v>
      </c>
      <c r="G199" s="49" cm="1">
        <f t="array" ref="G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H199" s="49" cm="1">
        <f t="array" ref="H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I199" s="49" cm="1">
        <f t="array" ref="I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J199" s="49" cm="1">
        <f t="array" ref="J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K199" s="49" cm="1">
        <f t="array" ref="K199">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row>
    <row r="200" spans="2:11" outlineLevel="1" x14ac:dyDescent="0.25">
      <c r="C200" s="31" t="s">
        <v>223</v>
      </c>
      <c r="D200" s="14" t="str">
        <f>_xlfn.XLOOKUP(Calc_OtherCosts_1[[#This Row],[Cost item]],Input_ForRateCalc[Cost item],Input_ForRateCalc[Fixed/Variable])</f>
        <v>Variable</v>
      </c>
      <c r="E200" s="14" t="str">
        <f>_xlfn.XLOOKUP(Calc_OtherCosts_1[[#This Row],[Cost item]],Input_ForRateCalc[Cost item],Input_ForRateCalc[Unit])</f>
        <v>$/MWh</v>
      </c>
      <c r="F200" s="14" t="s">
        <v>139</v>
      </c>
      <c r="G200" s="49" cm="1">
        <f t="array" ref="G20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H200" s="49" cm="1">
        <f t="array" ref="H20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I200" s="49" cm="1">
        <f t="array" ref="I20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J200" s="49" cm="1">
        <f t="array" ref="J20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c r="K200" s="49" cm="1">
        <f t="array" ref="K200">IFERROR(
IF(Calc_OtherCosts_1[[#This Row],[Fixed/Variable]:[Fixed/Variable]]="Fixed",
(IFERROR(INDEX(Calc_CPI_1[[CPI uplift factor]:[CPI uplift factor]],MATCH(Calc_OtherCosts_1[[#This Row],[Cost item]:[Cost item]],Calc_CPI_1[[Cost item]:[Cost item]],0),1),0)+
INDEX(Input_ForRateCalc[],MATCH(Calc_OtherCosts_1[[#This Row],[Cost item]:[Cost item]],Input_ForRateCalc[[Cost item]:[Cost item]],0),MATCH($D$5,Inputs!$C$15:$AZ$15,0)))*IF(Calc_OtherCosts_1[[#This Row],[Unit]:[Unit]]="$",1,IF(Calc_OtherCosts_1[[#This Row],[Unit]:[Unit]]="$/week",WiY)),
(IFERROR(INDEX(Calc_CPI_1[[CPI uplift factor]:[CPI uplift factor]],MATCH(Calc_OtherCosts_1[[#This Row],[Cost item]:[Cost item]],Calc_CPI_1[[Cost item]:[Cost item]],0),1),0)+
INDEX(Input_ForRateCalc[],MATCH(Calc_OtherCosts_1[[#This Row],[Cost item]:[Cost item]],Input_ForRateCalc[[Cost item]:[Cost item]],0),MATCH($D$5,Inputs!$C$15:$AZ$15,0)))/1000),"-")</f>
        <v>0</v>
      </c>
    </row>
    <row r="202" spans="2:11" ht="16.5" thickBot="1" x14ac:dyDescent="0.3">
      <c r="B202" s="155">
        <f ca="1">MAX(B$3:B201)+0.01</f>
        <v>13.049999999999999</v>
      </c>
      <c r="C202" s="19" t="s">
        <v>87</v>
      </c>
      <c r="D202" s="19"/>
      <c r="E202" s="19"/>
      <c r="F202" s="19"/>
      <c r="G202" s="19"/>
      <c r="H202" s="19"/>
      <c r="I202" s="19"/>
      <c r="J202" s="19"/>
      <c r="K202" s="19"/>
    </row>
    <row r="203" spans="2:11" outlineLevel="1" x14ac:dyDescent="0.25"/>
    <row r="204" spans="2:11" ht="15.75" outlineLevel="1" x14ac:dyDescent="0.25">
      <c r="C204" s="20" t="s">
        <v>388</v>
      </c>
    </row>
    <row r="205" spans="2:11" ht="15.75" outlineLevel="1" x14ac:dyDescent="0.25">
      <c r="C205" s="30" t="s">
        <v>51</v>
      </c>
      <c r="D205" s="30" t="s">
        <v>114</v>
      </c>
      <c r="E205" s="30" t="s">
        <v>62</v>
      </c>
      <c r="F205" s="30" t="s">
        <v>63</v>
      </c>
      <c r="G205" s="40" t="s">
        <v>65</v>
      </c>
      <c r="H205" s="40" t="s">
        <v>66</v>
      </c>
      <c r="I205" s="40" t="s">
        <v>67</v>
      </c>
      <c r="J205" s="40" t="s">
        <v>68</v>
      </c>
      <c r="K205" s="40" t="s">
        <v>69</v>
      </c>
    </row>
    <row r="206" spans="2:11" outlineLevel="1" x14ac:dyDescent="0.25">
      <c r="C206" s="14" t="s">
        <v>70</v>
      </c>
      <c r="D206" s="31" t="s">
        <v>138</v>
      </c>
      <c r="E206" s="14" t="s">
        <v>157</v>
      </c>
      <c r="F206" s="14" t="s">
        <v>72</v>
      </c>
      <c r="G206" s="49" cm="1">
        <f t="array" ref="G206">IFERROR(
IFERROR(INDEX(Calc_CPI_1[[CPI uplift factor]:[CPI uplift factor]],MATCH($C206,Calc_CPI_1[[Cost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138.51015094671718</v>
      </c>
      <c r="H206" s="49" cm="1">
        <f t="array" ref="H206">IFERROR(
IFERROR(INDEX(Calc_CPI_1[[CPI uplift factor]:[CPI uplift factor]],MATCH($C206,Calc_CPI_1[[Cost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94.972999999999999</v>
      </c>
      <c r="I206" s="49" cm="1">
        <f t="array" ref="I206">IFERROR(
IFERROR(INDEX(Calc_CPI_1[[CPI uplift factor]:[CPI uplift factor]],MATCH($C206,Calc_CPI_1[[Cost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116.44799999999999</v>
      </c>
      <c r="J206" s="49" cm="1">
        <f t="array" ref="J206">IFERROR(
IFERROR(INDEX(Calc_CPI_1[[CPI uplift factor]:[CPI uplift factor]],MATCH($C206,Calc_CPI_1[[Cost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145.0145</v>
      </c>
      <c r="K206" s="49" cm="1">
        <f t="array" ref="K206">IFERROR(
IFERROR(INDEX(Calc_CPI_1[[CPI uplift factor]:[CPI uplift factor]],MATCH($C206,Calc_CPI_1[[Cost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94.972999999999999</v>
      </c>
    </row>
    <row r="207" spans="2:11" outlineLevel="1" x14ac:dyDescent="0.25">
      <c r="C207" s="14" t="s">
        <v>70</v>
      </c>
      <c r="D207" s="31" t="s">
        <v>138</v>
      </c>
      <c r="E207" s="14" t="s">
        <v>157</v>
      </c>
      <c r="F207" s="14" t="s">
        <v>73</v>
      </c>
      <c r="G207" s="49" cm="1">
        <f t="array" ref="G207">IFERROR(
IFERROR(INDEX(Calc_CPI_1[[CPI uplift factor]:[CPI uplift factor]],MATCH($C207,Calc_CPI_1[[Cost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138.51015094671718</v>
      </c>
      <c r="H207" s="49" cm="1">
        <f t="array" ref="H207">IFERROR(
IFERROR(INDEX(Calc_CPI_1[[CPI uplift factor]:[CPI uplift factor]],MATCH($C207,Calc_CPI_1[[Cost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154.97899999999998</v>
      </c>
      <c r="I207" s="49" cm="1">
        <f t="array" ref="I207">IFERROR(
IFERROR(INDEX(Calc_CPI_1[[CPI uplift factor]:[CPI uplift factor]],MATCH($C207,Calc_CPI_1[[Cost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177.74199999999999</v>
      </c>
      <c r="J207" s="49" cm="1">
        <f t="array" ref="J207">IFERROR(
IFERROR(INDEX(Calc_CPI_1[[CPI uplift factor]:[CPI uplift factor]],MATCH($C207,Calc_CPI_1[[Cost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189.98249999999999</v>
      </c>
      <c r="K207" s="49" cm="1">
        <f t="array" ref="K207">IFERROR(
IFERROR(INDEX(Calc_CPI_1[[CPI uplift factor]:[CPI uplift factor]],MATCH($C207,Calc_CPI_1[[Cost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154.97899999999998</v>
      </c>
    </row>
    <row r="208" spans="2:11" outlineLevel="1" x14ac:dyDescent="0.25">
      <c r="C208" s="14" t="s">
        <v>78</v>
      </c>
      <c r="D208" s="31" t="s">
        <v>138</v>
      </c>
      <c r="E208" s="14" t="s">
        <v>157</v>
      </c>
      <c r="F208" s="14" t="s">
        <v>72</v>
      </c>
      <c r="G208" s="49" cm="1">
        <f t="array" ref="G208">IFERROR(
IFERROR(INDEX(Calc_CPI_1[[CPI uplift factor]:[CPI uplift factor]],MATCH($C208,Calc_CPI_1[[Cost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138.51015094671718</v>
      </c>
      <c r="H208" s="49" cm="1">
        <f t="array" ref="H208">IFERROR(
IFERROR(INDEX(Calc_CPI_1[[CPI uplift factor]:[CPI uplift factor]],MATCH($C208,Calc_CPI_1[[Cost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94.972999999999999</v>
      </c>
      <c r="I208" s="49" cm="1">
        <f t="array" ref="I208">IFERROR(
IFERROR(INDEX(Calc_CPI_1[[CPI uplift factor]:[CPI uplift factor]],MATCH($C208,Calc_CPI_1[[Cost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116.44799999999999</v>
      </c>
      <c r="J208" s="49" cm="1">
        <f t="array" ref="J208">IFERROR(
IFERROR(INDEX(Calc_CPI_1[[CPI uplift factor]:[CPI uplift factor]],MATCH($C208,Calc_CPI_1[[Cost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145.0145</v>
      </c>
      <c r="K208" s="49" cm="1">
        <f t="array" ref="K208">IFERROR(
IFERROR(INDEX(Calc_CPI_1[[CPI uplift factor]:[CPI uplift factor]],MATCH($C208,Calc_CPI_1[[Cost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94.972999999999999</v>
      </c>
    </row>
    <row r="209" spans="1:11" outlineLevel="1" x14ac:dyDescent="0.25">
      <c r="C209" s="14" t="s">
        <v>78</v>
      </c>
      <c r="D209" s="31" t="s">
        <v>138</v>
      </c>
      <c r="E209" s="14" t="s">
        <v>157</v>
      </c>
      <c r="F209" s="14" t="s">
        <v>73</v>
      </c>
      <c r="G209" s="49" cm="1">
        <f t="array" ref="G209">IFERROR(
IFERROR(INDEX(Calc_CPI_1[[CPI uplift factor]:[CPI uplift factor]],MATCH($C209,Calc_CPI_1[[Cost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138.51015094671718</v>
      </c>
      <c r="H209" s="49" cm="1">
        <f t="array" ref="H209">IFERROR(
IFERROR(INDEX(Calc_CPI_1[[CPI uplift factor]:[CPI uplift factor]],MATCH($C209,Calc_CPI_1[[Cost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154.97899999999998</v>
      </c>
      <c r="I209" s="49" cm="1">
        <f t="array" ref="I209">IFERROR(
IFERROR(INDEX(Calc_CPI_1[[CPI uplift factor]:[CPI uplift factor]],MATCH($C209,Calc_CPI_1[[Cost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278.77499999999998</v>
      </c>
      <c r="J209" s="49" cm="1">
        <f t="array" ref="J209">IFERROR(
IFERROR(INDEX(Calc_CPI_1[[CPI uplift factor]:[CPI uplift factor]],MATCH($C209,Calc_CPI_1[[Cost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189.98249999999999</v>
      </c>
      <c r="K209" s="49" cm="1">
        <f t="array" ref="K209">IFERROR(
IFERROR(INDEX(Calc_CPI_1[[CPI uplift factor]:[CPI uplift factor]],MATCH($C209,Calc_CPI_1[[Cost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154.97899999999998</v>
      </c>
    </row>
    <row r="210" spans="1:11" outlineLevel="1" x14ac:dyDescent="0.25">
      <c r="C210" s="31" t="s">
        <v>363</v>
      </c>
      <c r="D210" s="31" t="s">
        <v>138</v>
      </c>
      <c r="E210" s="14" t="s">
        <v>157</v>
      </c>
      <c r="F210" s="14" t="s">
        <v>139</v>
      </c>
      <c r="G210" s="49" cm="1">
        <f t="array" ref="G210">IFERROR(
IFERROR(INDEX(Calc_CPI_1[[CPI uplift factor]:[CPI uplift factor]],MATCH($C210,Calc_CPI_1[[Cost item]:[Cost item]],0),1),0)+
INDEX(Input_ForRateCalc[],MATCH(
IF(Calc_NetworkF_1[[#This Row],[Cost item]:[Cost item]]="Metering",
Calc_NetworkF_1[[#This Row],[Cost item]:[Cost item]]&amp;" - "&amp;Calc_NetworkF_1[[#Headers],[Ausnet]],
Calc_NetworkF_1[[#This Row],[Cost item]:[Cost item]]&amp;" charge - "&amp;IF(Calc_NetworkF_1[[#This Row],[Customer type]:[Customer type]]="Residential","RES - ","SME - ")&amp;Calc_NetworkF_1[[#Headers],[Ausnet]]),Input_ForRateCalc[[Cost item]:[Cost item]],0),MATCH($D$5,Inputs!$C$15:$AZ$15,0)),"-")</f>
        <v>81.158339169270931</v>
      </c>
      <c r="H210" s="49" cm="1">
        <f t="array" ref="H210">IFERROR(
IFERROR(INDEX(Calc_CPI_1[[CPI uplift factor]:[CPI uplift factor]],MATCH($C210,Calc_CPI_1[[Cost item]:[Cost item]],0),1),0)+
INDEX(Input_ForRateCalc[],MATCH(
IF(Calc_NetworkF_1[[#This Row],[Cost item]:[Cost item]]="Metering",
Calc_NetworkF_1[[#This Row],[Cost item]:[Cost item]]&amp;" - "&amp;Calc_NetworkF_1[[#Headers],[Citipower]],
Calc_NetworkF_1[[#This Row],[Cost item]:[Cost item]]&amp;" charge - "&amp;IF(Calc_NetworkF_1[[#This Row],[Customer type]:[Customer type]]="Residential","RES - ","SME - ")&amp;Calc_NetworkF_1[[#Headers],[Citipower]]),Input_ForRateCalc[[Cost item]:[Cost item]],0),MATCH($D$5,Inputs!$C$15:$AZ$15,0)),"-")</f>
        <v>71.8711422464187</v>
      </c>
      <c r="I210" s="49" cm="1">
        <f t="array" ref="I210">IFERROR(
IFERROR(INDEX(Calc_CPI_1[[CPI uplift factor]:[CPI uplift factor]],MATCH($C210,Calc_CPI_1[[Cost item]:[Cost item]],0),1),0)+
INDEX(Input_ForRateCalc[],MATCH(
IF(Calc_NetworkF_1[[#This Row],[Cost item]:[Cost item]]="Metering",
Calc_NetworkF_1[[#This Row],[Cost item]:[Cost item]]&amp;" - "&amp;Calc_NetworkF_1[[#Headers],[Jemena]],
Calc_NetworkF_1[[#This Row],[Cost item]:[Cost item]]&amp;" charge - "&amp;IF(Calc_NetworkF_1[[#This Row],[Customer type]:[Customer type]]="Residential","RES - ","SME - ")&amp;Calc_NetworkF_1[[#Headers],[Jemena]]),Input_ForRateCalc[[Cost item]:[Cost item]],0),MATCH($D$5,Inputs!$C$15:$AZ$15,0)),"-")</f>
        <v>63.959144577798369</v>
      </c>
      <c r="J210" s="49" cm="1">
        <f t="array" ref="J210">IFERROR(
IFERROR(INDEX(Calc_CPI_1[[CPI uplift factor]:[CPI uplift factor]],MATCH($C210,Calc_CPI_1[[Cost item]:[Cost item]],0),1),0)+
INDEX(Input_ForRateCalc[],MATCH(
IF(Calc_NetworkF_1[[#This Row],[Cost item]:[Cost item]]="Metering",
Calc_NetworkF_1[[#This Row],[Cost item]:[Cost item]]&amp;" - "&amp;Calc_NetworkF_1[[#Headers],[Powercor]],
Calc_NetworkF_1[[#This Row],[Cost item]:[Cost item]]&amp;" charge - "&amp;IF(Calc_NetworkF_1[[#This Row],[Customer type]:[Customer type]]="Residential","RES - ","SME - ")&amp;Calc_NetworkF_1[[#Headers],[Powercor]]),Input_ForRateCalc[[Cost item]:[Cost item]],0),MATCH($D$5,Inputs!$C$15:$AZ$15,0)),"-")</f>
        <v>68.643009248580412</v>
      </c>
      <c r="K210" s="49" cm="1">
        <f t="array" ref="K210">IFERROR(
IFERROR(INDEX(Calc_CPI_1[[CPI uplift factor]:[CPI uplift factor]],MATCH($C210,Calc_CPI_1[[Cost item]:[Cost item]],0),1),0)+
INDEX(Input_ForRateCalc[],MATCH(
IF(Calc_NetworkF_1[[#This Row],[Cost item]:[Cost item]]="Metering",
Calc_NetworkF_1[[#This Row],[Cost item]:[Cost item]]&amp;" - "&amp;Calc_NetworkF_1[[#Headers],[United Energy]],
Calc_NetworkF_1[[#This Row],[Cost item]:[Cost item]]&amp;" charge - "&amp;IF(Calc_NetworkF_1[[#This Row],[Customer type]:[Customer type]]="Residential","RES - ","SME - ")&amp;Calc_NetworkF_1[[#Headers],[United Energy]]),Input_ForRateCalc[[Cost item]:[Cost item]],0),MATCH($D$5,Inputs!$C$15:$AZ$15,0)),"-")</f>
        <v>49.31201052193331</v>
      </c>
    </row>
    <row r="211" spans="1:11" outlineLevel="1" x14ac:dyDescent="0.25"/>
    <row r="212" spans="1:11" ht="15.75" outlineLevel="1" x14ac:dyDescent="0.25">
      <c r="C212" s="20" t="s">
        <v>389</v>
      </c>
    </row>
    <row r="213" spans="1:11" ht="15.75" outlineLevel="1" x14ac:dyDescent="0.25">
      <c r="C213" s="30" t="s">
        <v>51</v>
      </c>
      <c r="D213" s="30" t="s">
        <v>114</v>
      </c>
      <c r="E213" s="30" t="s">
        <v>62</v>
      </c>
      <c r="F213" s="30" t="s">
        <v>63</v>
      </c>
      <c r="G213" s="40" t="s">
        <v>65</v>
      </c>
      <c r="H213" s="40" t="s">
        <v>66</v>
      </c>
      <c r="I213" s="40" t="s">
        <v>67</v>
      </c>
      <c r="J213" s="40" t="s">
        <v>68</v>
      </c>
      <c r="K213" s="40" t="s">
        <v>69</v>
      </c>
    </row>
    <row r="214" spans="1:11" outlineLevel="1" x14ac:dyDescent="0.25">
      <c r="C214" s="14" t="s">
        <v>74</v>
      </c>
      <c r="D214" s="14" t="s">
        <v>184</v>
      </c>
      <c r="E214" s="14" t="s">
        <v>75</v>
      </c>
      <c r="F214" s="14" t="s">
        <v>72</v>
      </c>
      <c r="G214" s="49" cm="1">
        <f t="array" ref="G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0.13647160516883983</v>
      </c>
      <c r="H214" s="49" t="str" cm="1">
        <f t="array" ref="H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14" s="49" t="str" cm="1">
        <f t="array" ref="I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14" s="49" t="str" cm="1">
        <f t="array" ref="J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14" s="49" t="str" cm="1">
        <f t="array" ref="K21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15" spans="1:11" outlineLevel="1" x14ac:dyDescent="0.25">
      <c r="C215" s="14" t="s">
        <v>76</v>
      </c>
      <c r="D215" s="14" t="s">
        <v>184</v>
      </c>
      <c r="E215" s="14" t="s">
        <v>75</v>
      </c>
      <c r="F215" s="14" t="s">
        <v>72</v>
      </c>
      <c r="G215" s="49" cm="1">
        <f t="array" ref="G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0.14341531316444667</v>
      </c>
      <c r="H215" s="49" t="str" cm="1">
        <f t="array" ref="H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15" s="49" t="str" cm="1">
        <f t="array" ref="I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15" s="49" t="str" cm="1">
        <f t="array" ref="J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15" s="49" t="str" cm="1">
        <f t="array" ref="K215">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16" spans="1:11" outlineLevel="1" x14ac:dyDescent="0.25">
      <c r="C216" s="14" t="s">
        <v>77</v>
      </c>
      <c r="D216" s="14" t="s">
        <v>184</v>
      </c>
      <c r="E216" s="14" t="s">
        <v>75</v>
      </c>
      <c r="F216" s="14" t="s">
        <v>72</v>
      </c>
      <c r="G216" s="49" t="str" cm="1">
        <f t="array" ref="G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v>
      </c>
      <c r="H216" s="49" cm="1">
        <f t="array" ref="H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8.1000000000000003E-2</v>
      </c>
      <c r="I216" s="49" cm="1">
        <f t="array" ref="I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0.10345</v>
      </c>
      <c r="J216" s="49" cm="1">
        <f t="array" ref="J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9.6699999999999994E-2</v>
      </c>
      <c r="K216" s="49" cm="1">
        <f t="array" ref="K216">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9.2499999999999999E-2</v>
      </c>
    </row>
    <row r="217" spans="1:11" outlineLevel="1" x14ac:dyDescent="0.25">
      <c r="C217" s="14" t="s">
        <v>79</v>
      </c>
      <c r="D217" s="14" t="s">
        <v>184</v>
      </c>
      <c r="E217" s="14" t="s">
        <v>75</v>
      </c>
      <c r="F217" s="14" t="s">
        <v>72</v>
      </c>
      <c r="G217" s="49" cm="1">
        <f t="array" ref="G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0.23801248423131882</v>
      </c>
      <c r="H217" s="49" cm="1">
        <f t="array" ref="H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0.156</v>
      </c>
      <c r="I217" s="49" cm="1">
        <f t="array" ref="I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0.17367000000000002</v>
      </c>
      <c r="J217" s="49" cm="1">
        <f t="array" ref="J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0.18340000000000001</v>
      </c>
      <c r="K217" s="49" cm="1">
        <f t="array" ref="K217">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0.1739</v>
      </c>
    </row>
    <row r="218" spans="1:11" outlineLevel="1" x14ac:dyDescent="0.25">
      <c r="C218" s="14" t="s">
        <v>80</v>
      </c>
      <c r="D218" s="14" t="s">
        <v>184</v>
      </c>
      <c r="E218" s="14" t="s">
        <v>75</v>
      </c>
      <c r="F218" s="14" t="s">
        <v>72</v>
      </c>
      <c r="G218" s="49" cm="1">
        <f t="array" ref="G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4.8279596179871362E-2</v>
      </c>
      <c r="H218" s="49" cm="1">
        <f t="array" ref="H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3.8999999999999993E-2</v>
      </c>
      <c r="I218" s="49" cm="1">
        <f t="array" ref="I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4.8860000000000001E-2</v>
      </c>
      <c r="J218" s="49" cm="1">
        <f t="array" ref="J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4.6100000000000002E-2</v>
      </c>
      <c r="K218" s="49" cm="1">
        <f t="array" ref="K218">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4.3299999999999998E-2</v>
      </c>
    </row>
    <row r="219" spans="1:11" outlineLevel="1" x14ac:dyDescent="0.25">
      <c r="C219" s="14" t="s">
        <v>81</v>
      </c>
      <c r="D219" s="14" t="s">
        <v>184</v>
      </c>
      <c r="E219" s="14" t="s">
        <v>75</v>
      </c>
      <c r="F219" s="14" t="s">
        <v>72</v>
      </c>
      <c r="G219" s="49" cm="1">
        <f t="array" ref="G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4.8279596179871362E-2</v>
      </c>
      <c r="H219" s="49" cm="1">
        <f t="array" ref="H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2.3E-2</v>
      </c>
      <c r="I219" s="49" cm="1">
        <f t="array" ref="I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4.3880000000000002E-2</v>
      </c>
      <c r="J219" s="49" cm="1">
        <f t="array" ref="J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2.6200000000000001E-2</v>
      </c>
      <c r="K219" s="49" cm="1">
        <f t="array" ref="K219">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2.5399999999999999E-2</v>
      </c>
    </row>
    <row r="220" spans="1:11" outlineLevel="1" x14ac:dyDescent="0.25">
      <c r="C220" s="14" t="s">
        <v>74</v>
      </c>
      <c r="D220" s="14" t="s">
        <v>184</v>
      </c>
      <c r="E220" s="14" t="s">
        <v>75</v>
      </c>
      <c r="F220" s="14" t="s">
        <v>73</v>
      </c>
      <c r="G220" s="49" cm="1">
        <f t="array" ref="G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0.19308159653482593</v>
      </c>
      <c r="H220" s="49" t="str" cm="1">
        <f t="array" ref="H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20" s="49" t="str" cm="1">
        <f t="array" ref="I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20" s="49" t="str" cm="1">
        <f t="array" ref="J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20" s="49" t="str" cm="1">
        <f t="array" ref="K220">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21" spans="1:11" outlineLevel="1" x14ac:dyDescent="0.25">
      <c r="C221" s="14" t="s">
        <v>76</v>
      </c>
      <c r="D221" s="14" t="s">
        <v>184</v>
      </c>
      <c r="E221" s="14" t="s">
        <v>75</v>
      </c>
      <c r="F221" s="14" t="s">
        <v>73</v>
      </c>
      <c r="G221" s="49" cm="1">
        <f t="array" ref="G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0.20237137578661479</v>
      </c>
      <c r="H221" s="49" t="str" cm="1">
        <f t="array" ref="H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v>
      </c>
      <c r="I221" s="49" t="str" cm="1">
        <f t="array" ref="I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v>
      </c>
      <c r="J221" s="49" t="str" cm="1">
        <f t="array" ref="J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v>
      </c>
      <c r="K221" s="49" t="str" cm="1">
        <f t="array" ref="K221">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v>
      </c>
    </row>
    <row r="222" spans="1:11" ht="15.75" outlineLevel="1" collapsed="1" x14ac:dyDescent="0.25">
      <c r="A222" s="1" t="s">
        <v>36</v>
      </c>
      <c r="C222" s="14" t="s">
        <v>77</v>
      </c>
      <c r="D222" s="14" t="s">
        <v>184</v>
      </c>
      <c r="E222" s="14" t="s">
        <v>75</v>
      </c>
      <c r="F222" s="14" t="s">
        <v>73</v>
      </c>
      <c r="G222" s="49" t="str" cm="1">
        <f t="array" ref="G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v>
      </c>
      <c r="H222" s="49" cm="1">
        <f t="array" ref="H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8.950000000000001E-2</v>
      </c>
      <c r="I222" s="49" cm="1">
        <f t="array" ref="I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0.13955000000000001</v>
      </c>
      <c r="J222" s="49" cm="1">
        <f t="array" ref="J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0.10619999999999999</v>
      </c>
      <c r="K222" s="49" cm="1">
        <f t="array" ref="K222">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0.10289999999999999</v>
      </c>
    </row>
    <row r="223" spans="1:11" outlineLevel="1" x14ac:dyDescent="0.25">
      <c r="C223" s="14" t="s">
        <v>79</v>
      </c>
      <c r="D223" s="14" t="s">
        <v>184</v>
      </c>
      <c r="E223" s="14" t="s">
        <v>75</v>
      </c>
      <c r="F223" s="14" t="s">
        <v>73</v>
      </c>
      <c r="G223" s="49" cm="1">
        <f t="array" ref="G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0.203089189747413</v>
      </c>
      <c r="H223" s="49" cm="1">
        <f t="array" ref="H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0.14249999999999999</v>
      </c>
      <c r="I223" s="49" cm="1">
        <f t="array" ref="I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0.17986000000000002</v>
      </c>
      <c r="J223" s="49" cm="1">
        <f t="array" ref="J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0.18729999999999999</v>
      </c>
      <c r="K223" s="49" cm="1">
        <f t="array" ref="K223">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0.1641</v>
      </c>
    </row>
    <row r="224" spans="1:11" outlineLevel="1" x14ac:dyDescent="0.25">
      <c r="C224" s="14" t="s">
        <v>80</v>
      </c>
      <c r="D224" s="31" t="s">
        <v>184</v>
      </c>
      <c r="E224" s="14" t="s">
        <v>75</v>
      </c>
      <c r="F224" s="14" t="s">
        <v>73</v>
      </c>
      <c r="G224" s="49" cm="1">
        <f t="array" ref="G22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")&amp;Calc_NetworkV_1[[#Headers],[Ausnet]],Input_ForRateCalc[[Cost item]:[Cost item]],0),
MATCH($D$5,Inputs!$C$15:$AZ$15,0)))/100,"-")</f>
        <v>4.8151683390904247E-2</v>
      </c>
      <c r="H224" s="49" cm="1">
        <f t="array" ref="H22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")&amp;Calc_NetworkV_1[[#Headers],[Citipower]],Input_ForRateCalc[[Cost item]:[Cost item]],0),
MATCH($D$5,Inputs!$C$15:$AZ$15,0)))/100,"-")</f>
        <v>3.1599999999999996E-2</v>
      </c>
      <c r="I224" s="49" cm="1">
        <f t="array" ref="I22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")&amp;Calc_NetworkV_1[[#Headers],[Jemena]],Input_ForRateCalc[[Cost item]:[Cost item]],0),
MATCH($D$5,Inputs!$C$15:$AZ$15,0)))/100,"-")</f>
        <v>3.8610000000000005E-2</v>
      </c>
      <c r="J224" s="49" cm="1">
        <f t="array" ref="J22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")&amp;Calc_NetworkV_1[[#Headers],[Powercor]],Input_ForRateCalc[[Cost item]:[Cost item]],0),
MATCH($D$5,Inputs!$C$15:$AZ$15,0)))/100,"-")</f>
        <v>4.1599999999999998E-2</v>
      </c>
      <c r="K224" s="49" cm="1">
        <f t="array" ref="K224">IFERROR(
(IFERROR(INDEX(Calc_CPI_1[[CPI uplift factor]:[CPI uplift factor]],MATCH(Calc_NetworkV_1[[#This Row],[Cost item]:[Cost item]],Calc_CPI_1[[Cost item]:[Cost item]],0),1),0)+
INDEX(Input_ForRateCalc[],
MATCH(IF(OR(Calc_NetworkV_1[[#This Row],[Cost item]:[Cost item]]="Single rate",Calc_NetworkV_1[[#This Row],[Cost item]:[Cost item]]="Block 1",Calc_NetworkV_1[[#This Row],[Cost item]:[Cost item]]="Balance"),"Anytime - ",IF(Calc_NetworkV_1[[#This Row],[Cost item]:[Cost item]]&lt;&gt;"Controlled load","TOU - ",""))&amp;Calc_NetworkV_1[[#This Row],[Cost item]:[Cost item]]&amp;" - "&amp;IF(Calc_NetworkV_1[[#This Row],[Customer type]:[Customer type]]="Residential","RES - ","SME - ")&amp;Calc_NetworkV_1[[#Headers],[United Energy]],Input_ForRateCalc[[Cost item]:[Cost item]],0),
MATCH($D$5,Inputs!$C$15:$AZ$15,0)))/100,"-")</f>
        <v>3.6400000000000002E-2</v>
      </c>
    </row>
    <row r="226" spans="1:11" ht="16.5" thickBot="1" x14ac:dyDescent="0.3">
      <c r="B226" s="155">
        <f ca="1">MAX(B$3:B225)+0.01</f>
        <v>13.059999999999999</v>
      </c>
      <c r="C226" s="19" t="s">
        <v>182</v>
      </c>
      <c r="D226" s="19"/>
      <c r="E226" s="19"/>
      <c r="F226" s="19"/>
      <c r="G226" s="19"/>
      <c r="H226" s="19"/>
      <c r="I226" s="19"/>
      <c r="J226" s="19"/>
      <c r="K226" s="19"/>
    </row>
    <row r="227" spans="1:11" outlineLevel="1" x14ac:dyDescent="0.25"/>
    <row r="228" spans="1:11" ht="15.75" outlineLevel="1" x14ac:dyDescent="0.25">
      <c r="C228" s="20" t="s">
        <v>390</v>
      </c>
    </row>
    <row r="229" spans="1:11" ht="15.75" outlineLevel="1" x14ac:dyDescent="0.25">
      <c r="C229" s="30" t="s">
        <v>51</v>
      </c>
      <c r="D229" s="30" t="s">
        <v>114</v>
      </c>
      <c r="E229" s="30" t="s">
        <v>62</v>
      </c>
      <c r="F229" s="30" t="s">
        <v>63</v>
      </c>
      <c r="G229" s="40" t="s">
        <v>65</v>
      </c>
      <c r="H229" s="40" t="s">
        <v>66</v>
      </c>
      <c r="I229" s="40" t="s">
        <v>67</v>
      </c>
      <c r="J229" s="40" t="s">
        <v>68</v>
      </c>
      <c r="K229" s="40" t="s">
        <v>69</v>
      </c>
    </row>
    <row r="230" spans="1:11" outlineLevel="1" x14ac:dyDescent="0.25">
      <c r="C230" s="14" t="s">
        <v>391</v>
      </c>
      <c r="D230" s="14" t="s">
        <v>184</v>
      </c>
      <c r="E230" s="14" t="s">
        <v>75</v>
      </c>
      <c r="F230" s="14" t="s">
        <v>72</v>
      </c>
      <c r="G230" s="49" cm="1">
        <f t="array" ref="G230">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item]],0),MATCH($D$5,Inputs!$C$15:$AZ$15,0)))/1000,"-")</f>
        <v>0.12217</v>
      </c>
      <c r="H230" s="49" cm="1">
        <f t="array" ref="H230">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item]],0),MATCH($D$5,Inputs!$C$15:$AZ$15,0)))/1000,"-")</f>
        <v>0.10167</v>
      </c>
      <c r="I230" s="49" cm="1">
        <f t="array" ref="I230">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item]],0),MATCH($D$5,Inputs!$C$15:$AZ$15,0)))/1000,"-")</f>
        <v>0.11891</v>
      </c>
      <c r="J230" s="49" cm="1">
        <f t="array" ref="J230">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item]],0),MATCH($D$5,Inputs!$C$15:$AZ$15,0)))/1000,"-")</f>
        <v>0.12196</v>
      </c>
      <c r="K230" s="49" cm="1">
        <f t="array" ref="K230">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item]],0),MATCH($D$5,Inputs!$C$15:$AZ$15,0)))/1000,"-")</f>
        <v>0.11584999999999999</v>
      </c>
    </row>
    <row r="231" spans="1:11" outlineLevel="1" x14ac:dyDescent="0.25">
      <c r="C231" s="14" t="s">
        <v>392</v>
      </c>
      <c r="D231" s="14" t="s">
        <v>184</v>
      </c>
      <c r="E231" s="14" t="s">
        <v>75</v>
      </c>
      <c r="F231" s="14" t="s">
        <v>72</v>
      </c>
      <c r="G231" s="49" cm="1">
        <f t="array" ref="G231">IFERROR(
(IFERROR(INDEX(Calc_CPI_1[[CPI uplift factor]:[CPI uplift factor]],MATCH(Calc_WholesaleRES_1[[#This Row],[Cost item]:[Cost item]],Calc_CPI_1[[Cost item]:[Cost item]],0),1),0)+
INDEX(Input_ForRateCalc[],MATCH(Calc_WholesaleRES_1[[#This Row],[Cost item]:[Cost item]]&amp;" - "&amp;Calc_WholesaleRES_1[[#Headers],[Ausnet]],Input_ForRateCalc[[Cost item]:[Cost item]],0),MATCH($D$5,Inputs!$C$15:$AZ$15,0)))/1000,"-")</f>
        <v>4.7999999999999996E-4</v>
      </c>
      <c r="H231" s="49" cm="1">
        <f t="array" ref="H231">IFERROR(
(IFERROR(INDEX(Calc_CPI_1[[CPI uplift factor]:[CPI uplift factor]],MATCH(Calc_WholesaleRES_1[[#This Row],[Cost item]:[Cost item]],Calc_CPI_1[[Cost item]:[Cost item]],0),1),0)+
INDEX(Input_ForRateCalc[],MATCH(Calc_WholesaleRES_1[[#This Row],[Cost item]:[Cost item]]&amp;" - "&amp;Calc_WholesaleRES_1[[#Headers],[Citipower]],Input_ForRateCalc[[Cost item]:[Cost item]],0),MATCH($D$5,Inputs!$C$15:$AZ$15,0)))/1000,"-")</f>
        <v>2.0999999999999998E-4</v>
      </c>
      <c r="I231" s="49" cm="1">
        <f t="array" ref="I231">IFERROR(
(IFERROR(INDEX(Calc_CPI_1[[CPI uplift factor]:[CPI uplift factor]],MATCH(Calc_WholesaleRES_1[[#This Row],[Cost item]:[Cost item]],Calc_CPI_1[[Cost item]:[Cost item]],0),1),0)+
INDEX(Input_ForRateCalc[],MATCH(Calc_WholesaleRES_1[[#This Row],[Cost item]:[Cost item]]&amp;" - "&amp;Calc_WholesaleRES_1[[#Headers],[Jemena]],Input_ForRateCalc[[Cost item]:[Cost item]],0),MATCH($D$5,Inputs!$C$15:$AZ$15,0)))/1000,"-")</f>
        <v>3.8000000000000002E-4</v>
      </c>
      <c r="J231" s="49" cm="1">
        <f t="array" ref="J231">IFERROR(
(IFERROR(INDEX(Calc_CPI_1[[CPI uplift factor]:[CPI uplift factor]],MATCH(Calc_WholesaleRES_1[[#This Row],[Cost item]:[Cost item]],Calc_CPI_1[[Cost item]:[Cost item]],0),1),0)+
INDEX(Input_ForRateCalc[],MATCH(Calc_WholesaleRES_1[[#This Row],[Cost item]:[Cost item]]&amp;" - "&amp;Calc_WholesaleRES_1[[#Headers],[Powercor]],Input_ForRateCalc[[Cost item]:[Cost item]],0),MATCH($D$5,Inputs!$C$15:$AZ$15,0)))/1000,"-")</f>
        <v>4.6000000000000001E-4</v>
      </c>
      <c r="K231" s="49" cm="1">
        <f t="array" ref="K231">IFERROR(
(IFERROR(INDEX(Calc_CPI_1[[CPI uplift factor]:[CPI uplift factor]],MATCH(Calc_WholesaleRES_1[[#This Row],[Cost item]:[Cost item]],Calc_CPI_1[[Cost item]:[Cost item]],0),1),0)+
INDEX(Input_ForRateCalc[],MATCH(Calc_WholesaleRES_1[[#This Row],[Cost item]:[Cost item]]&amp;" - "&amp;Calc_WholesaleRES_1[[#Headers],[United Energy]],Input_ForRateCalc[[Cost item]:[Cost item]],0),MATCH($D$5,Inputs!$C$15:$AZ$15,0)))/1000,"-")</f>
        <v>3.5999999999999997E-4</v>
      </c>
    </row>
    <row r="232" spans="1:11" outlineLevel="1" x14ac:dyDescent="0.25">
      <c r="C232" s="31" t="s">
        <v>371</v>
      </c>
      <c r="D232" s="31" t="s">
        <v>184</v>
      </c>
      <c r="E232" s="31" t="s">
        <v>75</v>
      </c>
      <c r="F232" s="14" t="s">
        <v>72</v>
      </c>
      <c r="G232" s="49">
        <f>IFERROR(G230+G231,"-")</f>
        <v>0.12265</v>
      </c>
      <c r="H232" s="49">
        <f>IFERROR(H230+H231,"-")</f>
        <v>0.10188</v>
      </c>
      <c r="I232" s="49">
        <f>IFERROR(I230+I231,"-")</f>
        <v>0.11929000000000001</v>
      </c>
      <c r="J232" s="49">
        <f>IFERROR(J230+J231,"-")</f>
        <v>0.12242</v>
      </c>
      <c r="K232" s="49">
        <f>IFERROR(K230+K231,"-")</f>
        <v>0.11620999999999999</v>
      </c>
    </row>
    <row r="233" spans="1:11" outlineLevel="1" x14ac:dyDescent="0.25"/>
    <row r="234" spans="1:11" ht="15.75" outlineLevel="1" x14ac:dyDescent="0.25">
      <c r="C234" s="20" t="s">
        <v>393</v>
      </c>
    </row>
    <row r="235" spans="1:11" ht="15.75" outlineLevel="1" x14ac:dyDescent="0.25">
      <c r="C235" s="30" t="s">
        <v>51</v>
      </c>
      <c r="D235" s="30" t="s">
        <v>114</v>
      </c>
      <c r="E235" s="30" t="s">
        <v>62</v>
      </c>
      <c r="F235" s="30" t="s">
        <v>63</v>
      </c>
      <c r="G235" s="40" t="s">
        <v>65</v>
      </c>
      <c r="H235" s="40" t="s">
        <v>66</v>
      </c>
      <c r="I235" s="40" t="s">
        <v>67</v>
      </c>
      <c r="J235" s="40" t="s">
        <v>68</v>
      </c>
      <c r="K235" s="40" t="s">
        <v>69</v>
      </c>
    </row>
    <row r="236" spans="1:11" ht="15.75" outlineLevel="1" collapsed="1" x14ac:dyDescent="0.25">
      <c r="A236" s="1" t="s">
        <v>36</v>
      </c>
      <c r="C236" s="14" t="s">
        <v>394</v>
      </c>
      <c r="D236" s="14" t="s">
        <v>184</v>
      </c>
      <c r="E236" s="14" t="s">
        <v>75</v>
      </c>
      <c r="F236" s="14" t="s">
        <v>73</v>
      </c>
      <c r="G236" s="49" cm="1">
        <f t="array" ref="G236">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item]],0),MATCH($D$5,Inputs!$C$15:$AZ$15,0)))/1000,"-")</f>
        <v>9.3909999999999993E-2</v>
      </c>
      <c r="H236" s="49" cm="1">
        <f t="array" ref="H236">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item]],0),MATCH($D$5,Inputs!$C$15:$AZ$15,0)))/1000,"-")</f>
        <v>8.9709999999999998E-2</v>
      </c>
      <c r="I236" s="49" cm="1">
        <f t="array" ref="I236">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item]],0),MATCH($D$5,Inputs!$C$15:$AZ$15,0)))/1000,"-")</f>
        <v>9.5010000000000011E-2</v>
      </c>
      <c r="J236" s="49" cm="1">
        <f t="array" ref="J236">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item]],0),MATCH($D$5,Inputs!$C$15:$AZ$15,0)))/1000,"-")</f>
        <v>9.3230000000000007E-2</v>
      </c>
      <c r="K236" s="49" cm="1">
        <f t="array" ref="K236">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item]],0),MATCH($D$5,Inputs!$C$15:$AZ$15,0)))/1000,"-")</f>
        <v>9.425E-2</v>
      </c>
    </row>
    <row r="237" spans="1:11" outlineLevel="1" x14ac:dyDescent="0.25">
      <c r="C237" s="14" t="s">
        <v>395</v>
      </c>
      <c r="D237" s="14" t="s">
        <v>184</v>
      </c>
      <c r="E237" s="14" t="s">
        <v>75</v>
      </c>
      <c r="F237" s="14" t="s">
        <v>73</v>
      </c>
      <c r="G237" s="49" cm="1">
        <f t="array" ref="G237">IFERROR(
(IFERROR(INDEX(Calc_CPI_1[[CPI uplift factor]:[CPI uplift factor]],MATCH(Calc_WholesaleSME_1[[#This Row],[Cost item]:[Cost item]],Calc_CPI_1[[Cost item]:[Cost item]],0),1),0)+
INDEX(Input_ForRateCalc[],MATCH(Calc_WholesaleSME_1[[#This Row],[Cost item]:[Cost item]]&amp;" - "&amp;Calc_WholesaleSME_1[[#Headers],[Ausnet]],Input_ForRateCalc[[Cost item]:[Cost item]],0),MATCH($D$5,Inputs!$C$15:$AZ$15,0)))/1000,"-")</f>
        <v>2.5000000000000001E-4</v>
      </c>
      <c r="H237" s="49" cm="1">
        <f t="array" ref="H237">IFERROR(
(IFERROR(INDEX(Calc_CPI_1[[CPI uplift factor]:[CPI uplift factor]],MATCH(Calc_WholesaleSME_1[[#This Row],[Cost item]:[Cost item]],Calc_CPI_1[[Cost item]:[Cost item]],0),1),0)+
INDEX(Input_ForRateCalc[],MATCH(Calc_WholesaleSME_1[[#This Row],[Cost item]:[Cost item]]&amp;" - "&amp;Calc_WholesaleSME_1[[#Headers],[Citipower]],Input_ForRateCalc[[Cost item]:[Cost item]],0),MATCH($D$5,Inputs!$C$15:$AZ$15,0)))/1000,"-")</f>
        <v>2.7E-4</v>
      </c>
      <c r="I237" s="49" cm="1">
        <f t="array" ref="I237">IFERROR(
(IFERROR(INDEX(Calc_CPI_1[[CPI uplift factor]:[CPI uplift factor]],MATCH(Calc_WholesaleSME_1[[#This Row],[Cost item]:[Cost item]],Calc_CPI_1[[Cost item]:[Cost item]],0),1),0)+
INDEX(Input_ForRateCalc[],MATCH(Calc_WholesaleSME_1[[#This Row],[Cost item]:[Cost item]]&amp;" - "&amp;Calc_WholesaleSME_1[[#Headers],[Jemena]],Input_ForRateCalc[[Cost item]:[Cost item]],0),MATCH($D$5,Inputs!$C$15:$AZ$15,0)))/1000,"-")</f>
        <v>2.8000000000000003E-4</v>
      </c>
      <c r="J237" s="49" cm="1">
        <f t="array" ref="J237">IFERROR(
(IFERROR(INDEX(Calc_CPI_1[[CPI uplift factor]:[CPI uplift factor]],MATCH(Calc_WholesaleSME_1[[#This Row],[Cost item]:[Cost item]],Calc_CPI_1[[Cost item]:[Cost item]],0),1),0)+
INDEX(Input_ForRateCalc[],MATCH(Calc_WholesaleSME_1[[#This Row],[Cost item]:[Cost item]]&amp;" - "&amp;Calc_WholesaleSME_1[[#Headers],[Powercor]],Input_ForRateCalc[[Cost item]:[Cost item]],0),MATCH($D$5,Inputs!$C$15:$AZ$15,0)))/1000,"-")</f>
        <v>2.3999999999999998E-4</v>
      </c>
      <c r="K237" s="49" cm="1">
        <f t="array" ref="K237">IFERROR(
(IFERROR(INDEX(Calc_CPI_1[[CPI uplift factor]:[CPI uplift factor]],MATCH(Calc_WholesaleSME_1[[#This Row],[Cost item]:[Cost item]],Calc_CPI_1[[Cost item]:[Cost item]],0),1),0)+
INDEX(Input_ForRateCalc[],MATCH(Calc_WholesaleSME_1[[#This Row],[Cost item]:[Cost item]]&amp;" - "&amp;Calc_WholesaleSME_1[[#Headers],[United Energy]],Input_ForRateCalc[[Cost item]:[Cost item]],0),MATCH($D$5,Inputs!$C$15:$AZ$15,0)))/1000,"-")</f>
        <v>2.7E-4</v>
      </c>
    </row>
    <row r="238" spans="1:11" outlineLevel="1" x14ac:dyDescent="0.25">
      <c r="C238" s="31" t="s">
        <v>371</v>
      </c>
      <c r="D238" s="31" t="s">
        <v>184</v>
      </c>
      <c r="E238" s="31" t="s">
        <v>75</v>
      </c>
      <c r="F238" s="14" t="s">
        <v>73</v>
      </c>
      <c r="G238" s="49">
        <f>IFERROR(G236+G237,"-")</f>
        <v>9.4159999999999994E-2</v>
      </c>
      <c r="H238" s="49">
        <f>IFERROR(H236+H237,"-")</f>
        <v>8.9980000000000004E-2</v>
      </c>
      <c r="I238" s="49">
        <f>IFERROR(I236+I237,"-")</f>
        <v>9.5290000000000014E-2</v>
      </c>
      <c r="J238" s="49">
        <f>IFERROR(J236+J237,"-")</f>
        <v>9.3470000000000011E-2</v>
      </c>
      <c r="K238" s="49">
        <f>IFERROR(K236+K237,"-")</f>
        <v>9.4520000000000007E-2</v>
      </c>
    </row>
    <row r="240" spans="1:11" ht="16.5" thickBot="1" x14ac:dyDescent="0.3">
      <c r="B240" s="155">
        <f ca="1">MAX(B$3:B239)+0.01</f>
        <v>13.069999999999999</v>
      </c>
      <c r="C240" s="19" t="s">
        <v>396</v>
      </c>
      <c r="D240" s="19"/>
      <c r="E240" s="19"/>
      <c r="F240" s="19"/>
      <c r="G240" s="19"/>
      <c r="H240" s="19"/>
      <c r="I240" s="19"/>
      <c r="J240" s="19"/>
      <c r="K240" s="19"/>
    </row>
    <row r="241" spans="3:14" outlineLevel="1" x14ac:dyDescent="0.25"/>
    <row r="242" spans="3:14" ht="15.75" outlineLevel="1" x14ac:dyDescent="0.25">
      <c r="C242" s="20" t="s">
        <v>397</v>
      </c>
    </row>
    <row r="243" spans="3:14" ht="15.75" outlineLevel="1" x14ac:dyDescent="0.25">
      <c r="C243" s="30" t="s">
        <v>51</v>
      </c>
      <c r="D243" s="30" t="s">
        <v>114</v>
      </c>
      <c r="E243" s="30" t="s">
        <v>62</v>
      </c>
      <c r="F243" s="30" t="s">
        <v>63</v>
      </c>
      <c r="G243" s="40" t="s">
        <v>65</v>
      </c>
      <c r="H243" s="40" t="s">
        <v>66</v>
      </c>
      <c r="I243" s="40" t="s">
        <v>67</v>
      </c>
      <c r="J243" s="40" t="s">
        <v>68</v>
      </c>
      <c r="K243" s="40" t="s">
        <v>69</v>
      </c>
    </row>
    <row r="244" spans="3:14" outlineLevel="1" x14ac:dyDescent="0.25">
      <c r="C244" s="14" t="s">
        <v>205</v>
      </c>
      <c r="D244" s="14" t="s">
        <v>184</v>
      </c>
      <c r="E244" s="14" t="s">
        <v>206</v>
      </c>
      <c r="F244" s="14" t="s">
        <v>139</v>
      </c>
      <c r="G244" s="49" cm="1">
        <f t="array" ref="G244">IFERROR(
(IFERROR(INDEX(Calc_CPI_1[[CPI uplift factor]:[CPI uplift factor]],MATCH(Calc_EnviroVEU_1[[#This Row],[Cost item]:[Cost item]],Calc_CPI_1[[Cost item]:[Cost item]],0),1),0)+
INDEX(Input_ForRateCalc[],MATCH(Calc_EnviroVEU_1[[#This Row],[Cost item]:[Cost item]],Input_ForRateCalc[[Cost item]:[Cost item]],0),MATCH($D$5,Inputs!$C$15:$AZ$15,0))),"-")</f>
        <v>87.009314726670354</v>
      </c>
      <c r="H244" s="49" cm="1">
        <f t="array" ref="H244">IFERROR(
(IFERROR(INDEX(Calc_CPI_1[[CPI uplift factor]:[CPI uplift factor]],MATCH(Calc_EnviroVEU_1[[#This Row],[Cost item]:[Cost item]],Calc_CPI_1[[Cost item]:[Cost item]],0),1),0)+
INDEX(Input_ForRateCalc[],MATCH(Calc_EnviroVEU_1[[#This Row],[Cost item]:[Cost item]],Input_ForRateCalc[[Cost item]:[Cost item]],0),MATCH($D$5,Inputs!$C$15:$AZ$15,0))),"-")</f>
        <v>87.009314726670354</v>
      </c>
      <c r="I244" s="49" cm="1">
        <f t="array" ref="I244">IFERROR(
(IFERROR(INDEX(Calc_CPI_1[[CPI uplift factor]:[CPI uplift factor]],MATCH(Calc_EnviroVEU_1[[#This Row],[Cost item]:[Cost item]],Calc_CPI_1[[Cost item]:[Cost item]],0),1),0)+
INDEX(Input_ForRateCalc[],MATCH(Calc_EnviroVEU_1[[#This Row],[Cost item]:[Cost item]],Input_ForRateCalc[[Cost item]:[Cost item]],0),MATCH($D$5,Inputs!$C$15:$AZ$15,0))),"-")</f>
        <v>87.009314726670354</v>
      </c>
      <c r="J244" s="49" cm="1">
        <f t="array" ref="J244">IFERROR(
(IFERROR(INDEX(Calc_CPI_1[[CPI uplift factor]:[CPI uplift factor]],MATCH(Calc_EnviroVEU_1[[#This Row],[Cost item]:[Cost item]],Calc_CPI_1[[Cost item]:[Cost item]],0),1),0)+
INDEX(Input_ForRateCalc[],MATCH(Calc_EnviroVEU_1[[#This Row],[Cost item]:[Cost item]],Input_ForRateCalc[[Cost item]:[Cost item]],0),MATCH($D$5,Inputs!$C$15:$AZ$15,0))),"-")</f>
        <v>87.009314726670354</v>
      </c>
      <c r="K244" s="49" cm="1">
        <f t="array" ref="K244">IFERROR(
(IFERROR(INDEX(Calc_CPI_1[[CPI uplift factor]:[CPI uplift factor]],MATCH(Calc_EnviroVEU_1[[#This Row],[Cost item]:[Cost item]],Calc_CPI_1[[Cost item]:[Cost item]],0),1),0)+
INDEX(Input_ForRateCalc[],MATCH(Calc_EnviroVEU_1[[#This Row],[Cost item]:[Cost item]],Input_ForRateCalc[[Cost item]:[Cost item]],0),MATCH($D$5,Inputs!$C$15:$AZ$15,0))),"-")</f>
        <v>87.009314726670354</v>
      </c>
    </row>
    <row r="245" spans="3:14" outlineLevel="1" x14ac:dyDescent="0.25">
      <c r="C245" s="14" t="s">
        <v>209</v>
      </c>
      <c r="D245" s="14" t="s">
        <v>184</v>
      </c>
      <c r="E245" s="14" t="s">
        <v>210</v>
      </c>
      <c r="F245" s="14" t="s">
        <v>139</v>
      </c>
      <c r="G245" s="125" cm="1">
        <f t="array" ref="G245">IFERROR(
(IFERROR(INDEX(Calc_CPI_1[[CPI uplift factor]:[CPI uplift factor]],MATCH(Calc_EnviroVEU_1[[#This Row],[Cost item]:[Cost item]],Calc_CPI_1[[Cost item]:[Cost item]],0),1),0)+
INDEX(Input_ForRateCalc[],MATCH(Calc_EnviroVEU_1[[#This Row],[Cost item]:[Cost item]],Input_ForRateCalc[[Cost item]:[Cost item]],0),MATCH($D$5,Inputs!$C$15:$AZ$15,0))),"-")</f>
        <v>0.15243999999999999</v>
      </c>
      <c r="H245" s="125" cm="1">
        <f t="array" ref="H245">IFERROR(
(IFERROR(INDEX(Calc_CPI_1[[CPI uplift factor]:[CPI uplift factor]],MATCH(Calc_EnviroVEU_1[[#This Row],[Cost item]:[Cost item]],Calc_CPI_1[[Cost item]:[Cost item]],0),1),0)+
INDEX(Input_ForRateCalc[],MATCH(Calc_EnviroVEU_1[[#This Row],[Cost item]:[Cost item]],Input_ForRateCalc[[Cost item]:[Cost item]],0),MATCH($D$5,Inputs!$C$15:$AZ$15,0))),"-")</f>
        <v>0.15243999999999999</v>
      </c>
      <c r="I245" s="125" cm="1">
        <f t="array" ref="I245">IFERROR(
(IFERROR(INDEX(Calc_CPI_1[[CPI uplift factor]:[CPI uplift factor]],MATCH(Calc_EnviroVEU_1[[#This Row],[Cost item]:[Cost item]],Calc_CPI_1[[Cost item]:[Cost item]],0),1),0)+
INDEX(Input_ForRateCalc[],MATCH(Calc_EnviroVEU_1[[#This Row],[Cost item]:[Cost item]],Input_ForRateCalc[[Cost item]:[Cost item]],0),MATCH($D$5,Inputs!$C$15:$AZ$15,0))),"-")</f>
        <v>0.15243999999999999</v>
      </c>
      <c r="J245" s="125" cm="1">
        <f t="array" ref="J245">IFERROR(
(IFERROR(INDEX(Calc_CPI_1[[CPI uplift factor]:[CPI uplift factor]],MATCH(Calc_EnviroVEU_1[[#This Row],[Cost item]:[Cost item]],Calc_CPI_1[[Cost item]:[Cost item]],0),1),0)+
INDEX(Input_ForRateCalc[],MATCH(Calc_EnviroVEU_1[[#This Row],[Cost item]:[Cost item]],Input_ForRateCalc[[Cost item]:[Cost item]],0),MATCH($D$5,Inputs!$C$15:$AZ$15,0))),"-")</f>
        <v>0.15243999999999999</v>
      </c>
      <c r="K245" s="125" cm="1">
        <f t="array" ref="K245">IFERROR(
(IFERROR(INDEX(Calc_CPI_1[[CPI uplift factor]:[CPI uplift factor]],MATCH(Calc_EnviroVEU_1[[#This Row],[Cost item]:[Cost item]],Calc_CPI_1[[Cost item]:[Cost item]],0),1),0)+
INDEX(Input_ForRateCalc[],MATCH(Calc_EnviroVEU_1[[#This Row],[Cost item]:[Cost item]],Input_ForRateCalc[[Cost item]:[Cost item]],0),MATCH($D$5,Inputs!$C$15:$AZ$15,0))),"-")</f>
        <v>0.15243999999999999</v>
      </c>
    </row>
    <row r="246" spans="3:14" outlineLevel="1" x14ac:dyDescent="0.25">
      <c r="C246" s="31" t="s">
        <v>398</v>
      </c>
      <c r="D246" s="31" t="s">
        <v>184</v>
      </c>
      <c r="E246" s="31" t="s">
        <v>75</v>
      </c>
      <c r="F246" s="14" t="s">
        <v>139</v>
      </c>
      <c r="G246" s="49">
        <f>IFERROR(
IFERROR(INDEX(Calc_CPI_1[[CPI uplift factor]:[CPI uplift factor]],MATCH($C246,Calc_CPI_1[[Cost item]:[Cost item]],0),1),0)+(G244*G245)/1000,"-")</f>
        <v>1.3263699936933628E-2</v>
      </c>
      <c r="H246" s="49">
        <f>IFERROR(
IFERROR(INDEX(Calc_CPI_1[[CPI uplift factor]:[CPI uplift factor]],MATCH($C246,Calc_CPI_1[[Cost item]:[Cost item]],0),1),0)+(H244*H245)/1000,"-")</f>
        <v>1.3263699936933628E-2</v>
      </c>
      <c r="I246" s="49">
        <f>IFERROR(
IFERROR(INDEX(Calc_CPI_1[[CPI uplift factor]:[CPI uplift factor]],MATCH($C246,Calc_CPI_1[[Cost item]:[Cost item]],0),1),0)+(I244*I245)/1000,"-")</f>
        <v>1.3263699936933628E-2</v>
      </c>
      <c r="J246" s="49">
        <f>IFERROR(
IFERROR(INDEX(Calc_CPI_1[[CPI uplift factor]:[CPI uplift factor]],MATCH($C246,Calc_CPI_1[[Cost item]:[Cost item]],0),1),0)+(J244*J245)/1000,"-")</f>
        <v>1.3263699936933628E-2</v>
      </c>
      <c r="K246" s="49">
        <f>IFERROR(
IFERROR(INDEX(Calc_CPI_1[[CPI uplift factor]:[CPI uplift factor]],MATCH($C246,Calc_CPI_1[[Cost item]:[Cost item]],0),1),0)+(K244*K245)/1000,"-")</f>
        <v>1.3263699936933628E-2</v>
      </c>
      <c r="M246" s="54"/>
      <c r="N246" s="54"/>
    </row>
    <row r="247" spans="3:14" outlineLevel="1" x14ac:dyDescent="0.25">
      <c r="G247" s="54"/>
    </row>
    <row r="248" spans="3:14" ht="15.75" outlineLevel="1" x14ac:dyDescent="0.25">
      <c r="C248" s="20" t="s">
        <v>399</v>
      </c>
      <c r="N248" s="54"/>
    </row>
    <row r="249" spans="3:14" ht="15.75" outlineLevel="1" x14ac:dyDescent="0.25">
      <c r="C249" s="30" t="s">
        <v>51</v>
      </c>
      <c r="D249" s="30" t="s">
        <v>114</v>
      </c>
      <c r="E249" s="30" t="s">
        <v>62</v>
      </c>
      <c r="F249" s="30" t="s">
        <v>63</v>
      </c>
      <c r="G249" s="40" t="s">
        <v>65</v>
      </c>
      <c r="H249" s="40" t="s">
        <v>66</v>
      </c>
      <c r="I249" s="40" t="s">
        <v>67</v>
      </c>
      <c r="J249" s="40" t="s">
        <v>68</v>
      </c>
      <c r="K249" s="40" t="s">
        <v>69</v>
      </c>
    </row>
    <row r="250" spans="3:14" outlineLevel="1" x14ac:dyDescent="0.25">
      <c r="C250" s="14" t="s">
        <v>207</v>
      </c>
      <c r="D250" s="14" t="s">
        <v>184</v>
      </c>
      <c r="E250" s="14" t="s">
        <v>206</v>
      </c>
      <c r="F250" s="14" t="s">
        <v>139</v>
      </c>
      <c r="G250" s="49" cm="1">
        <f t="array" ref="G250">IFERROR(
(IFERROR(INDEX(Calc_CPI_1[[CPI uplift factor]:[CPI uplift factor]],MATCH(Calc_EnviroLRET_1[[#This Row],[Cost item]:[Cost item]],Calc_CPI_1[[Cost item]:[Cost item]],0),1),0)+
INDEX(Input_ForRateCalc[],MATCH(Calc_EnviroLRET_1[[#This Row],[Cost item]:[Cost item]],Input_ForRateCalc[[Cost item]:[Cost item]],0),MATCH($D$5,Inputs!$C$15:$AZ$15,0))),"-")</f>
        <v>49.03</v>
      </c>
      <c r="H250" s="49" cm="1">
        <f t="array" ref="H250">IFERROR(
(IFERROR(INDEX(Calc_CPI_1[[CPI uplift factor]:[CPI uplift factor]],MATCH(Calc_EnviroLRET_1[[#This Row],[Cost item]:[Cost item]],Calc_CPI_1[[Cost item]:[Cost item]],0),1),0)+
INDEX(Input_ForRateCalc[],MATCH(Calc_EnviroLRET_1[[#This Row],[Cost item]:[Cost item]],Input_ForRateCalc[[Cost item]:[Cost item]],0),MATCH($D$5,Inputs!$C$15:$AZ$15,0))),"-")</f>
        <v>49.03</v>
      </c>
      <c r="I250" s="49" cm="1">
        <f t="array" ref="I250">IFERROR(
(IFERROR(INDEX(Calc_CPI_1[[CPI uplift factor]:[CPI uplift factor]],MATCH(Calc_EnviroLRET_1[[#This Row],[Cost item]:[Cost item]],Calc_CPI_1[[Cost item]:[Cost item]],0),1),0)+
INDEX(Input_ForRateCalc[],MATCH(Calc_EnviroLRET_1[[#This Row],[Cost item]:[Cost item]],Input_ForRateCalc[[Cost item]:[Cost item]],0),MATCH($D$5,Inputs!$C$15:$AZ$15,0))),"-")</f>
        <v>49.03</v>
      </c>
      <c r="J250" s="49" cm="1">
        <f t="array" ref="J250">IFERROR(
(IFERROR(INDEX(Calc_CPI_1[[CPI uplift factor]:[CPI uplift factor]],MATCH(Calc_EnviroLRET_1[[#This Row],[Cost item]:[Cost item]],Calc_CPI_1[[Cost item]:[Cost item]],0),1),0)+
INDEX(Input_ForRateCalc[],MATCH(Calc_EnviroLRET_1[[#This Row],[Cost item]:[Cost item]],Input_ForRateCalc[[Cost item]:[Cost item]],0),MATCH($D$5,Inputs!$C$15:$AZ$15,0))),"-")</f>
        <v>49.03</v>
      </c>
      <c r="K250" s="49" cm="1">
        <f t="array" ref="K250">IFERROR(
(IFERROR(INDEX(Calc_CPI_1[[CPI uplift factor]:[CPI uplift factor]],MATCH(Calc_EnviroLRET_1[[#This Row],[Cost item]:[Cost item]],Calc_CPI_1[[Cost item]:[Cost item]],0),1),0)+
INDEX(Input_ForRateCalc[],MATCH(Calc_EnviroLRET_1[[#This Row],[Cost item]:[Cost item]],Input_ForRateCalc[[Cost item]:[Cost item]],0),MATCH($D$5,Inputs!$C$15:$AZ$15,0))),"-")</f>
        <v>49.03</v>
      </c>
    </row>
    <row r="251" spans="3:14" outlineLevel="1" x14ac:dyDescent="0.25">
      <c r="C251" s="14" t="s">
        <v>211</v>
      </c>
      <c r="D251" s="14" t="s">
        <v>184</v>
      </c>
      <c r="E251" s="14" t="s">
        <v>210</v>
      </c>
      <c r="F251" s="14" t="s">
        <v>139</v>
      </c>
      <c r="G251" s="125" cm="1">
        <f t="array" ref="G251">IFERROR(
(IFERROR(INDEX(Calc_CPI_1[[CPI uplift factor]:[CPI uplift factor]],MATCH(Calc_EnviroLRET_1[[#This Row],[Cost item]:[Cost item]],Calc_CPI_1[[Cost item]:[Cost item]],0),1),0)+
INDEX(Input_ForRateCalc[],MATCH(Calc_EnviroLRET_1[[#This Row],[Cost item]:[Cost item]],Input_ForRateCalc[[Cost item]:[Cost item]],0),MATCH($D$5,Inputs!$C$15:$AZ$15,0))),"-")</f>
        <v>0.18479999999999999</v>
      </c>
      <c r="H251" s="125" cm="1">
        <f t="array" ref="H251">IFERROR(
(IFERROR(INDEX(Calc_CPI_1[[CPI uplift factor]:[CPI uplift factor]],MATCH(Calc_EnviroLRET_1[[#This Row],[Cost item]:[Cost item]],Calc_CPI_1[[Cost item]:[Cost item]],0),1),0)+
INDEX(Input_ForRateCalc[],MATCH(Calc_EnviroLRET_1[[#This Row],[Cost item]:[Cost item]],Input_ForRateCalc[[Cost item]:[Cost item]],0),MATCH($D$5,Inputs!$C$15:$AZ$15,0))),"-")</f>
        <v>0.18479999999999999</v>
      </c>
      <c r="I251" s="125" cm="1">
        <f t="array" ref="I251">IFERROR(
(IFERROR(INDEX(Calc_CPI_1[[CPI uplift factor]:[CPI uplift factor]],MATCH(Calc_EnviroLRET_1[[#This Row],[Cost item]:[Cost item]],Calc_CPI_1[[Cost item]:[Cost item]],0),1),0)+
INDEX(Input_ForRateCalc[],MATCH(Calc_EnviroLRET_1[[#This Row],[Cost item]:[Cost item]],Input_ForRateCalc[[Cost item]:[Cost item]],0),MATCH($D$5,Inputs!$C$15:$AZ$15,0))),"-")</f>
        <v>0.18479999999999999</v>
      </c>
      <c r="J251" s="125" cm="1">
        <f t="array" ref="J251">IFERROR(
(IFERROR(INDEX(Calc_CPI_1[[CPI uplift factor]:[CPI uplift factor]],MATCH(Calc_EnviroLRET_1[[#This Row],[Cost item]:[Cost item]],Calc_CPI_1[[Cost item]:[Cost item]],0),1),0)+
INDEX(Input_ForRateCalc[],MATCH(Calc_EnviroLRET_1[[#This Row],[Cost item]:[Cost item]],Input_ForRateCalc[[Cost item]:[Cost item]],0),MATCH($D$5,Inputs!$C$15:$AZ$15,0))),"-")</f>
        <v>0.18479999999999999</v>
      </c>
      <c r="K251" s="125" cm="1">
        <f t="array" ref="K251">IFERROR(
(IFERROR(INDEX(Calc_CPI_1[[CPI uplift factor]:[CPI uplift factor]],MATCH(Calc_EnviroLRET_1[[#This Row],[Cost item]:[Cost item]],Calc_CPI_1[[Cost item]:[Cost item]],0),1),0)+
INDEX(Input_ForRateCalc[],MATCH(Calc_EnviroLRET_1[[#This Row],[Cost item]:[Cost item]],Input_ForRateCalc[[Cost item]:[Cost item]],0),MATCH($D$5,Inputs!$C$15:$AZ$15,0))),"-")</f>
        <v>0.18479999999999999</v>
      </c>
    </row>
    <row r="252" spans="3:14" outlineLevel="1" x14ac:dyDescent="0.25">
      <c r="C252" s="31" t="s">
        <v>400</v>
      </c>
      <c r="D252" s="31" t="s">
        <v>184</v>
      </c>
      <c r="E252" s="31" t="s">
        <v>75</v>
      </c>
      <c r="F252" s="14" t="s">
        <v>139</v>
      </c>
      <c r="G252" s="160">
        <f>IFERROR(
IFERROR(INDEX(Calc_CPI_1[[CPI uplift factor]:[CPI uplift factor]],MATCH($C252,Calc_CPI_1[[Cost item]:[Cost item]],0),1),0)+(G250*G251)/1000,"-")</f>
        <v>9.060743999999999E-3</v>
      </c>
      <c r="H252" s="49">
        <f>IFERROR(
IFERROR(INDEX(Calc_CPI_1[[CPI uplift factor]:[CPI uplift factor]],MATCH($C252,Calc_CPI_1[[Cost item]:[Cost item]],0),1),0)+(H250*H251)/1000,"-")</f>
        <v>9.060743999999999E-3</v>
      </c>
      <c r="I252" s="49">
        <f>IFERROR(
IFERROR(INDEX(Calc_CPI_1[[CPI uplift factor]:[CPI uplift factor]],MATCH($C252,Calc_CPI_1[[Cost item]:[Cost item]],0),1),0)+(I250*I251)/1000,"-")</f>
        <v>9.060743999999999E-3</v>
      </c>
      <c r="J252" s="49">
        <f>IFERROR(
IFERROR(INDEX(Calc_CPI_1[[CPI uplift factor]:[CPI uplift factor]],MATCH($C252,Calc_CPI_1[[Cost item]:[Cost item]],0),1),0)+(J250*J251)/1000,"-")</f>
        <v>9.060743999999999E-3</v>
      </c>
      <c r="K252" s="49">
        <f>IFERROR(
IFERROR(INDEX(Calc_CPI_1[[CPI uplift factor]:[CPI uplift factor]],MATCH($C252,Calc_CPI_1[[Cost item]:[Cost item]],0),1),0)+(K250*K251)/1000,"-")</f>
        <v>9.060743999999999E-3</v>
      </c>
      <c r="M252" s="54"/>
    </row>
    <row r="253" spans="3:14" outlineLevel="1" x14ac:dyDescent="0.25"/>
    <row r="254" spans="3:14" ht="15.75" outlineLevel="1" x14ac:dyDescent="0.25">
      <c r="C254" s="20" t="s">
        <v>401</v>
      </c>
    </row>
    <row r="255" spans="3:14" ht="15.75" outlineLevel="1" x14ac:dyDescent="0.25">
      <c r="C255" s="30" t="s">
        <v>51</v>
      </c>
      <c r="D255" s="30" t="s">
        <v>114</v>
      </c>
      <c r="E255" s="30" t="s">
        <v>62</v>
      </c>
      <c r="F255" s="30" t="s">
        <v>63</v>
      </c>
      <c r="G255" s="40" t="s">
        <v>65</v>
      </c>
      <c r="H255" s="40" t="s">
        <v>66</v>
      </c>
      <c r="I255" s="40" t="s">
        <v>67</v>
      </c>
      <c r="J255" s="40" t="s">
        <v>68</v>
      </c>
      <c r="K255" s="40" t="s">
        <v>69</v>
      </c>
    </row>
    <row r="256" spans="3:14" outlineLevel="1" x14ac:dyDescent="0.25">
      <c r="C256" s="14" t="s">
        <v>208</v>
      </c>
      <c r="D256" s="14" t="s">
        <v>184</v>
      </c>
      <c r="E256" s="14" t="s">
        <v>206</v>
      </c>
      <c r="F256" s="14" t="s">
        <v>139</v>
      </c>
      <c r="G256" s="49" cm="1">
        <f t="array" ref="G256">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H256" s="49" cm="1">
        <f t="array" ref="H256">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I256" s="49" cm="1">
        <f t="array" ref="I256">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J256" s="49" cm="1">
        <f t="array" ref="J256">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c r="K256" s="49" cm="1">
        <f t="array" ref="K256">IFERROR(
(IFERROR(INDEX(Calc_CPI_1[[CPI uplift factor]:[CPI uplift factor]],MATCH(Calc_EnviroSRES_1[[#This Row],[Cost item]:[Cost item]],Calc_CPI_1[[Cost item]:[Cost item]],0),1),0)+
INDEX(Input_ForRateCalc[],MATCH(Calc_EnviroSRES_1[[#This Row],[Cost item]:[Cost item]],Input_ForRateCalc[[Cost item]:[Cost item]],0),MATCH($D$5,Inputs!$C$15:$AZ$15,0))),"-")</f>
        <v>40</v>
      </c>
    </row>
    <row r="257" spans="1:13" outlineLevel="1" x14ac:dyDescent="0.25">
      <c r="C257" s="14" t="s">
        <v>213</v>
      </c>
      <c r="D257" s="14" t="s">
        <v>184</v>
      </c>
      <c r="E257" s="14" t="s">
        <v>210</v>
      </c>
      <c r="F257" s="14" t="s">
        <v>139</v>
      </c>
      <c r="G257" s="125" cm="1">
        <f t="array" ref="G257">IFERROR(
(IFERROR(INDEX(Calc_CPI_1[[CPI uplift factor]:[CPI uplift factor]],MATCH(Calc_EnviroSRES_1[[#This Row],[Cost item]:[Cost item]],Calc_CPI_1[[Cost item]:[Cost item]],0),1),0)+
INDEX(Input_ForRateCalc[],MATCH(Calc_EnviroSRES_1[[#This Row],[Cost item]:[Cost item]],Input_ForRateCalc[[Cost item]:[Cost item]],0),MATCH($D$5,Inputs!$C$15:$AZ$15,0))),"-")</f>
        <v>0.187</v>
      </c>
      <c r="H257" s="125" cm="1">
        <f t="array" ref="H257">IFERROR(
(IFERROR(INDEX(Calc_CPI_1[[CPI uplift factor]:[CPI uplift factor]],MATCH(Calc_EnviroSRES_1[[#This Row],[Cost item]:[Cost item]],Calc_CPI_1[[Cost item]:[Cost item]],0),1),0)+
INDEX(Input_ForRateCalc[],MATCH(Calc_EnviroSRES_1[[#This Row],[Cost item]:[Cost item]],Input_ForRateCalc[[Cost item]:[Cost item]],0),MATCH($D$5,Inputs!$C$15:$AZ$15,0))),"-")</f>
        <v>0.187</v>
      </c>
      <c r="I257" s="125" cm="1">
        <f t="array" ref="I257">IFERROR(
(IFERROR(INDEX(Calc_CPI_1[[CPI uplift factor]:[CPI uplift factor]],MATCH(Calc_EnviroSRES_1[[#This Row],[Cost item]:[Cost item]],Calc_CPI_1[[Cost item]:[Cost item]],0),1),0)+
INDEX(Input_ForRateCalc[],MATCH(Calc_EnviroSRES_1[[#This Row],[Cost item]:[Cost item]],Input_ForRateCalc[[Cost item]:[Cost item]],0),MATCH($D$5,Inputs!$C$15:$AZ$15,0))),"-")</f>
        <v>0.187</v>
      </c>
      <c r="J257" s="125" cm="1">
        <f t="array" ref="J257">IFERROR(
(IFERROR(INDEX(Calc_CPI_1[[CPI uplift factor]:[CPI uplift factor]],MATCH(Calc_EnviroSRES_1[[#This Row],[Cost item]:[Cost item]],Calc_CPI_1[[Cost item]:[Cost item]],0),1),0)+
INDEX(Input_ForRateCalc[],MATCH(Calc_EnviroSRES_1[[#This Row],[Cost item]:[Cost item]],Input_ForRateCalc[[Cost item]:[Cost item]],0),MATCH($D$5,Inputs!$C$15:$AZ$15,0))),"-")</f>
        <v>0.187</v>
      </c>
      <c r="K257" s="125" cm="1">
        <f t="array" ref="K257">IFERROR(
(IFERROR(INDEX(Calc_CPI_1[[CPI uplift factor]:[CPI uplift factor]],MATCH(Calc_EnviroSRES_1[[#This Row],[Cost item]:[Cost item]],Calc_CPI_1[[Cost item]:[Cost item]],0),1),0)+
INDEX(Input_ForRateCalc[],MATCH(Calc_EnviroSRES_1[[#This Row],[Cost item]:[Cost item]],Input_ForRateCalc[[Cost item]:[Cost item]],0),MATCH($D$5,Inputs!$C$15:$AZ$15,0))),"-")</f>
        <v>0.187</v>
      </c>
    </row>
    <row r="258" spans="1:13" outlineLevel="1" x14ac:dyDescent="0.25">
      <c r="C258" s="31" t="s">
        <v>402</v>
      </c>
      <c r="D258" s="31" t="s">
        <v>184</v>
      </c>
      <c r="E258" s="31" t="s">
        <v>75</v>
      </c>
      <c r="F258" s="14" t="s">
        <v>139</v>
      </c>
      <c r="G258" s="160">
        <f>IFERROR(
IFERROR(INDEX(Calc_CPI_1[[CPI uplift factor]:[CPI uplift factor]],MATCH($C258,Calc_CPI_1[[Cost item]:[Cost item]],0),1),0)+(G256*G257)/1000,"-")</f>
        <v>7.4800000000000005E-3</v>
      </c>
      <c r="H258" s="49">
        <f>IFERROR(
IFERROR(INDEX(Calc_CPI_1[[CPI uplift factor]:[CPI uplift factor]],MATCH($C258,Calc_CPI_1[[Cost item]:[Cost item]],0),1),0)+(H256*H257)/1000,"-")</f>
        <v>7.4800000000000005E-3</v>
      </c>
      <c r="I258" s="49">
        <f>IFERROR(
IFERROR(INDEX(Calc_CPI_1[[CPI uplift factor]:[CPI uplift factor]],MATCH($C258,Calc_CPI_1[[Cost item]:[Cost item]],0),1),0)+(I256*I257)/1000,"-")</f>
        <v>7.4800000000000005E-3</v>
      </c>
      <c r="J258" s="49">
        <f>IFERROR(
IFERROR(INDEX(Calc_CPI_1[[CPI uplift factor]:[CPI uplift factor]],MATCH($C258,Calc_CPI_1[[Cost item]:[Cost item]],0),1),0)+(J256*J257)/1000,"-")</f>
        <v>7.4800000000000005E-3</v>
      </c>
      <c r="K258" s="49">
        <f>IFERROR(
IFERROR(INDEX(Calc_CPI_1[[CPI uplift factor]:[CPI uplift factor]],MATCH($C258,Calc_CPI_1[[Cost item]:[Cost item]],0),1),0)+(K256*K257)/1000,"-")</f>
        <v>7.4800000000000005E-3</v>
      </c>
      <c r="M258" s="54"/>
    </row>
    <row r="259" spans="1:13" outlineLevel="1" x14ac:dyDescent="0.25"/>
    <row r="260" spans="1:13" ht="15.75" outlineLevel="1" collapsed="1" x14ac:dyDescent="0.25">
      <c r="A260" s="1" t="s">
        <v>36</v>
      </c>
      <c r="C260" s="20" t="s">
        <v>403</v>
      </c>
    </row>
    <row r="261" spans="1:13" ht="15.75" outlineLevel="1" x14ac:dyDescent="0.25">
      <c r="C261" s="30" t="s">
        <v>51</v>
      </c>
      <c r="D261" s="30" t="s">
        <v>114</v>
      </c>
      <c r="E261" s="30" t="s">
        <v>62</v>
      </c>
      <c r="F261" s="30" t="s">
        <v>63</v>
      </c>
      <c r="G261" s="40" t="s">
        <v>65</v>
      </c>
      <c r="H261" s="40" t="s">
        <v>66</v>
      </c>
      <c r="I261" s="40" t="s">
        <v>67</v>
      </c>
      <c r="J261" s="40" t="s">
        <v>68</v>
      </c>
      <c r="K261" s="40" t="s">
        <v>69</v>
      </c>
    </row>
    <row r="262" spans="1:13" outlineLevel="1" x14ac:dyDescent="0.25">
      <c r="C262" s="31" t="s">
        <v>146</v>
      </c>
      <c r="D262" s="31" t="s">
        <v>184</v>
      </c>
      <c r="E262" s="14" t="s">
        <v>185</v>
      </c>
      <c r="F262" s="14" t="s">
        <v>139</v>
      </c>
      <c r="G262" s="49" cm="1">
        <f t="array" ref="G262">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f>
        <v>1.5968351161074819E-3</v>
      </c>
      <c r="H262" s="49" cm="1">
        <f t="array" ref="H262">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f>
        <v>1.5968351161074819E-3</v>
      </c>
      <c r="I262" s="49" cm="1">
        <f t="array" ref="I262">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f>
        <v>1.5968351161074819E-3</v>
      </c>
      <c r="J262" s="49" cm="1">
        <f t="array" ref="J262">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f>
        <v>1.5968351161074819E-3</v>
      </c>
      <c r="K262" s="49" cm="1">
        <f t="array" ref="K262">IFERROR(IF(Calc_FiT_1[[#This Row],[Fixed/Variable]]="Fixed",
(IFERROR(INDEX(Calc_CPI_1[[CPI uplift factor]:[CPI uplift factor]],MATCH(Calc_FiT_1[[#This Row],[Cost item]:[Cost item]],Calc_CPI_1[[Cost item]:[Cost item]],0),1),0)+
INDEX(Input_ForRateCalc[],MATCH(Calc_FiT_1[[#This Row],[Cost item]:[Cost item]],Input_ForRateCalc[[Cost item]:[Cost item]],0),MATCH($D$5,Inputs!$C$15:$AZ$15,0))),
(INDEX(Calc_CPI_1[[CPI uplift factor]:[CPI uplift factor]],MATCH(Calc_FiT_1[[#This Row],[Cost item]],Calc_CPI_1[[Cost item]:[Cost item]],0),1)+
INDEX(Input_ForRateCalc[],MATCH(Calc_FiT_1[[#This Row],[Cost item]],Input_ForRateCalc[[Cost item]:[Cost item]],0),MATCH($D$5,Inputs!$C$15:$AZ$15,0)))/1000),"-")</f>
        <v>1.5968351161074819E-3</v>
      </c>
    </row>
    <row r="263" spans="1:13" x14ac:dyDescent="0.25">
      <c r="G263" s="54"/>
    </row>
    <row r="265" spans="1:13" ht="15.75" x14ac:dyDescent="0.25">
      <c r="A265" s="1" t="s">
        <v>36</v>
      </c>
    </row>
    <row r="266" spans="1:13" hidden="1" x14ac:dyDescent="0.25"/>
    <row r="267" spans="1:13" ht="26.25" hidden="1" x14ac:dyDescent="0.25">
      <c r="B267"/>
      <c r="C267" s="156" t="s">
        <v>49</v>
      </c>
      <c r="D267" s="157" t="str">
        <f>Inputs!E10</f>
        <v>VDO 2023-24 - Final</v>
      </c>
    </row>
    <row r="268" spans="1:13" hidden="1" x14ac:dyDescent="0.25">
      <c r="B268"/>
    </row>
    <row r="269" spans="1:13" ht="16.5" hidden="1" thickBot="1" x14ac:dyDescent="0.3">
      <c r="B269" s="155">
        <f ca="1">MAX(B$3:B268)+0.01</f>
        <v>13.079999999999998</v>
      </c>
      <c r="C269" s="19" t="s">
        <v>360</v>
      </c>
      <c r="D269" s="19"/>
      <c r="E269" s="19"/>
      <c r="F269" s="19"/>
      <c r="G269" s="19"/>
      <c r="H269" s="19"/>
      <c r="I269" s="19"/>
      <c r="J269" s="19"/>
      <c r="K269" s="19"/>
    </row>
    <row r="270" spans="1:13" hidden="1" x14ac:dyDescent="0.25">
      <c r="B270"/>
      <c r="I270" s="61"/>
    </row>
    <row r="271" spans="1:13" ht="15.75" hidden="1" x14ac:dyDescent="0.25">
      <c r="B271"/>
      <c r="C271" s="30" t="s">
        <v>361</v>
      </c>
      <c r="D271" s="30" t="s">
        <v>114</v>
      </c>
      <c r="E271" s="30" t="s">
        <v>62</v>
      </c>
      <c r="F271" s="30" t="s">
        <v>63</v>
      </c>
      <c r="G271" s="40" t="s">
        <v>65</v>
      </c>
      <c r="H271" s="40" t="s">
        <v>66</v>
      </c>
      <c r="I271" s="40" t="s">
        <v>67</v>
      </c>
      <c r="J271" s="40" t="s">
        <v>68</v>
      </c>
      <c r="K271" s="40" t="s">
        <v>69</v>
      </c>
    </row>
    <row r="272" spans="1:13" hidden="1" x14ac:dyDescent="0.25">
      <c r="B272"/>
      <c r="C272" s="14" t="s">
        <v>136</v>
      </c>
      <c r="D272" s="14" t="s">
        <v>138</v>
      </c>
      <c r="E272" s="14" t="s">
        <v>71</v>
      </c>
      <c r="F272" s="14" t="s">
        <v>139</v>
      </c>
      <c r="G272" s="50">
        <f>SUMIFS(Calc_Retail_2[Ausnet],Calc_Retail_2[Fixed/Variable],$D272,Calc_Retail_2[Customer type],$F272)</f>
        <v>175.92415101117138</v>
      </c>
      <c r="H272" s="50">
        <f>SUMIFS(Calc_Retail_2[Citipower],Calc_Retail_2[[Fixed/Variable]:[Fixed/Variable]],$D272,Calc_Retail_2[[Customer type]:[Customer type]],$F272)</f>
        <v>175.92415101117138</v>
      </c>
      <c r="I272" s="50">
        <f>SUMIFS(Calc_Retail_2[Jemena],Calc_Retail_2[[Fixed/Variable]:[Fixed/Variable]],$D272,Calc_Retail_2[[Customer type]:[Customer type]],$F272)</f>
        <v>175.92415101117138</v>
      </c>
      <c r="J272" s="50">
        <f>SUMIFS(Calc_Retail_2[Powercor],Calc_Retail_2[[Fixed/Variable]:[Fixed/Variable]],$D272,Calc_Retail_2[[Customer type]:[Customer type]],$F272)</f>
        <v>175.92415101117138</v>
      </c>
      <c r="K272" s="50">
        <f>SUMIFS(Calc_Retail_2[United Energy],Calc_Retail_2[[Fixed/Variable]:[Fixed/Variable]],$D272,Calc_Retail_2[[Customer type]:[Customer type]],$F272)</f>
        <v>175.92415101117138</v>
      </c>
    </row>
    <row r="273" spans="2:16" hidden="1" x14ac:dyDescent="0.25">
      <c r="B273"/>
      <c r="C273" s="14" t="s">
        <v>147</v>
      </c>
      <c r="D273" s="14" t="s">
        <v>138</v>
      </c>
      <c r="E273" s="14" t="s">
        <v>71</v>
      </c>
      <c r="F273" s="14" t="s">
        <v>139</v>
      </c>
      <c r="G273" s="53">
        <f>SUMIFS(Calc_OtherCosts_2[Ausnet],Calc_OtherCosts_2[[Fixed/Variable]:[Fixed/Variable]],$D273,Calc_OtherCosts_2[[Customer type]:[Customer type]],$F273)</f>
        <v>10.663924892904003</v>
      </c>
      <c r="H273" s="50">
        <f>SUMIFS(Calc_OtherCosts_2[Citipower],Calc_OtherCosts_2[[Fixed/Variable]:[Fixed/Variable]],$D273,Calc_OtherCosts_2[[Customer type]:[Customer type]],$F273)</f>
        <v>10.663924892904003</v>
      </c>
      <c r="I273" s="50">
        <f>SUMIFS(Calc_OtherCosts_2[Jemena],Calc_OtherCosts_2[[Fixed/Variable]:[Fixed/Variable]],$D273,Calc_OtherCosts_2[[Customer type]:[Customer type]],$F273)</f>
        <v>10.663924892904003</v>
      </c>
      <c r="J273" s="50">
        <f>SUMIFS(Calc_OtherCosts_2[Powercor],Calc_OtherCosts_2[[Fixed/Variable]:[Fixed/Variable]],$D273,Calc_OtherCosts_2[[Customer type]:[Customer type]],$F273)</f>
        <v>10.663924892904003</v>
      </c>
      <c r="K273" s="50">
        <f>SUMIFS(Calc_OtherCosts_2[United Energy],Calc_OtherCosts_2[[Fixed/Variable]:[Fixed/Variable]],$D273,Calc_OtherCosts_2[[Customer type]:[Customer type]],$F273)</f>
        <v>10.663924892904003</v>
      </c>
    </row>
    <row r="274" spans="2:16" hidden="1" x14ac:dyDescent="0.25">
      <c r="B274"/>
      <c r="C274" s="14" t="s">
        <v>362</v>
      </c>
      <c r="D274" s="14" t="s">
        <v>138</v>
      </c>
      <c r="E274" s="14" t="s">
        <v>71</v>
      </c>
      <c r="F274" s="14" t="s">
        <v>139</v>
      </c>
      <c r="G274" s="50">
        <f>SUMIFS(Calc_FiT_2[Ausnet],Calc_FiT_2[[Fixed/Variable]:[Fixed/Variable]],$D274,Calc_FiT_2[[Customer type]:[Customer type]],$F274)</f>
        <v>16.945572514842485</v>
      </c>
      <c r="H274" s="50">
        <f>SUMIFS(Calc_FiT_2[Citipower],Calc_FiT_2[[Fixed/Variable]:[Fixed/Variable]],$D274,Calc_FiT_2[[Customer type]:[Customer type]],$F274)</f>
        <v>16.945572514842485</v>
      </c>
      <c r="I274" s="50">
        <f>SUMIFS(Calc_FiT_2[Jemena],Calc_FiT_2[[Fixed/Variable]:[Fixed/Variable]],$D274,Calc_FiT_2[[Customer type]:[Customer type]],$F274)</f>
        <v>16.945572514842485</v>
      </c>
      <c r="J274" s="50">
        <f>SUMIFS(Calc_FiT_2[Powercor],Calc_FiT_2[[Fixed/Variable]:[Fixed/Variable]],$D274,Calc_FiT_2[[Customer type]:[Customer type]],$F274)</f>
        <v>16.945572514842485</v>
      </c>
      <c r="K274" s="50">
        <f>SUMIFS(Calc_FiT_2[United Energy],Calc_FiT_2[[Fixed/Variable]:[Fixed/Variable]],$D274,Calc_FiT_2[[Customer type]:[Customer type]],$F274)</f>
        <v>16.945572514842485</v>
      </c>
      <c r="P274" s="61"/>
    </row>
    <row r="275" spans="2:16" hidden="1" x14ac:dyDescent="0.25">
      <c r="B275"/>
      <c r="C275" s="14" t="s">
        <v>363</v>
      </c>
      <c r="D275" s="14" t="s">
        <v>138</v>
      </c>
      <c r="E275" s="14" t="s">
        <v>71</v>
      </c>
      <c r="F275" s="14" t="s">
        <v>139</v>
      </c>
      <c r="G275" s="50">
        <f>SUMIFS(Calc_NetworkF_2[Ausnet],Calc_NetworkF_2[[Fixed/Variable]:[Fixed/Variable]],$D275,Calc_NetworkF_2[[Customer type]:[Customer type]],$F275)</f>
        <v>81.098642274190084</v>
      </c>
      <c r="H275" s="50">
        <f>SUMIFS(Calc_NetworkF_2[Citipower],Calc_NetworkF_2[[Fixed/Variable]:[Fixed/Variable]],$D275,Calc_NetworkF_2[[Customer type]:[Customer type]],$F275)</f>
        <v>69.333895686956055</v>
      </c>
      <c r="I275" s="50">
        <f>SUMIFS(Calc_NetworkF_2[Jemena],Calc_NetworkF_2[[Fixed/Variable]:[Fixed/Variable]],$D275,Calc_NetworkF_2[[Customer type]:[Customer type]],$F275)</f>
        <v>60.012342755043747</v>
      </c>
      <c r="J275" s="50">
        <f>SUMIFS(Calc_NetworkF_2[Powercor],Calc_NetworkF_2[[Fixed/Variable]:[Fixed/Variable]],$D275,Calc_NetworkF_2[[Customer type]:[Customer type]],$F275)</f>
        <v>65.762555105520235</v>
      </c>
      <c r="K275" s="50">
        <f>SUMIFS(Calc_NetworkF_2[United Energy],Calc_NetworkF_2[[Fixed/Variable]:[Fixed/Variable]],$D275,Calc_NetworkF_2[[Customer type]:[Customer type]],$F275)</f>
        <v>46.962287631947568</v>
      </c>
    </row>
    <row r="276" spans="2:16" hidden="1" x14ac:dyDescent="0.25">
      <c r="B276"/>
    </row>
    <row r="277" spans="2:16" ht="15.75" hidden="1" collapsed="1" x14ac:dyDescent="0.25">
      <c r="B277"/>
      <c r="C277" s="20" t="s">
        <v>364</v>
      </c>
    </row>
    <row r="278" spans="2:16" ht="15.75" hidden="1" outlineLevel="1" x14ac:dyDescent="0.25">
      <c r="B278"/>
      <c r="C278" s="57" t="s">
        <v>70</v>
      </c>
    </row>
    <row r="279" spans="2:16" hidden="1" outlineLevel="1" x14ac:dyDescent="0.25">
      <c r="B279"/>
      <c r="C279" s="14" t="s">
        <v>365</v>
      </c>
      <c r="D279" s="14" t="s">
        <v>64</v>
      </c>
      <c r="E279" s="14" t="s">
        <v>71</v>
      </c>
      <c r="F279" s="14" t="s">
        <v>72</v>
      </c>
      <c r="G279" s="41">
        <f>SUMIFS(Calc_NetworkF_2[Ausnet],Calc_NetworkF_2[[Cost item]:[Cost item]],$C278,Calc_NetworkF_2[[Customer type]:[Customer type]],$F279)</f>
        <v>132.87190000000001</v>
      </c>
      <c r="H279" s="41">
        <f>SUMIFS(Calc_NetworkF_2[Citipower],Calc_NetworkF_2[[Cost item]:[Cost item]],$C278,Calc_NetworkF_2[[Customer type]:[Customer type]],$F279)</f>
        <v>90.255600000000001</v>
      </c>
      <c r="I279" s="41">
        <f>SUMIFS(Calc_NetworkF_2[Jemena],Calc_NetworkF_2[[Cost item]:[Cost item]],$C278,Calc_NetworkF_2[[Customer type]:[Customer type]],$F279)</f>
        <v>96.846999999999994</v>
      </c>
      <c r="J279" s="41">
        <f>SUMIFS(Calc_NetworkF_2[Powercor],Calc_NetworkF_2[[Cost item]:[Cost item]],$C278,Calc_NetworkF_2[[Customer type]:[Customer type]],$F279)</f>
        <v>140.36100000000002</v>
      </c>
      <c r="K279" s="41">
        <f>SUMIFS(Calc_NetworkF_2[United Energy],Calc_NetworkF_2[[Cost item]:[Cost item]],$C278,Calc_NetworkF_2[[Customer type]:[Customer type]],$F279)</f>
        <v>90.218999999999994</v>
      </c>
    </row>
    <row r="280" spans="2:16" hidden="1" outlineLevel="1" x14ac:dyDescent="0.25">
      <c r="B280"/>
      <c r="C280" s="14" t="s">
        <v>361</v>
      </c>
      <c r="D280" s="14" t="s">
        <v>64</v>
      </c>
      <c r="E280" s="14" t="s">
        <v>71</v>
      </c>
      <c r="F280" s="14" t="s">
        <v>72</v>
      </c>
      <c r="G280" s="50">
        <f>IF(G279=0,"-",SUMIFS(Calc_Fixed_2[Ausnet],Calc_Fixed_2[Customer type],"All")+SUMIFS(Calc_Fixed_2[Ausnet],Calc_Fixed_2[Customer type],$F280))</f>
        <v>284.63229069310796</v>
      </c>
      <c r="H280" s="50">
        <f>IF(H279=0,"-",SUMIFS(Calc_Fixed_2[Citipower],Calc_Fixed_2[[Customer type]:[Customer type]],"All")+SUMIFS(Calc_Fixed_2[Citipower],Calc_Fixed_2[[Customer type]:[Customer type]],$F281))</f>
        <v>272.86754410587389</v>
      </c>
      <c r="I280" s="50">
        <f>IF(I279=0,"-",SUMIFS(Calc_Fixed_2[Jemena],Calc_Fixed_2[[Customer type]:[Customer type]],"All")+SUMIFS(Calc_Fixed_2[Jemena],Calc_Fixed_2[[Customer type]:[Customer type]],$F281))</f>
        <v>263.54599117396162</v>
      </c>
      <c r="J280" s="50">
        <f>IF(J279=0,"-",SUMIFS(Calc_Fixed_2[Powercor],Calc_Fixed_2[[Customer type]:[Customer type]],"All")+SUMIFS(Calc_Fixed_2[Powercor],Calc_Fixed_2[[Customer type]:[Customer type]],$F281))</f>
        <v>269.29620352443811</v>
      </c>
      <c r="K280" s="50">
        <f>IF(K279=0,"-",SUMIFS(Calc_Fixed_2[United Energy],Calc_Fixed_2[[Customer type]:[Customer type]],"All")+SUMIFS(Calc_Fixed_2[United Energy],Calc_Fixed_2[[Customer type]:[Customer type]],$F281))</f>
        <v>250.49593605086542</v>
      </c>
    </row>
    <row r="281" spans="2:16" hidden="1" outlineLevel="1" x14ac:dyDescent="0.25">
      <c r="B281"/>
      <c r="C281" s="14" t="s">
        <v>263</v>
      </c>
      <c r="D281" s="14" t="s">
        <v>64</v>
      </c>
      <c r="E281" s="14" t="s">
        <v>71</v>
      </c>
      <c r="F281" s="14" t="s">
        <v>72</v>
      </c>
      <c r="G281" s="50" cm="1">
        <f t="array" ref="G281">IF(G279=0,"-",(G279+G280)*Calc_ROM_2[Ausnet])</f>
        <v>23.380234678814045</v>
      </c>
      <c r="H281" s="50" cm="1">
        <f t="array" ref="H281">IF(H279=0,"-",(H279+H280)*Calc_ROM_2[Citipower])</f>
        <v>20.334896069928938</v>
      </c>
      <c r="I281" s="50" cm="1">
        <f t="array" ref="I281">IF(I279=0,"-",(I279+I280)*Calc_ROM_2[Jemena])</f>
        <v>20.182007505741851</v>
      </c>
      <c r="J281" s="50" cm="1">
        <f t="array" ref="J281">IF(J279=0,"-",(J279+J280)*Calc_ROM_2[Powercor])</f>
        <v>22.940803397368537</v>
      </c>
      <c r="K281" s="50" cm="1">
        <f t="array" ref="K281">IF(K279=0,"-",(K279+K280)*Calc_ROM_2[United Energy])</f>
        <v>19.080036418848461</v>
      </c>
    </row>
    <row r="282" spans="2:16" hidden="1" outlineLevel="1" x14ac:dyDescent="0.25">
      <c r="B282"/>
      <c r="C282" s="14" t="s">
        <v>366</v>
      </c>
      <c r="D282" s="14" t="s">
        <v>64</v>
      </c>
      <c r="E282" s="14" t="s">
        <v>71</v>
      </c>
      <c r="F282" s="14" t="s">
        <v>72</v>
      </c>
      <c r="G282" s="50">
        <f>IF(G279=0,"-",(G279+G280+G281)*GST)</f>
        <v>44.088442537192201</v>
      </c>
      <c r="H282" s="50">
        <f>IF(H279=0,"-",(H279+H280+H281)*GST)</f>
        <v>38.345804017580285</v>
      </c>
      <c r="I282" s="50">
        <f>IF(I279=0,"-",(I279+I280+I281)*GST)</f>
        <v>38.05749986797035</v>
      </c>
      <c r="J282" s="50">
        <f>IF(J279=0,"-",(J279+J280+J281)*GST)</f>
        <v>43.259800692180676</v>
      </c>
      <c r="K282" s="50">
        <f>IF(K279=0,"-",(K279+K280+K281)*GST)</f>
        <v>35.979497246971384</v>
      </c>
    </row>
    <row r="283" spans="2:16" hidden="1" outlineLevel="1" x14ac:dyDescent="0.25">
      <c r="B283"/>
      <c r="C283" s="14" t="s">
        <v>367</v>
      </c>
      <c r="D283" s="14" t="s">
        <v>64</v>
      </c>
      <c r="E283" s="14" t="s">
        <v>71</v>
      </c>
      <c r="F283" s="14" t="s">
        <v>72</v>
      </c>
      <c r="G283" s="50">
        <f>IF(G279=0,"-",G279+G280+G281+G282)</f>
        <v>484.97286790911414</v>
      </c>
      <c r="H283" s="50">
        <f>IF(H279=0,"-",H279+H280+H281+H282)</f>
        <v>421.80384419338316</v>
      </c>
      <c r="I283" s="50">
        <f>IF(I279=0,"-",I279+I280+I281+I282)</f>
        <v>418.63249854767383</v>
      </c>
      <c r="J283" s="50">
        <f>IF(J279=0,"-",J279+J280+J281+J282)</f>
        <v>475.85780761398735</v>
      </c>
      <c r="K283" s="50">
        <f>IF(K279=0,"-",K279+K280+K281+K282)</f>
        <v>395.77446971668525</v>
      </c>
    </row>
    <row r="284" spans="2:16" hidden="1" outlineLevel="1" x14ac:dyDescent="0.25">
      <c r="B284"/>
      <c r="C284" s="14" t="str">
        <f>C278</f>
        <v>Anytime - supply</v>
      </c>
      <c r="D284" s="14" t="s">
        <v>64</v>
      </c>
      <c r="E284" s="14" t="s">
        <v>71</v>
      </c>
      <c r="F284" s="14" t="s">
        <v>72</v>
      </c>
      <c r="G284" s="51">
        <f>IF(G279=0,"-",G283/DiPY)</f>
        <v>1.325062480625995</v>
      </c>
      <c r="H284" s="51">
        <f>IF(H279=0,"-",H283/DiPY)</f>
        <v>1.1524695196540524</v>
      </c>
      <c r="I284" s="51">
        <f>IF(I279=0,"-",I283/DiPY)</f>
        <v>1.1438046408406388</v>
      </c>
      <c r="J284" s="51">
        <f>IF(J279=0,"-",J283/DiPY)</f>
        <v>1.3001579443005118</v>
      </c>
      <c r="K284" s="51">
        <f>IF(K279=0,"-",K283/DiPY)</f>
        <v>1.0813510101548778</v>
      </c>
    </row>
    <row r="285" spans="2:16" hidden="1" outlineLevel="1" x14ac:dyDescent="0.25">
      <c r="B285"/>
      <c r="G285" s="79" cm="1">
        <f t="array" ref="G285">IF(G279=0,"-",
IF(ROUND(G284,8)=ROUND((((
SUMIFS(Calc_NetworkF_2[Ausnet],Calc_NetworkF_2[[Cost item]:[Cost item]],$C278,Calc_NetworkF_2[[Customer type]:[Customer type]],$F279)+
SUMIFS(Calc_Fixed_2[Ausnet],Calc_Fixed_2[[Customer type]:[Customer type]],Calc_Rates!$F284)+
SUMIFS(Calc_Fixed_2[Ausnet],Calc_Fixed_2[[Customer type]:[Customer type]],"All"))*(1+Calc_ROM_2[Ausnet]))*(1+GST))/DiPY,8),0,1))</f>
        <v>0</v>
      </c>
      <c r="H285" s="79" cm="1">
        <f t="array" ref="H285">IF(H279=0,"-",
IF(ROUND(H284,8)=ROUND((((
SUMIFS(Calc_NetworkF_2[Citipower],Calc_NetworkF_2[[Cost item]:[Cost item]],$C278,Calc_NetworkF_2[[Customer type]:[Customer type]],$F279)+
SUMIFS(Calc_Fixed_2[Citipower],Calc_Fixed_2[[Customer type]:[Customer type]],Calc_Rates!$F284)+
SUMIFS(Calc_Fixed_2[Citipower],Calc_Fixed_2[[Customer type]:[Customer type]],"All"))*(1+Calc_ROM_2[Citipower]))*(1+GST))/DiPY,8),0,1))</f>
        <v>0</v>
      </c>
      <c r="I285" s="79" cm="1">
        <f t="array" ref="I285">IF(I279=0,"-",
IF(ROUND(I284,8)=ROUND((((
SUMIFS(Calc_NetworkF_2[Jemena],Calc_NetworkF_2[[Cost item]:[Cost item]],$C278,Calc_NetworkF_2[[Customer type]:[Customer type]],$F279)+
SUMIFS(Calc_Fixed_2[Jemena],Calc_Fixed_2[[Customer type]:[Customer type]],Calc_Rates!$F284)+
SUMIFS(Calc_Fixed_2[Jemena],Calc_Fixed_2[[Customer type]:[Customer type]],"All"))*(1+Calc_ROM_2[Jemena]))*(1+GST))/DiPY,8),0,1))</f>
        <v>0</v>
      </c>
      <c r="J285" s="79" cm="1">
        <f t="array" ref="J285">IF(J279=0,"-",
IF(ROUND(J284,8)=ROUND((((
SUMIFS(Calc_NetworkF_2[Powercor],Calc_NetworkF_2[[Cost item]:[Cost item]],$C278,Calc_NetworkF_2[[Customer type]:[Customer type]],$F279)+
SUMIFS(Calc_Fixed_2[Powercor],Calc_Fixed_2[[Customer type]:[Customer type]],Calc_Rates!$F284)+
SUMIFS(Calc_Fixed_2[Powercor],Calc_Fixed_2[[Customer type]:[Customer type]],"All"))*(1+Calc_ROM_2[Powercor]))*(1+GST))/DiPY,8),0,1))</f>
        <v>0</v>
      </c>
      <c r="K285" s="79" cm="1">
        <f t="array" ref="K285">IF(K279=0,"-",
IF(ROUND(K284,8)=ROUND((((
SUMIFS(Calc_NetworkF_2[United Energy],Calc_NetworkF_2[[Cost item]:[Cost item]],$C278,Calc_NetworkF_2[[Customer type]:[Customer type]],$F279)+
SUMIFS(Calc_Fixed_2[United Energy],Calc_Fixed_2[[Customer type]:[Customer type]],Calc_Rates!$F284)+
SUMIFS(Calc_Fixed_2[United Energy],Calc_Fixed_2[[Customer type]:[Customer type]],"All"))*(1+Calc_ROM_2[United Energy]))*(1+GST))/DiPY,8),0,1))</f>
        <v>0</v>
      </c>
    </row>
    <row r="286" spans="2:16" ht="15.75" hidden="1" outlineLevel="1" x14ac:dyDescent="0.25">
      <c r="B286"/>
      <c r="C286" s="57" t="s">
        <v>78</v>
      </c>
    </row>
    <row r="287" spans="2:16" hidden="1" outlineLevel="1" x14ac:dyDescent="0.25">
      <c r="B287"/>
      <c r="C287" s="14" t="s">
        <v>365</v>
      </c>
      <c r="D287" s="14" t="s">
        <v>64</v>
      </c>
      <c r="E287" s="14" t="s">
        <v>71</v>
      </c>
      <c r="F287" s="14" t="s">
        <v>72</v>
      </c>
      <c r="G287" s="41">
        <f>SUMIFS(Calc_NetworkF_2[Ausnet],Calc_NetworkF_2[[Cost item]:[Cost item]],$C286,Calc_NetworkF_2[[Customer type]:[Customer type]],$F287)</f>
        <v>132.87190000000001</v>
      </c>
      <c r="H287" s="41">
        <f>SUMIFS(Calc_NetworkF_2[Citipower],Calc_NetworkF_2[[Cost item]:[Cost item]],$C286,Calc_NetworkF_2[[Customer type]:[Customer type]],$F287)</f>
        <v>90.255600000000001</v>
      </c>
      <c r="I287" s="41">
        <f>SUMIFS(Calc_NetworkF_2[Jemena],Calc_NetworkF_2[[Cost item]:[Cost item]],$C286,Calc_NetworkF_2[[Customer type]:[Customer type]],$F287)</f>
        <v>96.846999999999994</v>
      </c>
      <c r="J287" s="41">
        <f>SUMIFS(Calc_NetworkF_2[Powercor],Calc_NetworkF_2[[Cost item]:[Cost item]],$C286,Calc_NetworkF_2[[Customer type]:[Customer type]],$F287)</f>
        <v>140.36100000000002</v>
      </c>
      <c r="K287" s="41">
        <f>SUMIFS(Calc_NetworkF_2[United Energy],Calc_NetworkF_2[[Cost item]:[Cost item]],$C286,Calc_NetworkF_2[[Customer type]:[Customer type]],$F287)</f>
        <v>90.218999999999994</v>
      </c>
    </row>
    <row r="288" spans="2:16" hidden="1" outlineLevel="1" x14ac:dyDescent="0.25">
      <c r="B288"/>
      <c r="C288" s="14" t="s">
        <v>361</v>
      </c>
      <c r="D288" s="14" t="s">
        <v>64</v>
      </c>
      <c r="E288" s="14" t="s">
        <v>71</v>
      </c>
      <c r="F288" s="14" t="s">
        <v>72</v>
      </c>
      <c r="G288" s="50">
        <f>IF(G287=0,"-",SUMIFS(Calc_Fixed_2[Ausnet],Calc_Fixed_2[[Customer type]:[Customer type]],"All")+SUMIFS(Calc_Fixed_2[Ausnet],Calc_Fixed_2[[Customer type]:[Customer type]],$F288))</f>
        <v>284.63229069310796</v>
      </c>
      <c r="H288" s="50">
        <f>IF(H287=0,"-",SUMIFS(Calc_Fixed_2[Citipower],Calc_Fixed_2[[Customer type]:[Customer type]],"All")+SUMIFS(Calc_Fixed_2[Citipower],Calc_Fixed_2[[Customer type]:[Customer type]],$F289))</f>
        <v>272.86754410587389</v>
      </c>
      <c r="I288" s="50">
        <f>IF(I287=0,"-",SUMIFS(Calc_Fixed_2[Jemena],Calc_Fixed_2[[Customer type]:[Customer type]],"All")+SUMIFS(Calc_Fixed_2[Jemena],Calc_Fixed_2[[Customer type]:[Customer type]],$F289))</f>
        <v>263.54599117396162</v>
      </c>
      <c r="J288" s="50">
        <f>IF(J287=0,"-",SUMIFS(Calc_Fixed_2[Powercor],Calc_Fixed_2[[Customer type]:[Customer type]],"All")+SUMIFS(Calc_Fixed_2[Powercor],Calc_Fixed_2[[Customer type]:[Customer type]],$F289))</f>
        <v>269.29620352443811</v>
      </c>
      <c r="K288" s="50">
        <f>IF(K287=0,"-",SUMIFS(Calc_Fixed_2[United Energy],Calc_Fixed_2[[Customer type]:[Customer type]],"All")+SUMIFS(Calc_Fixed_2[United Energy],Calc_Fixed_2[[Customer type]:[Customer type]],$F289))</f>
        <v>250.49593605086542</v>
      </c>
    </row>
    <row r="289" spans="2:11" hidden="1" outlineLevel="1" x14ac:dyDescent="0.25">
      <c r="B289"/>
      <c r="C289" s="14" t="s">
        <v>263</v>
      </c>
      <c r="D289" s="14" t="s">
        <v>64</v>
      </c>
      <c r="E289" s="14" t="s">
        <v>71</v>
      </c>
      <c r="F289" s="14" t="s">
        <v>72</v>
      </c>
      <c r="G289" s="50" cm="1">
        <f t="array" ref="G289">IF(G287=0,"-",(G287+G288)*Calc_ROM_2[Ausnet])</f>
        <v>23.380234678814045</v>
      </c>
      <c r="H289" s="50" cm="1">
        <f t="array" ref="H289">IF(H287=0,"-",(H287+H288)*Calc_ROM_2[Citipower])</f>
        <v>20.334896069928938</v>
      </c>
      <c r="I289" s="50" cm="1">
        <f t="array" ref="I289">IF(I287=0,"-",(I287+I288)*Calc_ROM_2[Jemena])</f>
        <v>20.182007505741851</v>
      </c>
      <c r="J289" s="50" cm="1">
        <f t="array" ref="J289">IF(J287=0,"-",(J287+J288)*Calc_ROM_2[Powercor])</f>
        <v>22.940803397368537</v>
      </c>
      <c r="K289" s="50" cm="1">
        <f t="array" ref="K289">IF(K287=0,"-",(K287+K288)*Calc_ROM_2[United Energy])</f>
        <v>19.080036418848461</v>
      </c>
    </row>
    <row r="290" spans="2:11" hidden="1" outlineLevel="1" x14ac:dyDescent="0.25">
      <c r="B290"/>
      <c r="C290" s="14" t="s">
        <v>366</v>
      </c>
      <c r="D290" s="14" t="s">
        <v>64</v>
      </c>
      <c r="E290" s="14" t="s">
        <v>71</v>
      </c>
      <c r="F290" s="14" t="s">
        <v>72</v>
      </c>
      <c r="G290" s="50">
        <f>IF(G287=0,"-",(G287+G288+G289)*GST)</f>
        <v>44.088442537192201</v>
      </c>
      <c r="H290" s="50">
        <f>IF(H287=0,"-",(H287+H288+H289)*GST)</f>
        <v>38.345804017580285</v>
      </c>
      <c r="I290" s="50">
        <f>IF(I287=0,"-",(I287+I288+I289)*GST)</f>
        <v>38.05749986797035</v>
      </c>
      <c r="J290" s="50">
        <f>IF(J287=0,"-",(J287+J288+J289)*GST)</f>
        <v>43.259800692180676</v>
      </c>
      <c r="K290" s="50">
        <f>IF(K287=0,"-",(K287+K288+K289)*GST)</f>
        <v>35.979497246971384</v>
      </c>
    </row>
    <row r="291" spans="2:11" hidden="1" outlineLevel="1" x14ac:dyDescent="0.25">
      <c r="B291"/>
      <c r="C291" s="14" t="s">
        <v>367</v>
      </c>
      <c r="D291" s="14" t="s">
        <v>64</v>
      </c>
      <c r="E291" s="14" t="s">
        <v>71</v>
      </c>
      <c r="F291" s="14" t="s">
        <v>72</v>
      </c>
      <c r="G291" s="50">
        <f>IF(G287=0,"-",G287+G288+G289+G290)</f>
        <v>484.97286790911414</v>
      </c>
      <c r="H291" s="50">
        <f>IF(H287=0,"-",H287+H288+H289+H290)</f>
        <v>421.80384419338316</v>
      </c>
      <c r="I291" s="50">
        <f>IF(I287=0,"-",I287+I288+I289+I290)</f>
        <v>418.63249854767383</v>
      </c>
      <c r="J291" s="50">
        <f>IF(J287=0,"-",J287+J288+J289+J290)</f>
        <v>475.85780761398735</v>
      </c>
      <c r="K291" s="50">
        <f>IF(K287=0,"-",K287+K288+K289+K290)</f>
        <v>395.77446971668525</v>
      </c>
    </row>
    <row r="292" spans="2:11" hidden="1" outlineLevel="1" x14ac:dyDescent="0.25">
      <c r="B292"/>
      <c r="C292" s="14" t="str">
        <f>C286</f>
        <v>TOU - supply</v>
      </c>
      <c r="D292" s="14" t="s">
        <v>64</v>
      </c>
      <c r="E292" s="14" t="s">
        <v>71</v>
      </c>
      <c r="F292" s="14" t="s">
        <v>72</v>
      </c>
      <c r="G292" s="51">
        <f>IF(G287=0,"-",G291/DiPY)</f>
        <v>1.325062480625995</v>
      </c>
      <c r="H292" s="51">
        <f>IF(H287=0,"-",H291/DiPY)</f>
        <v>1.1524695196540524</v>
      </c>
      <c r="I292" s="51">
        <f>IF(I287=0,"-",I291/DiPY)</f>
        <v>1.1438046408406388</v>
      </c>
      <c r="J292" s="51">
        <f>IF(J287=0,"-",J291/DiPY)</f>
        <v>1.3001579443005118</v>
      </c>
      <c r="K292" s="51">
        <f>IF(K287=0,"-",K291/DiPY)</f>
        <v>1.0813510101548778</v>
      </c>
    </row>
    <row r="293" spans="2:11" hidden="1" outlineLevel="1" x14ac:dyDescent="0.25">
      <c r="B293"/>
      <c r="G293" s="79" cm="1">
        <f t="array" ref="G293">IF(G287=0,"-",
IF(ROUND(G292,8)=ROUND((((
SUMIFS(Calc_NetworkF_2[Ausnet],Calc_NetworkF_2[[Cost item]:[Cost item]],$C286,Calc_NetworkF_2[[Customer type]:[Customer type]],$F287)+
SUMIFS(Calc_Fixed_2[Ausnet],Calc_Fixed_2[[Customer type]:[Customer type]],Calc_Rates!$F292)+
SUMIFS(Calc_Fixed_2[Ausnet],Calc_Fixed_2[[Customer type]:[Customer type]],"All"))*(1+Calc_ROM_2[Ausnet]))*(1+GST))/DiPY,8),0,1))</f>
        <v>0</v>
      </c>
      <c r="H293" s="79" cm="1">
        <f t="array" ref="H293">IF(H287=0,"-",
IF(ROUND(H292,8)=ROUND((((
SUMIFS(Calc_NetworkF_2[Citipower],Calc_NetworkF_2[[Cost item]:[Cost item]],$C286,Calc_NetworkF_2[[Customer type]:[Customer type]],$F287)+
SUMIFS(Calc_Fixed_2[Citipower],Calc_Fixed_2[[Customer type]:[Customer type]],Calc_Rates!$F292)+
SUMIFS(Calc_Fixed_2[Citipower],Calc_Fixed_2[[Customer type]:[Customer type]],"All"))*(1+Calc_ROM_2[Citipower]))*(1+GST))/DiPY,8),0,1))</f>
        <v>0</v>
      </c>
      <c r="I293" s="79" cm="1">
        <f t="array" ref="I293">IF(I287=0,"-",
IF(ROUND(I292,8)=ROUND((((
SUMIFS(Calc_NetworkF_2[Jemena],Calc_NetworkF_2[[Cost item]:[Cost item]],$C286,Calc_NetworkF_2[[Customer type]:[Customer type]],$F287)+
SUMIFS(Calc_Fixed_2[Jemena],Calc_Fixed_2[[Customer type]:[Customer type]],Calc_Rates!$F292)+
SUMIFS(Calc_Fixed_2[Jemena],Calc_Fixed_2[[Customer type]:[Customer type]],"All"))*(1+Calc_ROM_2[Jemena]))*(1+GST))/DiPY,8),0,1))</f>
        <v>0</v>
      </c>
      <c r="J293" s="79" cm="1">
        <f t="array" ref="J293">IF(J287=0,"-",
IF(ROUND(J292,8)=ROUND((((
SUMIFS(Calc_NetworkF_2[Powercor],Calc_NetworkF_2[[Cost item]:[Cost item]],$C286,Calc_NetworkF_2[[Customer type]:[Customer type]],$F287)+
SUMIFS(Calc_Fixed_2[Powercor],Calc_Fixed_2[[Customer type]:[Customer type]],Calc_Rates!$F292)+
SUMIFS(Calc_Fixed_2[Powercor],Calc_Fixed_2[[Customer type]:[Customer type]],"All"))*(1+Calc_ROM_2[Powercor]))*(1+GST))/DiPY,8),0,1))</f>
        <v>0</v>
      </c>
      <c r="K293" s="79" cm="1">
        <f t="array" ref="K293">IF(K287=0,"-",
IF(ROUND(K292,8)=ROUND((((
SUMIFS(Calc_NetworkF_2[United Energy],Calc_NetworkF_2[[Cost item]:[Cost item]],$C286,Calc_NetworkF_2[[Customer type]:[Customer type]],$F287)+
SUMIFS(Calc_Fixed_2[United Energy],Calc_Fixed_2[[Customer type]:[Customer type]],Calc_Rates!$F292)+
SUMIFS(Calc_Fixed_2[United Energy],Calc_Fixed_2[[Customer type]:[Customer type]],"All"))*(1+Calc_ROM_2[United Energy]))*(1+GST))/DiPY,8),0,1))</f>
        <v>0</v>
      </c>
    </row>
    <row r="294" spans="2:11" ht="15.75" hidden="1" collapsed="1" x14ac:dyDescent="0.25">
      <c r="B294"/>
      <c r="C294" s="20" t="s">
        <v>368</v>
      </c>
    </row>
    <row r="295" spans="2:11" ht="15.75" hidden="1" outlineLevel="1" x14ac:dyDescent="0.25">
      <c r="B295"/>
      <c r="C295" s="57" t="s">
        <v>70</v>
      </c>
    </row>
    <row r="296" spans="2:11" hidden="1" outlineLevel="1" x14ac:dyDescent="0.25">
      <c r="B296"/>
      <c r="C296" s="14" t="s">
        <v>365</v>
      </c>
      <c r="D296" s="14" t="s">
        <v>64</v>
      </c>
      <c r="E296" s="14" t="s">
        <v>71</v>
      </c>
      <c r="F296" s="14" t="s">
        <v>73</v>
      </c>
      <c r="G296" s="41">
        <f>SUMIFS(Calc_NetworkF_2[Ausnet],Calc_NetworkF_2[[Cost item]:[Cost item]],$C295,Calc_NetworkF_2[[Customer type]:[Customer type]],$F296)</f>
        <v>132.87190000000001</v>
      </c>
      <c r="H296" s="41">
        <f>SUMIFS(Calc_NetworkF_2[Citipower],Calc_NetworkF_2[[Cost item]:[Cost item]],$C295,Calc_NetworkF_2[[Customer type]:[Customer type]],$F296)</f>
        <v>150.42600000000002</v>
      </c>
      <c r="I296" s="41">
        <f>SUMIFS(Calc_NetworkF_2[Jemena],Calc_NetworkF_2[[Cost item]:[Cost item]],$C295,Calc_NetworkF_2[[Customer type]:[Customer type]],$F296)</f>
        <v>147.858</v>
      </c>
      <c r="J296" s="41">
        <f>SUMIFS(Calc_NetworkF_2[Powercor],Calc_NetworkF_2[[Cost item]:[Cost item]],$C295,Calc_NetworkF_2[[Customer type]:[Customer type]],$F296)</f>
        <v>180.47460000000001</v>
      </c>
      <c r="K296" s="41">
        <f>SUMIFS(Calc_NetworkF_2[United Energy],Calc_NetworkF_2[[Cost item]:[Cost item]],$C295,Calc_NetworkF_2[[Customer type]:[Customer type]],$F296)</f>
        <v>140.36100000000002</v>
      </c>
    </row>
    <row r="297" spans="2:11" hidden="1" outlineLevel="1" x14ac:dyDescent="0.25">
      <c r="B297"/>
      <c r="C297" s="14" t="s">
        <v>361</v>
      </c>
      <c r="D297" s="14" t="s">
        <v>64</v>
      </c>
      <c r="E297" s="14" t="s">
        <v>71</v>
      </c>
      <c r="F297" s="14" t="s">
        <v>73</v>
      </c>
      <c r="G297" s="50">
        <f>IF(G296=0,"-",SUMIFS(Calc_Fixed_2[Ausnet],Calc_Fixed_2[[Customer type]:[Customer type]],"All")+SUMIFS(Calc_Fixed_2[Ausnet],Calc_Fixed_2[[Customer type]:[Customer type]],$F297))</f>
        <v>284.63229069310796</v>
      </c>
      <c r="H297" s="50">
        <f>IF(H296=0,"-",SUMIFS(Calc_Fixed_2[Citipower],Calc_Fixed_2[[Customer type]:[Customer type]],"All")+SUMIFS(Calc_Fixed_2[Citipower],Calc_Fixed_2[[Customer type]:[Customer type]],$F298))</f>
        <v>272.86754410587389</v>
      </c>
      <c r="I297" s="50">
        <f>IF(I296=0,"-",SUMIFS(Calc_Fixed_2[Jemena],Calc_Fixed_2[[Customer type]:[Customer type]],"All")+SUMIFS(Calc_Fixed_2[Jemena],Calc_Fixed_2[[Customer type]:[Customer type]],$F298))</f>
        <v>263.54599117396162</v>
      </c>
      <c r="J297" s="50">
        <f>IF(J296=0,"-",SUMIFS(Calc_Fixed_2[Powercor],Calc_Fixed_2[[Customer type]:[Customer type]],"All")+SUMIFS(Calc_Fixed_2[Powercor],Calc_Fixed_2[[Customer type]:[Customer type]],$F298))</f>
        <v>269.29620352443811</v>
      </c>
      <c r="K297" s="50">
        <f>IF(K296=0,"-",SUMIFS(Calc_Fixed_2[United Energy],Calc_Fixed_2[[Customer type]:[Customer type]],"All")+SUMIFS(Calc_Fixed_2[United Energy],Calc_Fixed_2[[Customer type]:[Customer type]],$F298))</f>
        <v>250.49593605086542</v>
      </c>
    </row>
    <row r="298" spans="2:11" hidden="1" outlineLevel="1" x14ac:dyDescent="0.25">
      <c r="B298"/>
      <c r="C298" s="14" t="s">
        <v>263</v>
      </c>
      <c r="D298" s="14" t="s">
        <v>64</v>
      </c>
      <c r="E298" s="14" t="s">
        <v>71</v>
      </c>
      <c r="F298" s="14" t="s">
        <v>73</v>
      </c>
      <c r="G298" s="50" cm="1">
        <f t="array" ref="G298">IF(G296=0,"-",(G296+G297)*Calc_ROM_2[Ausnet])</f>
        <v>23.380234678814045</v>
      </c>
      <c r="H298" s="50" cm="1">
        <f t="array" ref="H298">IF(H296=0,"-",(H296+H297)*Calc_ROM_2[Citipower])</f>
        <v>23.704438469928942</v>
      </c>
      <c r="I298" s="50" cm="1">
        <f t="array" ref="I298">IF(I296=0,"-",(I296+I297)*Calc_ROM_2[Jemena])</f>
        <v>23.038623505741853</v>
      </c>
      <c r="J298" s="50" cm="1">
        <f t="array" ref="J298">IF(J296=0,"-",(J296+J297)*Calc_ROM_2[Powercor])</f>
        <v>25.187164997368534</v>
      </c>
      <c r="K298" s="50" cm="1">
        <f t="array" ref="K298">IF(K296=0,"-",(K296+K297)*Calc_ROM_2[United Energy])</f>
        <v>21.887988418848465</v>
      </c>
    </row>
    <row r="299" spans="2:11" hidden="1" outlineLevel="1" x14ac:dyDescent="0.25">
      <c r="B299"/>
      <c r="C299" s="14" t="s">
        <v>366</v>
      </c>
      <c r="D299" s="14" t="s">
        <v>64</v>
      </c>
      <c r="E299" s="14" t="s">
        <v>71</v>
      </c>
      <c r="F299" s="14" t="s">
        <v>73</v>
      </c>
      <c r="G299" s="50">
        <f>IF(G296=0,"-",(G296+G297+G298)*GST)</f>
        <v>44.088442537192201</v>
      </c>
      <c r="H299" s="50">
        <f>IF(H296=0,"-",(H296+H297+H298)*GST)</f>
        <v>44.699798257580291</v>
      </c>
      <c r="I299" s="50">
        <f>IF(I296=0,"-",(I296+I297+I298)*GST)</f>
        <v>43.44426146797035</v>
      </c>
      <c r="J299" s="50">
        <f>IF(J296=0,"-",(J296+J297+J298)*GST)</f>
        <v>47.495796852180668</v>
      </c>
      <c r="K299" s="50">
        <f>IF(K296=0,"-",(K296+K297+K298)*GST)</f>
        <v>41.274492446971394</v>
      </c>
    </row>
    <row r="300" spans="2:11" hidden="1" outlineLevel="1" x14ac:dyDescent="0.25">
      <c r="B300"/>
      <c r="C300" s="14" t="s">
        <v>367</v>
      </c>
      <c r="D300" s="14" t="s">
        <v>64</v>
      </c>
      <c r="E300" s="14" t="s">
        <v>71</v>
      </c>
      <c r="F300" s="14" t="s">
        <v>73</v>
      </c>
      <c r="G300" s="50">
        <f>IF(G296=0,"-",G296+G297+G298+G299)</f>
        <v>484.97286790911414</v>
      </c>
      <c r="H300" s="50">
        <f>IF(H296=0,"-",H296+H297+H298+H299)</f>
        <v>491.69778083338321</v>
      </c>
      <c r="I300" s="50">
        <f>IF(I296=0,"-",I296+I297+I298+I299)</f>
        <v>477.88687614767383</v>
      </c>
      <c r="J300" s="50">
        <f>IF(J296=0,"-",J296+J297+J298+J299)</f>
        <v>522.45376537398738</v>
      </c>
      <c r="K300" s="50">
        <f>IF(K296=0,"-",K296+K297+K298+K299)</f>
        <v>454.01941691668532</v>
      </c>
    </row>
    <row r="301" spans="2:11" hidden="1" outlineLevel="1" x14ac:dyDescent="0.25">
      <c r="B301"/>
      <c r="C301" s="14" t="str">
        <f>C295</f>
        <v>Anytime - supply</v>
      </c>
      <c r="D301" s="14" t="s">
        <v>64</v>
      </c>
      <c r="E301" s="14" t="s">
        <v>71</v>
      </c>
      <c r="F301" s="14" t="s">
        <v>73</v>
      </c>
      <c r="G301" s="51">
        <f>IF(G296=0,"-",G300/DiPY)</f>
        <v>1.325062480625995</v>
      </c>
      <c r="H301" s="51">
        <f>IF(H296=0,"-",H300/DiPY)</f>
        <v>1.3434365596540525</v>
      </c>
      <c r="I301" s="51">
        <f>IF(I296=0,"-",I300/DiPY)</f>
        <v>1.305701847398016</v>
      </c>
      <c r="J301" s="51">
        <f>IF(J296=0,"-",J300/DiPY)</f>
        <v>1.427469304300512</v>
      </c>
      <c r="K301" s="51">
        <f>IF(K296=0,"-",K300/DiPY)</f>
        <v>1.2404902101548778</v>
      </c>
    </row>
    <row r="302" spans="2:11" hidden="1" outlineLevel="1" x14ac:dyDescent="0.25">
      <c r="B302"/>
      <c r="G302" s="79" cm="1">
        <f t="array" ref="G302">IF(G296=0,"-",
IF(ROUND(G301,8)=ROUND((((
SUMIFS(Calc_NetworkF_2[Ausnet],Calc_NetworkF_2[[Cost item]:[Cost item]],$C295,Calc_NetworkF_2[[Customer type]:[Customer type]],$F296)+
SUMIFS(Calc_Fixed_2[Ausnet],Calc_Fixed_2[[Customer type]:[Customer type]],Calc_Rates!$F301)+
SUMIFS(Calc_Fixed_2[Ausnet],Calc_Fixed_2[[Customer type]:[Customer type]],"All"))*(1+Calc_ROM_2[Ausnet]))*(1+GST))/DiPY,8),0,1))</f>
        <v>0</v>
      </c>
      <c r="H302" s="79" cm="1">
        <f t="array" ref="H302">IF(H296=0,"-",
IF(ROUND(H301,8)=ROUND((((
SUMIFS(Calc_NetworkF_2[Citipower],Calc_NetworkF_2[[Cost item]:[Cost item]],$C295,Calc_NetworkF_2[[Customer type]:[Customer type]],$F296)+
SUMIFS(Calc_Fixed_2[Citipower],Calc_Fixed_2[[Customer type]:[Customer type]],Calc_Rates!$F301)+
SUMIFS(Calc_Fixed_2[Citipower],Calc_Fixed_2[[Customer type]:[Customer type]],"All"))*(1+Calc_ROM_2[Citipower]))*(1+GST))/DiPY,8),0,1))</f>
        <v>0</v>
      </c>
      <c r="I302" s="79" cm="1">
        <f t="array" ref="I302">IF(I296=0,"-",
IF(ROUND(I301,8)=ROUND((((
SUMIFS(Calc_NetworkF_2[Jemena],Calc_NetworkF_2[[Cost item]:[Cost item]],$C295,Calc_NetworkF_2[[Customer type]:[Customer type]],$F296)+
SUMIFS(Calc_Fixed_2[Jemena],Calc_Fixed_2[[Customer type]:[Customer type]],Calc_Rates!$F301)+
SUMIFS(Calc_Fixed_2[Jemena],Calc_Fixed_2[[Customer type]:[Customer type]],"All"))*(1+Calc_ROM_2[Jemena]))*(1+GST))/DiPY,8),0,1))</f>
        <v>0</v>
      </c>
      <c r="J302" s="79" cm="1">
        <f t="array" ref="J302">IF(J296=0,"-",
IF(ROUND(J301,8)=ROUND((((
SUMIFS(Calc_NetworkF_2[Powercor],Calc_NetworkF_2[[Cost item]:[Cost item]],$C295,Calc_NetworkF_2[[Customer type]:[Customer type]],$F296)+
SUMIFS(Calc_Fixed_2[Powercor],Calc_Fixed_2[[Customer type]:[Customer type]],Calc_Rates!$F301)+
SUMIFS(Calc_Fixed_2[Powercor],Calc_Fixed_2[[Customer type]:[Customer type]],"All"))*(1+Calc_ROM_2[Powercor]))*(1+GST))/DiPY,8),0,1))</f>
        <v>0</v>
      </c>
      <c r="K302" s="79" cm="1">
        <f t="array" ref="K302">IF(K296=0,"-",
IF(ROUND(K301,8)=ROUND((((
SUMIFS(Calc_NetworkF_2[United Energy],Calc_NetworkF_2[[Cost item]:[Cost item]],$C295,Calc_NetworkF_2[[Customer type]:[Customer type]],$F296)+
SUMIFS(Calc_Fixed_2[United Energy],Calc_Fixed_2[[Customer type]:[Customer type]],Calc_Rates!$F301)+
SUMIFS(Calc_Fixed_2[United Energy],Calc_Fixed_2[[Customer type]:[Customer type]],"All"))*(1+Calc_ROM_2[United Energy]))*(1+GST))/DiPY,8),0,1))</f>
        <v>0</v>
      </c>
    </row>
    <row r="303" spans="2:11" ht="15.75" hidden="1" outlineLevel="1" x14ac:dyDescent="0.25">
      <c r="B303"/>
      <c r="C303" s="57" t="s">
        <v>78</v>
      </c>
    </row>
    <row r="304" spans="2:11" hidden="1" outlineLevel="1" x14ac:dyDescent="0.25">
      <c r="B304"/>
      <c r="C304" s="14" t="s">
        <v>365</v>
      </c>
      <c r="D304" s="14" t="s">
        <v>64</v>
      </c>
      <c r="E304" s="14" t="s">
        <v>71</v>
      </c>
      <c r="F304" s="14" t="s">
        <v>73</v>
      </c>
      <c r="G304" s="41">
        <f>SUMIFS(Calc_NetworkF_2[Ausnet],Calc_NetworkF_2[[Cost item]:[Cost item]],$C303,Calc_NetworkF_2[[Customer type]:[Customer type]],$F304)</f>
        <v>132.87190000000001</v>
      </c>
      <c r="H304" s="41">
        <f>SUMIFS(Calc_NetworkF_2[Citipower],Calc_NetworkF_2[[Cost item]:[Cost item]],$C303,Calc_NetworkF_2[[Customer type]:[Customer type]],$F304)</f>
        <v>150.42600000000002</v>
      </c>
      <c r="I304" s="41">
        <f>SUMIFS(Calc_NetworkF_2[Jemena],Calc_NetworkF_2[[Cost item]:[Cost item]],$C303,Calc_NetworkF_2[[Customer type]:[Customer type]],$F304)</f>
        <v>265.79300000000001</v>
      </c>
      <c r="J304" s="41">
        <f>SUMIFS(Calc_NetworkF_2[Powercor],Calc_NetworkF_2[[Cost item]:[Cost item]],$C303,Calc_NetworkF_2[[Customer type]:[Customer type]],$F304)</f>
        <v>180.47460000000001</v>
      </c>
      <c r="K304" s="41">
        <f>SUMIFS(Calc_NetworkF_2[United Energy],Calc_NetworkF_2[[Cost item]:[Cost item]],$C303,Calc_NetworkF_2[[Customer type]:[Customer type]],$F304)</f>
        <v>140.36100000000002</v>
      </c>
    </row>
    <row r="305" spans="2:14" hidden="1" outlineLevel="1" x14ac:dyDescent="0.25">
      <c r="B305"/>
      <c r="C305" s="14" t="s">
        <v>361</v>
      </c>
      <c r="D305" s="14" t="s">
        <v>64</v>
      </c>
      <c r="E305" s="14" t="s">
        <v>71</v>
      </c>
      <c r="F305" s="14" t="s">
        <v>73</v>
      </c>
      <c r="G305" s="50">
        <f>IF(G304=0,"-",SUMIFS(Calc_Fixed_2[Ausnet],Calc_Fixed_2[[Customer type]:[Customer type]],"All")+SUMIFS(Calc_Fixed_2[Ausnet],Calc_Fixed_2[[Customer type]:[Customer type]],$F305))</f>
        <v>284.63229069310796</v>
      </c>
      <c r="H305" s="50">
        <f>IF(H304=0,"-",SUMIFS(Calc_Fixed_2[Citipower],Calc_Fixed_2[[Customer type]:[Customer type]],"All")+SUMIFS(Calc_Fixed_2[Citipower],Calc_Fixed_2[[Customer type]:[Customer type]],$F306))</f>
        <v>272.86754410587389</v>
      </c>
      <c r="I305" s="50">
        <f>IF(I304=0,"-",SUMIFS(Calc_Fixed_2[Jemena],Calc_Fixed_2[[Customer type]:[Customer type]],"All")+SUMIFS(Calc_Fixed_2[Jemena],Calc_Fixed_2[[Customer type]:[Customer type]],$F306))</f>
        <v>263.54599117396162</v>
      </c>
      <c r="J305" s="50">
        <f>IF(J304=0,"-",SUMIFS(Calc_Fixed_2[Powercor],Calc_Fixed_2[[Customer type]:[Customer type]],"All")+SUMIFS(Calc_Fixed_2[Powercor],Calc_Fixed_2[[Customer type]:[Customer type]],$F306))</f>
        <v>269.29620352443811</v>
      </c>
      <c r="K305" s="50">
        <f>IF(K304=0,"-",SUMIFS(Calc_Fixed_2[United Energy],Calc_Fixed_2[[Customer type]:[Customer type]],"All")+SUMIFS(Calc_Fixed_2[United Energy],Calc_Fixed_2[[Customer type]:[Customer type]],$F306))</f>
        <v>250.49593605086542</v>
      </c>
    </row>
    <row r="306" spans="2:14" hidden="1" outlineLevel="1" x14ac:dyDescent="0.25">
      <c r="B306"/>
      <c r="C306" s="14" t="s">
        <v>263</v>
      </c>
      <c r="D306" s="14" t="s">
        <v>64</v>
      </c>
      <c r="E306" s="14" t="s">
        <v>71</v>
      </c>
      <c r="F306" s="14" t="s">
        <v>73</v>
      </c>
      <c r="G306" s="50" cm="1">
        <f t="array" ref="G306">IF(G304=0,"-",(G304+G305)*Calc_ROM_2[Ausnet])</f>
        <v>23.380234678814045</v>
      </c>
      <c r="H306" s="50" cm="1">
        <f t="array" ref="H306">IF(H304=0,"-",(H304+H305)*Calc_ROM_2[Citipower])</f>
        <v>23.704438469928942</v>
      </c>
      <c r="I306" s="50" cm="1">
        <f t="array" ref="I306">IF(I304=0,"-",(I304+I305)*Calc_ROM_2[Jemena])</f>
        <v>29.642983505741853</v>
      </c>
      <c r="J306" s="50" cm="1">
        <f t="array" ref="J306">IF(J304=0,"-",(J304+J305)*Calc_ROM_2[Powercor])</f>
        <v>25.187164997368534</v>
      </c>
      <c r="K306" s="50" cm="1">
        <f t="array" ref="K306">IF(K304=0,"-",(K304+K305)*Calc_ROM_2[United Energy])</f>
        <v>21.887988418848465</v>
      </c>
    </row>
    <row r="307" spans="2:14" hidden="1" outlineLevel="1" x14ac:dyDescent="0.25">
      <c r="B307"/>
      <c r="C307" s="14" t="s">
        <v>366</v>
      </c>
      <c r="D307" s="14" t="s">
        <v>64</v>
      </c>
      <c r="E307" s="14" t="s">
        <v>71</v>
      </c>
      <c r="F307" s="14" t="s">
        <v>73</v>
      </c>
      <c r="G307" s="50">
        <f>IF(G304=0,"-",(G304+G305+G306)*GST)</f>
        <v>44.088442537192201</v>
      </c>
      <c r="H307" s="50">
        <f>IF(H304=0,"-",(H304+H305+H306)*GST)</f>
        <v>44.699798257580291</v>
      </c>
      <c r="I307" s="50">
        <f>IF(I304=0,"-",(I304+I305+I306)*GST)</f>
        <v>55.898197467970355</v>
      </c>
      <c r="J307" s="50">
        <f>IF(J304=0,"-",(J304+J305+J306)*GST)</f>
        <v>47.495796852180668</v>
      </c>
      <c r="K307" s="50">
        <f>IF(K304=0,"-",(K304+K305+K306)*GST)</f>
        <v>41.274492446971394</v>
      </c>
    </row>
    <row r="308" spans="2:14" hidden="1" outlineLevel="1" x14ac:dyDescent="0.25">
      <c r="B308"/>
      <c r="C308" s="14" t="s">
        <v>367</v>
      </c>
      <c r="D308" s="14" t="s">
        <v>64</v>
      </c>
      <c r="E308" s="14" t="s">
        <v>71</v>
      </c>
      <c r="F308" s="14" t="s">
        <v>73</v>
      </c>
      <c r="G308" s="50">
        <f>IF(G304=0,"-",G304+G305+G306+G307)</f>
        <v>484.97286790911414</v>
      </c>
      <c r="H308" s="50">
        <f>IF(H304=0,"-",H304+H305+H306+H307)</f>
        <v>491.69778083338321</v>
      </c>
      <c r="I308" s="50">
        <f>IF(I304=0,"-",I304+I305+I306+I307)</f>
        <v>614.88017214767387</v>
      </c>
      <c r="J308" s="50">
        <f>IF(J304=0,"-",J304+J305+J306+J307)</f>
        <v>522.45376537398738</v>
      </c>
      <c r="K308" s="50">
        <f>IF(K304=0,"-",K304+K305+K306+K307)</f>
        <v>454.01941691668532</v>
      </c>
    </row>
    <row r="309" spans="2:14" hidden="1" outlineLevel="1" x14ac:dyDescent="0.25">
      <c r="B309"/>
      <c r="C309" s="14" t="str">
        <f>C303</f>
        <v>TOU - supply</v>
      </c>
      <c r="D309" s="14" t="s">
        <v>64</v>
      </c>
      <c r="E309" s="14" t="s">
        <v>71</v>
      </c>
      <c r="F309" s="14" t="s">
        <v>73</v>
      </c>
      <c r="G309" s="51">
        <f>IF(G304=0,"-",G308/DiPY)</f>
        <v>1.325062480625995</v>
      </c>
      <c r="H309" s="51">
        <f>IF(H304=0,"-",H308/DiPY)</f>
        <v>1.3434365596540525</v>
      </c>
      <c r="I309" s="51">
        <f>IF(I304=0,"-",I308/DiPY)</f>
        <v>1.6800004703488358</v>
      </c>
      <c r="J309" s="51">
        <f>IF(J304=0,"-",J308/DiPY)</f>
        <v>1.427469304300512</v>
      </c>
      <c r="K309" s="51">
        <f>IF(K304=0,"-",K308/DiPY)</f>
        <v>1.2404902101548778</v>
      </c>
    </row>
    <row r="310" spans="2:14" hidden="1" outlineLevel="1" x14ac:dyDescent="0.25">
      <c r="B310"/>
      <c r="G310" s="79" cm="1">
        <f t="array" ref="G310">IF(G304=0,"-",
IF(ROUND(G309,8)=ROUND((((
SUMIFS(Calc_NetworkF_2[Ausnet],Calc_NetworkF_2[[Cost item]:[Cost item]],$C303,Calc_NetworkF_2[[Customer type]:[Customer type]],$F304)+
SUMIFS(Calc_Fixed_2[Ausnet],Calc_Fixed_2[[Customer type]:[Customer type]],Calc_Rates!$F309)+
SUMIFS(Calc_Fixed_2[Ausnet],Calc_Fixed_2[[Customer type]:[Customer type]],"All"))*(1+Calc_ROM_2[Ausnet]))*(1+GST))/DiPY,8),0,1))</f>
        <v>0</v>
      </c>
      <c r="H310" s="79" cm="1">
        <f t="array" ref="H310">IF(H304=0,"-",
IF(ROUND(H309,8)=ROUND((((
SUMIFS(Calc_NetworkF_2[Citipower],Calc_NetworkF_2[[Cost item]:[Cost item]],$C303,Calc_NetworkF_2[[Customer type]:[Customer type]],$F304)+
SUMIFS(Calc_Fixed_2[Citipower],Calc_Fixed_2[[Customer type]:[Customer type]],Calc_Rates!$F309)+
SUMIFS(Calc_Fixed_2[Citipower],Calc_Fixed_2[[Customer type]:[Customer type]],"All"))*(1+Calc_ROM_2[Citipower]))*(1+GST))/DiPY,8),0,1))</f>
        <v>0</v>
      </c>
      <c r="I310" s="79" cm="1">
        <f t="array" ref="I310">IF(I304=0,"-",
IF(ROUND(I309,8)=ROUND((((
SUMIFS(Calc_NetworkF_2[Jemena],Calc_NetworkF_2[[Cost item]:[Cost item]],$C303,Calc_NetworkF_2[[Customer type]:[Customer type]],$F304)+
SUMIFS(Calc_Fixed_2[Jemena],Calc_Fixed_2[[Customer type]:[Customer type]],Calc_Rates!$F309)+
SUMIFS(Calc_Fixed_2[Jemena],Calc_Fixed_2[[Customer type]:[Customer type]],"All"))*(1+Calc_ROM_2[Jemena]))*(1+GST))/DiPY,8),0,1))</f>
        <v>0</v>
      </c>
      <c r="J310" s="79" cm="1">
        <f t="array" ref="J310">IF(J304=0,"-",
IF(ROUND(J309,8)=ROUND((((
SUMIFS(Calc_NetworkF_2[Powercor],Calc_NetworkF_2[[Cost item]:[Cost item]],$C303,Calc_NetworkF_2[[Customer type]:[Customer type]],$F304)+
SUMIFS(Calc_Fixed_2[Powercor],Calc_Fixed_2[[Customer type]:[Customer type]],Calc_Rates!$F309)+
SUMIFS(Calc_Fixed_2[Powercor],Calc_Fixed_2[[Customer type]:[Customer type]],"All"))*(1+Calc_ROM_2[Powercor]))*(1+GST))/DiPY,8),0,1))</f>
        <v>0</v>
      </c>
      <c r="K310" s="79" cm="1">
        <f t="array" ref="K310">IF(K304=0,"-",
IF(ROUND(K309,8)=ROUND((((
SUMIFS(Calc_NetworkF_2[United Energy],Calc_NetworkF_2[[Cost item]:[Cost item]],$C303,Calc_NetworkF_2[[Customer type]:[Customer type]],$F304)+
SUMIFS(Calc_Fixed_2[United Energy],Calc_Fixed_2[[Customer type]:[Customer type]],Calc_Rates!$F309)+
SUMIFS(Calc_Fixed_2[United Energy],Calc_Fixed_2[[Customer type]:[Customer type]],"All"))*(1+Calc_ROM_2[United Energy]))*(1+GST))/DiPY,8),0,1))</f>
        <v>0</v>
      </c>
    </row>
    <row r="311" spans="2:14" hidden="1" x14ac:dyDescent="0.25">
      <c r="B311"/>
    </row>
    <row r="312" spans="2:14" ht="15.75" hidden="1" x14ac:dyDescent="0.25">
      <c r="B312"/>
      <c r="C312" s="30" t="s">
        <v>369</v>
      </c>
      <c r="D312" s="30" t="s">
        <v>114</v>
      </c>
      <c r="E312" s="30" t="s">
        <v>62</v>
      </c>
      <c r="F312" s="30" t="s">
        <v>63</v>
      </c>
      <c r="G312" s="40" t="s">
        <v>65</v>
      </c>
      <c r="H312" s="40" t="s">
        <v>66</v>
      </c>
      <c r="I312" s="40" t="s">
        <v>67</v>
      </c>
      <c r="J312" s="40" t="s">
        <v>68</v>
      </c>
      <c r="K312" s="40" t="s">
        <v>69</v>
      </c>
      <c r="N312" s="55"/>
    </row>
    <row r="313" spans="2:14" hidden="1" x14ac:dyDescent="0.25">
      <c r="B313"/>
      <c r="C313" s="14" t="s">
        <v>370</v>
      </c>
      <c r="D313" s="14" t="s">
        <v>184</v>
      </c>
      <c r="E313" s="14" t="s">
        <v>75</v>
      </c>
      <c r="F313" s="14" t="s">
        <v>139</v>
      </c>
      <c r="G313" s="56">
        <f>SUMIFS(Calc_EnviroVEU_2[Ausnet],Calc_EnviroVEU_2[[Fixed/Variable]:[Fixed/Variable]],$D313,Calc_EnviroVEU_2[[Customer type]:[Customer type]],$F313,Calc_EnviroVEU_2[[Cost item]:[Cost item]],"VEU cost")+
SUMIFS(Calc_EnviroLRET_2[Ausnet],Calc_EnviroLRET_2[[Fixed/Variable]:[Fixed/Variable]],$D313,Calc_EnviroLRET_2[[Customer type]:[Customer type]],$F313,Calc_EnviroLRET_2[[Cost item]:[Cost item]],"LRET cost")+
SUMIFS(Calc_EnviroSRES_2[Ausnet],Calc_EnviroSRES_2[[Fixed/Variable]:[Fixed/Variable]],$D313,Calc_EnviroSRES_2[[Customer type]:[Customer type]],$F313,Calc_EnviroSRES_2[[Cost item]:[Cost item]],"SRES cost")</f>
        <v>2.843221042152444E-2</v>
      </c>
      <c r="H313" s="56">
        <f>SUMIFS(Calc_EnviroVEU_2[Citipower],Calc_EnviroVEU_2[[Fixed/Variable]:[Fixed/Variable]],$D313,Calc_EnviroVEU_2[[Customer type]:[Customer type]],$F313,Calc_EnviroVEU_2[[Cost item]:[Cost item]],"VEU cost")+
SUMIFS(Calc_EnviroLRET_2[Citipower],Calc_EnviroLRET_2[[Fixed/Variable]:[Fixed/Variable]],$D313,Calc_EnviroLRET_2[[Customer type]:[Customer type]],$F313,Calc_EnviroLRET_2[[Cost item]:[Cost item]],"LRET cost")+
SUMIFS(Calc_EnviroSRES_2[Citipower],Calc_EnviroSRES_2[[Fixed/Variable]:[Fixed/Variable]],$D313,Calc_EnviroSRES_2[[Customer type]:[Customer type]],$F313,Calc_EnviroSRES_2[[Cost item]:[Cost item]],"SRES cost")</f>
        <v>2.843221042152444E-2</v>
      </c>
      <c r="I313" s="56">
        <f>SUMIFS(Calc_EnviroVEU_2[Jemena],Calc_EnviroVEU_2[[Fixed/Variable]:[Fixed/Variable]],$D313,Calc_EnviroVEU_2[[Customer type]:[Customer type]],$F313,Calc_EnviroVEU_2[[Cost item]:[Cost item]],"VEU cost")+
SUMIFS(Calc_EnviroLRET_2[Jemena],Calc_EnviroLRET_2[[Fixed/Variable]:[Fixed/Variable]],$D313,Calc_EnviroLRET_2[[Customer type]:[Customer type]],$F313,Calc_EnviroLRET_2[[Cost item]:[Cost item]],"LRET cost")+
SUMIFS(Calc_EnviroSRES_2[Jemena],Calc_EnviroSRES_2[[Fixed/Variable]:[Fixed/Variable]],$D313,Calc_EnviroSRES_2[[Customer type]:[Customer type]],$F313,Calc_EnviroSRES_2[[Cost item]:[Cost item]],"SRES cost")</f>
        <v>2.843221042152444E-2</v>
      </c>
      <c r="J313" s="56">
        <f>SUMIFS(Calc_EnviroVEU_2[Powercor],Calc_EnviroVEU_2[[Fixed/Variable]:[Fixed/Variable]],$D313,Calc_EnviroVEU_2[[Customer type]:[Customer type]],$F313,Calc_EnviroVEU_2[[Cost item]:[Cost item]],"VEU cost")+
SUMIFS(Calc_EnviroLRET_2[Powercor],Calc_EnviroLRET_2[[Fixed/Variable]:[Fixed/Variable]],$D313,Calc_EnviroLRET_2[[Customer type]:[Customer type]],$F313,Calc_EnviroLRET_2[[Cost item]:[Cost item]],"LRET cost")+
SUMIFS(Calc_EnviroSRES_2[Powercor],Calc_EnviroSRES_2[[Fixed/Variable]:[Fixed/Variable]],$D313,Calc_EnviroSRES_2[[Customer type]:[Customer type]],$F313,Calc_EnviroSRES_2[[Cost item]:[Cost item]],"SRES cost")</f>
        <v>2.843221042152444E-2</v>
      </c>
      <c r="K313" s="56">
        <f>SUMIFS(Calc_EnviroVEU_2[United Energy],Calc_EnviroVEU_2[[Fixed/Variable]:[Fixed/Variable]],$D313,Calc_EnviroVEU_2[[Customer type]:[Customer type]],$F313,Calc_EnviroVEU_2[[Cost item]:[Cost item]],"VEU cost")+
SUMIFS(Calc_EnviroLRET_2[United Energy],Calc_EnviroLRET_2[[Fixed/Variable]:[Fixed/Variable]],$D313,Calc_EnviroLRET_2[[Customer type]:[Customer type]],$F313,Calc_EnviroLRET_2[[Cost item]:[Cost item]],"LRET cost")+
SUMIFS(Calc_EnviroSRES_2[United Energy],Calc_EnviroSRES_2[[Fixed/Variable]:[Fixed/Variable]],$D313,Calc_EnviroSRES_2[[Customer type]:[Customer type]],$F313,Calc_EnviroSRES_2[[Cost item]:[Cost item]],"SRES cost")</f>
        <v>2.843221042152444E-2</v>
      </c>
    </row>
    <row r="314" spans="2:14" hidden="1" x14ac:dyDescent="0.25">
      <c r="B314"/>
      <c r="C314" s="14" t="s">
        <v>147</v>
      </c>
      <c r="D314" s="14" t="s">
        <v>184</v>
      </c>
      <c r="E314" s="14" t="s">
        <v>75</v>
      </c>
      <c r="F314" s="14" t="s">
        <v>139</v>
      </c>
      <c r="G314" s="56">
        <f>SUMIFS(Calc_OtherCosts_2[Ausnet],Calc_OtherCosts_2[[Fixed/Variable]:[Fixed/Variable]],$D314,Calc_OtherCosts_2[[Customer type]:[Customer type]],$F314)</f>
        <v>1.6791732404258365E-3</v>
      </c>
      <c r="H314" s="56">
        <f>SUMIFS(Calc_OtherCosts_2[Citipower],Calc_OtherCosts_2[[Fixed/Variable]:[Fixed/Variable]],$D314,Calc_OtherCosts_2[[Customer type]:[Customer type]],$F314)</f>
        <v>1.6791732404258365E-3</v>
      </c>
      <c r="I314" s="56">
        <f>SUMIFS(Calc_OtherCosts_2[Jemena],Calc_OtherCosts_2[[Fixed/Variable]:[Fixed/Variable]],$D314,Calc_OtherCosts_2[[Customer type]:[Customer type]],$F314)</f>
        <v>1.6791732404258365E-3</v>
      </c>
      <c r="J314" s="56">
        <f>SUMIFS(Calc_OtherCosts_2[Powercor],Calc_OtherCosts_2[[Fixed/Variable]:[Fixed/Variable]],$D314,Calc_OtherCosts_2[[Customer type]:[Customer type]],$F314)</f>
        <v>1.6791732404258365E-3</v>
      </c>
      <c r="K314" s="56">
        <f>SUMIFS(Calc_OtherCosts_2[United Energy],Calc_OtherCosts_2[[Fixed/Variable]:[Fixed/Variable]],$D314,Calc_OtherCosts_2[[Customer type]:[Customer type]],$F314)</f>
        <v>1.6791732404258365E-3</v>
      </c>
    </row>
    <row r="315" spans="2:14" hidden="1" x14ac:dyDescent="0.25">
      <c r="B315"/>
      <c r="C315" s="14" t="s">
        <v>371</v>
      </c>
      <c r="D315" s="14" t="s">
        <v>184</v>
      </c>
      <c r="E315" s="14" t="s">
        <v>75</v>
      </c>
      <c r="F315" s="14" t="s">
        <v>72</v>
      </c>
      <c r="G315" s="53">
        <f>SUMIFS(Calc_WholesaleRES_2[Ausnet],Calc_WholesaleRES_2[[Fixed/Variable]:[Fixed/Variable]],$D315,Calc_WholesaleRES_2[[Customer type]:[Customer type]],$F315,Calc_WholesaleRES_2[[Cost item]:[Cost item]],$C315)</f>
        <v>0.15582341721574622</v>
      </c>
      <c r="H315" s="53">
        <f>SUMIFS(Calc_WholesaleRES_2[Citipower],Calc_WholesaleRES_2[[Fixed/Variable]:[Fixed/Variable]],$D315,Calc_WholesaleRES_2[[Customer type]:[Customer type]],$F315,Calc_WholesaleRES_2[[Cost item]:[Cost item]],$C315)</f>
        <v>0.13699867658724985</v>
      </c>
      <c r="I315" s="53">
        <f>SUMIFS(Calc_WholesaleRES_2[Jemena],Calc_WholesaleRES_2[[Fixed/Variable]:[Fixed/Variable]],$D315,Calc_WholesaleRES_2[[Customer type]:[Customer type]],$F315,Calc_WholesaleRES_2[[Cost item]:[Cost item]],$C315)</f>
        <v>0.15299408314912863</v>
      </c>
      <c r="J315" s="53">
        <f>SUMIFS(Calc_WholesaleRES_2[Powercor],Calc_WholesaleRES_2[[Fixed/Variable]:[Fixed/Variable]],$D315,Calc_WholesaleRES_2[[Customer type]:[Customer type]],$F315,Calc_WholesaleRES_2[[Cost item]:[Cost item]],$C315)</f>
        <v>0.15371489848306913</v>
      </c>
      <c r="K315" s="53">
        <f>SUMIFS(Calc_WholesaleRES_2[United Energy],Calc_WholesaleRES_2[[Fixed/Variable]:[Fixed/Variable]],$D315,Calc_WholesaleRES_2[[Customer type]:[Customer type]],$F315,Calc_WholesaleRES_2[[Cost item]:[Cost item]],$C315)</f>
        <v>0.15046968338948136</v>
      </c>
    </row>
    <row r="316" spans="2:14" hidden="1" x14ac:dyDescent="0.25">
      <c r="B316"/>
      <c r="C316" s="14" t="s">
        <v>371</v>
      </c>
      <c r="D316" s="14" t="s">
        <v>184</v>
      </c>
      <c r="E316" s="14" t="s">
        <v>75</v>
      </c>
      <c r="F316" s="14" t="s">
        <v>73</v>
      </c>
      <c r="G316" s="53">
        <f>SUMIFS(Calc_WholesaleSME_2[Ausnet],Calc_WholesaleSME_2[[Fixed/Variable]:[Fixed/Variable]],$D316,Calc_WholesaleSME_2[[Customer type]:[Customer type]],$F316,Calc_WholesaleSME_2[[Cost item]:[Cost item]],$C316)</f>
        <v>0.12856302089613503</v>
      </c>
      <c r="H316" s="53">
        <f>SUMIFS(Calc_WholesaleSME_2[Citipower],Calc_WholesaleSME_2[[Fixed/Variable]:[Fixed/Variable]],$D316,Calc_WholesaleSME_2[[Customer type]:[Customer type]],$F316,Calc_WholesaleSME_2[[Cost item]:[Cost item]],$C316)</f>
        <v>0.12648439961732669</v>
      </c>
      <c r="I316" s="53">
        <f>SUMIFS(Calc_WholesaleSME_2[Jemena],Calc_WholesaleSME_2[[Fixed/Variable]:[Fixed/Variable]],$D316,Calc_WholesaleSME_2[[Customer type]:[Customer type]],$F316,Calc_WholesaleSME_2[[Cost item]:[Cost item]],$C316)</f>
        <v>0.13021020918052265</v>
      </c>
      <c r="J316" s="53">
        <f>SUMIFS(Calc_WholesaleSME_2[Powercor],Calc_WholesaleSME_2[[Fixed/Variable]:[Fixed/Variable]],$D316,Calc_WholesaleSME_2[[Customer type]:[Customer type]],$F316,Calc_WholesaleSME_2[[Cost item]:[Cost item]],$C316)</f>
        <v>0.12548093617538489</v>
      </c>
      <c r="K316" s="53">
        <f>SUMIFS(Calc_WholesaleSME_2[United Energy],Calc_WholesaleSME_2[[Fixed/Variable]:[Fixed/Variable]],$D316,Calc_WholesaleSME_2[[Customer type]:[Customer type]],$F316,Calc_WholesaleSME_2[[Cost item]:[Cost item]],$C316)</f>
        <v>0.13037554287242703</v>
      </c>
    </row>
    <row r="317" spans="2:14" hidden="1" x14ac:dyDescent="0.25">
      <c r="B317"/>
      <c r="C317" s="14" t="s">
        <v>372</v>
      </c>
      <c r="D317" s="14" t="s">
        <v>184</v>
      </c>
      <c r="E317" s="14" t="s">
        <v>75</v>
      </c>
      <c r="F317" s="14" t="s">
        <v>72</v>
      </c>
      <c r="G317" s="56">
        <f>(SUMIFS(G$313:G$316,$F$313:$F$316,"All")+SUMIFS(G$313:G$316,$F$313:$F$316,$F317))*INDEX(Calc_Losses_2[[Ausnet]:[United Energy]],MATCH("Total loss factor",Calc_Losses_2[Cost item],0),MATCH(G$312,Calc_Losses_2[[#Headers],[Ausnet]:[United Energy]],0))</f>
        <v>1.5882492743459209E-2</v>
      </c>
      <c r="H317" s="56">
        <f>(SUMIFS(H$313:H$316,$F$313:$F$316,"All")+SUMIFS(H$313:H$316,$F$313:$F$316,$F317))*INDEX(Calc_Losses_2[[Ausnet]:[United Energy]],MATCH("Total loss factor",Calc_Losses_2[[Cost item]:[Cost item]],0),MATCH(H$312,Calc_Losses_2[[#Headers],[Ausnet]:[United Energy]],0))</f>
        <v>7.51820641108439E-3</v>
      </c>
      <c r="I317" s="56">
        <f>(SUMIFS(I$313:I$316,$F$313:$F$316,"All")+SUMIFS(I$313:I$316,$F$313:$F$316,$F317))*INDEX(Calc_Losses_2[[Ausnet]:[United Energy]],MATCH("Total loss factor",Calc_Losses_2[[Cost item]:[Cost item]],0),MATCH(I$312,Calc_Losses_2[[#Headers],[Ausnet]:[United Energy]],0))</f>
        <v>8.3043707921911705E-3</v>
      </c>
      <c r="J317" s="56">
        <f>(SUMIFS(J$313:J$316,$F$313:$F$316,"All")+SUMIFS(J$313:J$316,$F$313:$F$316,$F317))*INDEX(Calc_Losses_2[[Ausnet]:[United Energy]],MATCH("Total loss factor",Calc_Losses_2[[Cost item]:[Cost item]],0),MATCH(J$312,Calc_Losses_2[[#Headers],[Ausnet]:[United Energy]],0))</f>
        <v>1.3130921863594791E-2</v>
      </c>
      <c r="K317" s="56">
        <f>(SUMIFS(K$313:K$316,$F$313:$F$316,"All")+SUMIFS(K$313:K$316,$F$313:$F$316,$F317))*INDEX(Calc_Losses_2[[Ausnet]:[United Energy]],MATCH("Total loss factor",Calc_Losses_2[[Cost item]:[Cost item]],0),MATCH(K$312,Calc_Losses_2[[#Headers],[Ausnet]:[United Energy]],0))</f>
        <v>8.4776924037861454E-3</v>
      </c>
    </row>
    <row r="318" spans="2:14" hidden="1" x14ac:dyDescent="0.25">
      <c r="B318"/>
      <c r="C318" s="14" t="s">
        <v>372</v>
      </c>
      <c r="D318" s="14" t="s">
        <v>184</v>
      </c>
      <c r="E318" s="14" t="s">
        <v>75</v>
      </c>
      <c r="F318" s="14" t="s">
        <v>73</v>
      </c>
      <c r="G318" s="56">
        <f>(SUMIFS(G$313:G$316,$F$313:$F$316,"All")+SUMIFS(G$313:G$316,$F$313:$F$316,$F318))*INDEX(Calc_Losses_2[[Ausnet]:[United Energy]],MATCH("Total loss factor",Calc_Losses_2[[Cost item]:[Cost item]],0),MATCH(G$312,Calc_Losses_2[[#Headers],[Ausnet]:[United Energy]],0))</f>
        <v>1.3553918185677314E-2</v>
      </c>
      <c r="H318" s="56">
        <f>(SUMIFS(H$313:H$316,$F$313:$F$316,"All")+SUMIFS(H$313:H$316,$F$313:$F$316,$F318))*INDEX(Calc_Losses_2[[Ausnet]:[United Energy]],MATCH("Total loss factor",Calc_Losses_2[[Cost item]:[Cost item]],0),MATCH(H$312,Calc_Losses_2[[#Headers],[Ausnet]:[United Energy]],0))</f>
        <v>7.0451738216321851E-3</v>
      </c>
      <c r="I318" s="56">
        <f>(SUMIFS(I$313:I$316,$F$313:$F$316,"All")+SUMIFS(I$313:I$316,$F$313:$F$316,$F318))*INDEX(Calc_Losses_2[[Ausnet]:[United Energy]],MATCH("Total loss factor",Calc_Losses_2[[Cost item]:[Cost item]],0),MATCH(I$312,Calc_Losses_2[[#Headers],[Ausnet]:[United Energy]],0))</f>
        <v>7.2710551800851085E-3</v>
      </c>
      <c r="J318" s="56">
        <f>(SUMIFS(J$313:J$316,$F$313:$F$316,"All")+SUMIFS(J$313:J$316,$F$313:$F$316,$F318))*INDEX(Calc_Losses_2[[Ausnet]:[United Energy]],MATCH("Total loss factor",Calc_Losses_2[[Cost item]:[Cost item]],0),MATCH(J$312,Calc_Losses_2[[#Headers],[Ausnet]:[United Energy]],0))</f>
        <v>1.1114137600562103E-2</v>
      </c>
      <c r="K318" s="56">
        <f>(SUMIFS(K$313:K$316,$F$313:$F$316,"All")+SUMIFS(K$313:K$316,$F$313:$F$316,$F318))*INDEX(Calc_Losses_2[[Ausnet]:[United Energy]],MATCH("Total loss factor",Calc_Losses_2[[Cost item]:[Cost item]],0),MATCH(K$312,Calc_Losses_2[[#Headers],[Ausnet]:[United Energy]],0))</f>
        <v>7.5343380134085276E-3</v>
      </c>
    </row>
    <row r="319" spans="2:14" hidden="1" x14ac:dyDescent="0.25">
      <c r="B319"/>
    </row>
    <row r="320" spans="2:14" ht="15.75" hidden="1" collapsed="1" x14ac:dyDescent="0.25">
      <c r="B320"/>
      <c r="C320" s="20" t="s">
        <v>373</v>
      </c>
    </row>
    <row r="321" spans="2:11" ht="15.75" hidden="1" outlineLevel="1" x14ac:dyDescent="0.25">
      <c r="B321"/>
      <c r="C321" s="1" t="s">
        <v>374</v>
      </c>
    </row>
    <row r="322" spans="2:11" ht="15.75" hidden="1" outlineLevel="1" x14ac:dyDescent="0.25">
      <c r="B322"/>
      <c r="C322" s="57" t="s">
        <v>74</v>
      </c>
    </row>
    <row r="323" spans="2:11" hidden="1" outlineLevel="1" x14ac:dyDescent="0.25">
      <c r="B323"/>
      <c r="C323" s="14" t="s">
        <v>365</v>
      </c>
      <c r="D323" s="14" t="s">
        <v>64</v>
      </c>
      <c r="E323" s="14" t="s">
        <v>75</v>
      </c>
      <c r="F323" s="14" t="s">
        <v>72</v>
      </c>
      <c r="G323" s="41">
        <f>SUMIFS(Calc_NetworkV_2[Ausnet],Calc_NetworkV_2[[Cost item]:[Cost item]],$C322,Calc_NetworkV_2[[Customer type]:[Customer type]],$F323)</f>
        <v>0.1309807741874299</v>
      </c>
      <c r="H323" s="41">
        <f>SUMIFS(Calc_NetworkV_2[Citipower],Calc_NetworkV_2[[Cost item]:[Cost item]],$C322,Calc_NetworkV_2[[Customer type]:[Customer type]],$F323)</f>
        <v>0</v>
      </c>
      <c r="I323" s="41">
        <f>SUMIFS(Calc_NetworkV_2[Jemena],Calc_NetworkV_2[[Cost item]:[Cost item]],$C322,Calc_NetworkV_2[[Customer type]:[Customer type]],$F323)</f>
        <v>0</v>
      </c>
      <c r="J323" s="41">
        <f>SUMIFS(Calc_NetworkV_2[Powercor],Calc_NetworkV_2[[Cost item]:[Cost item]],$C322,Calc_NetworkV_2[[Customer type]:[Customer type]],$F323)</f>
        <v>0</v>
      </c>
      <c r="K323" s="41">
        <f>SUMIFS(Calc_NetworkV_2[United Energy],Calc_NetworkV_2[[Cost item]:[Cost item]],$C322,Calc_NetworkV_2[[Customer type]:[Customer type]],$F323)</f>
        <v>0</v>
      </c>
    </row>
    <row r="324" spans="2:11" hidden="1" outlineLevel="1" x14ac:dyDescent="0.25">
      <c r="B324"/>
      <c r="C324" s="14" t="s">
        <v>369</v>
      </c>
      <c r="D324" s="14" t="s">
        <v>64</v>
      </c>
      <c r="E324" s="14" t="s">
        <v>75</v>
      </c>
      <c r="F324" s="14" t="s">
        <v>72</v>
      </c>
      <c r="G324" s="41">
        <f>SUMIFS(Calc_Variable_2[Ausnet],Calc_Variable_2[Customer type],"All")+SUMIFS(Calc_Variable_2[Ausnet],Calc_Variable_2[Customer type],$F324)</f>
        <v>0.20181729362115569</v>
      </c>
      <c r="H324" s="41">
        <f>SUMIFS(Calc_Variable_2[Citipower],Calc_Variable_2[[Customer type]:[Customer type]],"All")+SUMIFS(Calc_Variable_2[Citipower],Calc_Variable_2[[Customer type]:[Customer type]],$F324)</f>
        <v>0.17462826666028453</v>
      </c>
      <c r="I324" s="41">
        <f>SUMIFS(Calc_Variable_2[Jemena],Calc_Variable_2[[Customer type]:[Customer type]],"All")+SUMIFS(Calc_Variable_2[Jemena],Calc_Variable_2[[Customer type]:[Customer type]],$F324)</f>
        <v>0.19140983760327007</v>
      </c>
      <c r="J324" s="41">
        <f>SUMIFS(Calc_Variable_2[Powercor],Calc_Variable_2[[Customer type]:[Customer type]],"All")+SUMIFS(Calc_Variable_2[Powercor],Calc_Variable_2[[Customer type]:[Customer type]],$F324)</f>
        <v>0.19695720400861422</v>
      </c>
      <c r="K324" s="41">
        <f>SUMIFS(Calc_Variable_2[United Energy],Calc_Variable_2[[Customer type]:[Customer type]],"All")+SUMIFS(Calc_Variable_2[United Energy],Calc_Variable_2[[Customer type]:[Customer type]],$F324)</f>
        <v>0.18905875945521777</v>
      </c>
    </row>
    <row r="325" spans="2:11" hidden="1" outlineLevel="1" x14ac:dyDescent="0.25">
      <c r="B325"/>
      <c r="C325" s="14" t="s">
        <v>263</v>
      </c>
      <c r="D325" s="14" t="s">
        <v>64</v>
      </c>
      <c r="E325" s="14" t="s">
        <v>75</v>
      </c>
      <c r="F325" s="14" t="s">
        <v>72</v>
      </c>
      <c r="G325" s="50" cm="1">
        <f t="array" ref="G325">IF(G323=0,"-",
(G323+G324)*Calc_ROM_2[Ausnet])</f>
        <v>1.863669179728079E-2</v>
      </c>
      <c r="H325" s="50" t="str" cm="1">
        <f t="array" ref="H325">IF(H323=0,"-",
(H323+H324)*Calc_ROM_2[Citipower])</f>
        <v>-</v>
      </c>
      <c r="I325" s="50" t="str" cm="1">
        <f t="array" ref="I325">IF(I323=0,"-",
(I323+I324)*Calc_ROM_2[Jemena])</f>
        <v>-</v>
      </c>
      <c r="J325" s="50" t="str" cm="1">
        <f t="array" ref="J325">IF(J323=0,"-",
(J323+J324)*Calc_ROM_2[Powercor])</f>
        <v>-</v>
      </c>
      <c r="K325" s="50" t="str" cm="1">
        <f t="array" ref="K325">IF(K323=0,"-",
(K323+K324)*Calc_ROM_2[United Energy])</f>
        <v>-</v>
      </c>
    </row>
    <row r="326" spans="2:11" hidden="1" outlineLevel="1" x14ac:dyDescent="0.25">
      <c r="B326"/>
      <c r="C326" s="14" t="s">
        <v>366</v>
      </c>
      <c r="D326" s="14" t="s">
        <v>64</v>
      </c>
      <c r="E326" s="14" t="s">
        <v>75</v>
      </c>
      <c r="F326" s="14" t="s">
        <v>72</v>
      </c>
      <c r="G326" s="50">
        <f>IF(G323=0,"-",
(G323+G324+G325)*GST)</f>
        <v>3.5143475960586638E-2</v>
      </c>
      <c r="H326" s="50" t="str">
        <f>IF(H323=0,"-",
(H323+H324+H325)*GST)</f>
        <v>-</v>
      </c>
      <c r="I326" s="50" t="str">
        <f>IF(I323=0,"-",
(I323+I324+I325)*GST)</f>
        <v>-</v>
      </c>
      <c r="J326" s="50" t="str">
        <f>IF(J323=0,"-",
(J323+J324+J325)*GST)</f>
        <v>-</v>
      </c>
      <c r="K326" s="50" t="str">
        <f>IF(K323=0,"-",
(K323+K324+K325)*GST)</f>
        <v>-</v>
      </c>
    </row>
    <row r="327" spans="2:11" hidden="1" outlineLevel="1" x14ac:dyDescent="0.25">
      <c r="B327"/>
      <c r="C327" s="14" t="str">
        <f>C322&amp;" charge"</f>
        <v>Block 1 charge</v>
      </c>
      <c r="D327" s="14" t="s">
        <v>64</v>
      </c>
      <c r="E327" s="14" t="s">
        <v>75</v>
      </c>
      <c r="F327" s="14" t="s">
        <v>72</v>
      </c>
      <c r="G327" s="51">
        <f>IF(G323=0,"-",
G323+G324+G325+G326)</f>
        <v>0.38657823556645299</v>
      </c>
      <c r="H327" s="51" t="str">
        <f>IF(H323=0,"-",
H323+H324+H325+H326)</f>
        <v>-</v>
      </c>
      <c r="I327" s="51" t="str">
        <f>IF(I323=0,"-",
I323+I324+I325+I326)</f>
        <v>-</v>
      </c>
      <c r="J327" s="51" t="str">
        <f>IF(J323=0,"-",
J323+J324+J325+J326)</f>
        <v>-</v>
      </c>
      <c r="K327" s="51" t="str">
        <f>IF(K323=0,"-",
K323+K324+K325+K326)</f>
        <v>-</v>
      </c>
    </row>
    <row r="328" spans="2:11" hidden="1" outlineLevel="1" x14ac:dyDescent="0.25">
      <c r="B328"/>
      <c r="G328" s="79" cm="1">
        <f t="array" ref="G328">IF(G327="-","-",
IF(ROUND(G327,8)=ROUND((((
SUMIFS(Calc_Variable_2[Ausnet],Calc_Variable_2[[Customer type]:[Customer type]],Calc_Rates!$F327)+
SUMIFS(Calc_Variable_2[Ausnet],Calc_Variable_2[[Customer type]:[Customer type]],"All")+G323)*(1+Calc_ROM_2[Ausnet]))*(1+GST)),8),0,1))</f>
        <v>0</v>
      </c>
      <c r="H328" s="79" t="str" cm="1">
        <f t="array" ref="H328">IF(H327="-","-",
IF(ROUND(H327,8)=ROUND((((
SUMIFS(Calc_Variable_2[Citipower],Calc_Variable_2[[Customer type]:[Customer type]],Calc_Rates!$F327)+
SUMIFS(Calc_Variable_2[Citipower],Calc_Variable_2[[Customer type]:[Customer type]],"All")+H323)*(1+Calc_ROM_2[Citipower]))*(1+GST)),8),0,1))</f>
        <v>-</v>
      </c>
      <c r="I328" s="79" t="str" cm="1">
        <f t="array" ref="I328">IF(I327="-","-",
IF(ROUND(I327,8)=ROUND((((
SUMIFS(Calc_Variable_2[Jemena],Calc_Variable_2[[Customer type]:[Customer type]],Calc_Rates!$F327)+
SUMIFS(Calc_Variable_2[Jemena],Calc_Variable_2[[Customer type]:[Customer type]],"All")+I323)*(1+Calc_ROM_2[Jemena]))*(1+GST)),8),0,1))</f>
        <v>-</v>
      </c>
      <c r="J328" s="79" t="str" cm="1">
        <f t="array" ref="J328">IF(J327="-","-",
IF(ROUND(J327,8)=ROUND((((
SUMIFS(Calc_Variable_2[Powercor],Calc_Variable_2[[Customer type]:[Customer type]],Calc_Rates!$F327)+
SUMIFS(Calc_Variable_2[Powercor],Calc_Variable_2[[Customer type]:[Customer type]],"All")+J323)*(1+Calc_ROM_2[Powercor]))*(1+GST)),8),0,1))</f>
        <v>-</v>
      </c>
      <c r="K328" s="79" t="str" cm="1">
        <f t="array" ref="K328">IF(K327="-","-",
IF(ROUND(K327,8)=ROUND((((
SUMIFS(Calc_Variable_2[United Energy],Calc_Variable_2[[Customer type]:[Customer type]],Calc_Rates!$F327)+
SUMIFS(Calc_Variable_2[United Energy],Calc_Variable_2[[Customer type]:[Customer type]],"All")+K323)*(1+Calc_ROM_2[United Energy]))*(1+GST)),8),0,1))</f>
        <v>-</v>
      </c>
    </row>
    <row r="329" spans="2:11" ht="15.75" hidden="1" outlineLevel="1" x14ac:dyDescent="0.25">
      <c r="B329"/>
      <c r="C329" s="57" t="s">
        <v>76</v>
      </c>
    </row>
    <row r="330" spans="2:11" hidden="1" outlineLevel="1" x14ac:dyDescent="0.25">
      <c r="B330"/>
      <c r="C330" s="14" t="s">
        <v>365</v>
      </c>
      <c r="D330" s="14" t="s">
        <v>64</v>
      </c>
      <c r="E330" s="14" t="s">
        <v>75</v>
      </c>
      <c r="F330" s="14" t="s">
        <v>72</v>
      </c>
      <c r="G330" s="41">
        <f>SUMIFS(Calc_NetworkV_2[Ausnet],Calc_NetworkV_2[[Cost item]:[Cost item]],$C329,Calc_NetworkV_2[[Customer type]:[Customer type]],$F330)</f>
        <v>0.13989069468735993</v>
      </c>
      <c r="H330" s="41">
        <f>SUMIFS(Calc_NetworkV_2[Citipower],Calc_NetworkV_2[[Cost item]:[Cost item]],$C329,Calc_NetworkV_2[[Customer type]:[Customer type]],$F330)</f>
        <v>0</v>
      </c>
      <c r="I330" s="41">
        <f>SUMIFS(Calc_NetworkV_2[Jemena],Calc_NetworkV_2[[Cost item]:[Cost item]],$C329,Calc_NetworkV_2[[Customer type]:[Customer type]],$F330)</f>
        <v>0</v>
      </c>
      <c r="J330" s="41">
        <f>SUMIFS(Calc_NetworkV_2[Powercor],Calc_NetworkV_2[[Cost item]:[Cost item]],$C329,Calc_NetworkV_2[[Customer type]:[Customer type]],$F330)</f>
        <v>0</v>
      </c>
      <c r="K330" s="41">
        <f>SUMIFS(Calc_NetworkV_2[United Energy],Calc_NetworkV_2[[Cost item]:[Cost item]],$C329,Calc_NetworkV_2[[Customer type]:[Customer type]],$F330)</f>
        <v>0</v>
      </c>
    </row>
    <row r="331" spans="2:11" hidden="1" outlineLevel="1" x14ac:dyDescent="0.25">
      <c r="B331"/>
      <c r="C331" s="14" t="s">
        <v>369</v>
      </c>
      <c r="D331" s="14" t="s">
        <v>64</v>
      </c>
      <c r="E331" s="14" t="s">
        <v>75</v>
      </c>
      <c r="F331" s="14" t="s">
        <v>72</v>
      </c>
      <c r="G331" s="41">
        <f>SUMIFS(Calc_Variable_2[Ausnet],Calc_Variable_2[[Customer type]:[Customer type]],"All")+SUMIFS(Calc_Variable_2[Ausnet],Calc_Variable_2[[Customer type]:[Customer type]],$F331)</f>
        <v>0.20181729362115569</v>
      </c>
      <c r="H331" s="41">
        <f>SUMIFS(Calc_Variable_2[Citipower],Calc_Variable_2[[Customer type]:[Customer type]],"All")+SUMIFS(Calc_Variable_2[Citipower],Calc_Variable_2[[Customer type]:[Customer type]],$F331)</f>
        <v>0.17462826666028453</v>
      </c>
      <c r="I331" s="41">
        <f>SUMIFS(Calc_Variable_2[Jemena],Calc_Variable_2[[Customer type]:[Customer type]],"All")+SUMIFS(Calc_Variable_2[Jemena],Calc_Variable_2[[Customer type]:[Customer type]],$F331)</f>
        <v>0.19140983760327007</v>
      </c>
      <c r="J331" s="41">
        <f>SUMIFS(Calc_Variable_2[Powercor],Calc_Variable_2[[Customer type]:[Customer type]],"All")+SUMIFS(Calc_Variable_2[Powercor],Calc_Variable_2[[Customer type]:[Customer type]],$F331)</f>
        <v>0.19695720400861422</v>
      </c>
      <c r="K331" s="41">
        <f>SUMIFS(Calc_Variable_2[United Energy],Calc_Variable_2[[Customer type]:[Customer type]],"All")+SUMIFS(Calc_Variable_2[United Energy],Calc_Variable_2[[Customer type]:[Customer type]],$F331)</f>
        <v>0.18905875945521777</v>
      </c>
    </row>
    <row r="332" spans="2:11" hidden="1" outlineLevel="1" x14ac:dyDescent="0.25">
      <c r="B332"/>
      <c r="C332" s="14" t="s">
        <v>263</v>
      </c>
      <c r="D332" s="14" t="s">
        <v>64</v>
      </c>
      <c r="E332" s="14" t="s">
        <v>75</v>
      </c>
      <c r="F332" s="14" t="s">
        <v>72</v>
      </c>
      <c r="G332" s="50" cm="1">
        <f t="array" ref="G332">IF(G330=0,"-",
(G330+G331)*Calc_ROM_2[Ausnet])</f>
        <v>1.9135647345276875E-2</v>
      </c>
      <c r="H332" s="50" t="str" cm="1">
        <f t="array" ref="H332">IF(H330=0,"-",
(H330+H331)*Calc_ROM_2[Citipower])</f>
        <v>-</v>
      </c>
      <c r="I332" s="50" t="str" cm="1">
        <f t="array" ref="I332">IF(I330=0,"-",
(I330+I331)*Calc_ROM_2[Jemena])</f>
        <v>-</v>
      </c>
      <c r="J332" s="50" t="str" cm="1">
        <f t="array" ref="J332">IF(J330=0,"-",
(J330+J331)*Calc_ROM_2[Powercor])</f>
        <v>-</v>
      </c>
      <c r="K332" s="50" t="str" cm="1">
        <f t="array" ref="K332">IF(K330=0,"-",
(K330+K331)*Calc_ROM_2[United Energy])</f>
        <v>-</v>
      </c>
    </row>
    <row r="333" spans="2:11" hidden="1" outlineLevel="1" x14ac:dyDescent="0.25">
      <c r="B333"/>
      <c r="C333" s="14" t="s">
        <v>366</v>
      </c>
      <c r="D333" s="14" t="s">
        <v>64</v>
      </c>
      <c r="E333" s="14" t="s">
        <v>75</v>
      </c>
      <c r="F333" s="14" t="s">
        <v>72</v>
      </c>
      <c r="G333" s="50">
        <f>IF(G330=0,"-",
(G330+G331+G332)*GST)</f>
        <v>3.6084363565379252E-2</v>
      </c>
      <c r="H333" s="50" t="str">
        <f>IF(H330=0,"-",
(H330+H331+H332)*GST)</f>
        <v>-</v>
      </c>
      <c r="I333" s="50" t="str">
        <f>IF(I330=0,"-",
(I330+I331+I332)*GST)</f>
        <v>-</v>
      </c>
      <c r="J333" s="50" t="str">
        <f>IF(J330=0,"-",
(J330+J331+J332)*GST)</f>
        <v>-</v>
      </c>
      <c r="K333" s="50" t="str">
        <f>IF(K330=0,"-",
(K330+K331+K332)*GST)</f>
        <v>-</v>
      </c>
    </row>
    <row r="334" spans="2:11" hidden="1" outlineLevel="1" x14ac:dyDescent="0.25">
      <c r="B334"/>
      <c r="C334" s="14" t="str">
        <f>C329&amp;" charge"</f>
        <v>Balance charge</v>
      </c>
      <c r="D334" s="14" t="s">
        <v>64</v>
      </c>
      <c r="E334" s="14" t="s">
        <v>75</v>
      </c>
      <c r="F334" s="14" t="s">
        <v>72</v>
      </c>
      <c r="G334" s="51">
        <f>IF(G330=0,"-",
G330+G331+G332+G333)</f>
        <v>0.39692799921917177</v>
      </c>
      <c r="H334" s="51" t="str">
        <f>IF(H330=0,"-",
H330+H331+H332+H333)</f>
        <v>-</v>
      </c>
      <c r="I334" s="51" t="str">
        <f>IF(I330=0,"-",
I330+I331+I332+I333)</f>
        <v>-</v>
      </c>
      <c r="J334" s="51" t="str">
        <f>IF(J330=0,"-",
J330+J331+J332+J333)</f>
        <v>-</v>
      </c>
      <c r="K334" s="51" t="str">
        <f>IF(K330=0,"-",
K330+K331+K332+K333)</f>
        <v>-</v>
      </c>
    </row>
    <row r="335" spans="2:11" hidden="1" outlineLevel="1" x14ac:dyDescent="0.25">
      <c r="B335"/>
      <c r="G335" s="79" cm="1">
        <f t="array" ref="G335">IF(G334="-","-",
IF(ROUND(G334,8)=ROUND((((
SUMIFS(Calc_Variable_2[Ausnet],Calc_Variable_2[[Customer type]:[Customer type]],Calc_Rates!$F334)+
SUMIFS(Calc_Variable_2[Ausnet],Calc_Variable_2[[Customer type]:[Customer type]],"All")+G330)*(1+Calc_ROM_2[Ausnet]))*(1+GST)),8),0,1))</f>
        <v>0</v>
      </c>
      <c r="H335" s="79" t="str" cm="1">
        <f t="array" ref="H335">IF(H334="-","-",
IF(ROUND(H334,8)=ROUND((((
SUMIFS(Calc_Variable_2[Citipower],Calc_Variable_2[[Customer type]:[Customer type]],Calc_Rates!$F334)+
SUMIFS(Calc_Variable_2[Citipower],Calc_Variable_2[[Customer type]:[Customer type]],"All")+H330)*(1+Calc_ROM_2[Citipower]))*(1+GST)),8),0,1))</f>
        <v>-</v>
      </c>
      <c r="I335" s="79" t="str" cm="1">
        <f t="array" ref="I335">IF(I334="-","-",
IF(ROUND(I334,8)=ROUND((((
SUMIFS(Calc_Variable_2[Jemena],Calc_Variable_2[[Customer type]:[Customer type]],Calc_Rates!$F334)+
SUMIFS(Calc_Variable_2[Jemena],Calc_Variable_2[[Customer type]:[Customer type]],"All")+I330)*(1+Calc_ROM_2[Jemena]))*(1+GST)),8),0,1))</f>
        <v>-</v>
      </c>
      <c r="J335" s="79" t="str" cm="1">
        <f t="array" ref="J335">IF(J334="-","-",
IF(ROUND(J334,8)=ROUND((((
SUMIFS(Calc_Variable_2[Powercor],Calc_Variable_2[[Customer type]:[Customer type]],Calc_Rates!$F334)+
SUMIFS(Calc_Variable_2[Powercor],Calc_Variable_2[[Customer type]:[Customer type]],"All")+J330)*(1+Calc_ROM_2[Powercor]))*(1+GST)),8),0,1))</f>
        <v>-</v>
      </c>
      <c r="K335" s="79" t="str" cm="1">
        <f t="array" ref="K335">IF(K334="-","-",
IF(ROUND(K334,8)=ROUND((((
SUMIFS(Calc_Variable_2[United Energy],Calc_Variable_2[[Customer type]:[Customer type]],Calc_Rates!$F334)+
SUMIFS(Calc_Variable_2[United Energy],Calc_Variable_2[[Customer type]:[Customer type]],"All")+K330)*(1+Calc_ROM_2[United Energy]))*(1+GST)),8),0,1))</f>
        <v>-</v>
      </c>
    </row>
    <row r="336" spans="2:11" ht="15.75" hidden="1" outlineLevel="1" x14ac:dyDescent="0.25">
      <c r="B336"/>
      <c r="C336" s="57" t="s">
        <v>77</v>
      </c>
    </row>
    <row r="337" spans="2:11" hidden="1" outlineLevel="1" x14ac:dyDescent="0.25">
      <c r="B337"/>
      <c r="C337" s="14" t="s">
        <v>365</v>
      </c>
      <c r="D337" s="14" t="s">
        <v>64</v>
      </c>
      <c r="E337" s="14" t="s">
        <v>75</v>
      </c>
      <c r="F337" s="14" t="s">
        <v>72</v>
      </c>
      <c r="G337" s="41">
        <f>SUMIFS(Calc_NetworkV_2[Ausnet],Calc_NetworkV_2[[Cost item]:[Cost item]],$C336,Calc_NetworkV_2[[Customer type]:[Customer type]],$F337)</f>
        <v>0</v>
      </c>
      <c r="H337" s="41">
        <f>SUMIFS(Calc_NetworkV_2[Citipower],Calc_NetworkV_2[[Cost item]:[Cost item]],$C336,Calc_NetworkV_2[[Customer type]:[Customer type]],$F337)</f>
        <v>7.3700000000000002E-2</v>
      </c>
      <c r="I337" s="41">
        <f>SUMIFS(Calc_NetworkV_2[Jemena],Calc_NetworkV_2[[Cost item]:[Cost item]],$C336,Calc_NetworkV_2[[Customer type]:[Customer type]],$F337)</f>
        <v>8.9770000000000003E-2</v>
      </c>
      <c r="J337" s="41">
        <f>SUMIFS(Calc_NetworkV_2[Powercor],Calc_NetworkV_2[[Cost item]:[Cost item]],$C336,Calc_NetworkV_2[[Customer type]:[Customer type]],$F337)</f>
        <v>8.77E-2</v>
      </c>
      <c r="K337" s="41">
        <f>SUMIFS(Calc_NetworkV_2[United Energy],Calc_NetworkV_2[[Cost item]:[Cost item]],$C336,Calc_NetworkV_2[[Customer type]:[Customer type]],$F337)</f>
        <v>8.5400000000000004E-2</v>
      </c>
    </row>
    <row r="338" spans="2:11" hidden="1" outlineLevel="1" x14ac:dyDescent="0.25">
      <c r="B338"/>
      <c r="C338" s="14" t="s">
        <v>369</v>
      </c>
      <c r="D338" s="14" t="s">
        <v>64</v>
      </c>
      <c r="E338" s="14" t="s">
        <v>75</v>
      </c>
      <c r="F338" s="14" t="s">
        <v>72</v>
      </c>
      <c r="G338" s="41">
        <f>SUMIFS(Calc_Variable_2[Ausnet],Calc_Variable_2[[Customer type]:[Customer type]],"All")+SUMIFS(Calc_Variable_2[Ausnet],Calc_Variable_2[[Customer type]:[Customer type]],$F338)</f>
        <v>0.20181729362115569</v>
      </c>
      <c r="H338" s="41">
        <f>SUMIFS(Calc_Variable_2[Citipower],Calc_Variable_2[[Customer type]:[Customer type]],"All")+SUMIFS(Calc_Variable_2[Citipower],Calc_Variable_2[[Customer type]:[Customer type]],$F338)</f>
        <v>0.17462826666028453</v>
      </c>
      <c r="I338" s="41">
        <f>SUMIFS(Calc_Variable_2[Jemena],Calc_Variable_2[[Customer type]:[Customer type]],"All")+SUMIFS(Calc_Variable_2[Jemena],Calc_Variable_2[[Customer type]:[Customer type]],$F338)</f>
        <v>0.19140983760327007</v>
      </c>
      <c r="J338" s="41">
        <f>SUMIFS(Calc_Variable_2[Powercor],Calc_Variable_2[[Customer type]:[Customer type]],"All")+SUMIFS(Calc_Variable_2[Powercor],Calc_Variable_2[[Customer type]:[Customer type]],$F338)</f>
        <v>0.19695720400861422</v>
      </c>
      <c r="K338" s="41">
        <f>SUMIFS(Calc_Variable_2[United Energy],Calc_Variable_2[[Customer type]:[Customer type]],"All")+SUMIFS(Calc_Variable_2[United Energy],Calc_Variable_2[[Customer type]:[Customer type]],$F338)</f>
        <v>0.18905875945521777</v>
      </c>
    </row>
    <row r="339" spans="2:11" hidden="1" outlineLevel="1" x14ac:dyDescent="0.25">
      <c r="B339"/>
      <c r="C339" s="14" t="s">
        <v>263</v>
      </c>
      <c r="D339" s="14" t="s">
        <v>64</v>
      </c>
      <c r="E339" s="14" t="s">
        <v>75</v>
      </c>
      <c r="F339" s="14" t="s">
        <v>72</v>
      </c>
      <c r="G339" s="50" t="str" cm="1">
        <f t="array" ref="G339">IF(G337=0,"-",
(G337+G338)*Calc_ROM_2[Ausnet])</f>
        <v>-</v>
      </c>
      <c r="H339" s="139" cm="1">
        <f t="array" ref="H339">IF(H337=0,"-",
(H337+H338)*Calc_ROM_2[Citipower])</f>
        <v>1.3906382932975933E-2</v>
      </c>
      <c r="I339" s="139" cm="1">
        <f t="array" ref="I339">IF(I337=0,"-",
(I337+I338)*Calc_ROM_2[Jemena])</f>
        <v>1.5746070905783126E-2</v>
      </c>
      <c r="J339" s="139" cm="1">
        <f t="array" ref="J339">IF(J337=0,"-",
(J337+J338)*Calc_ROM_2[Powercor])</f>
        <v>1.5940803424482397E-2</v>
      </c>
      <c r="K339" s="139" cm="1">
        <f t="array" ref="K339">IF(K337=0,"-",
(K337+K338)*Calc_ROM_2[United Energy])</f>
        <v>1.5369690529492197E-2</v>
      </c>
    </row>
    <row r="340" spans="2:11" hidden="1" outlineLevel="1" x14ac:dyDescent="0.25">
      <c r="B340"/>
      <c r="C340" s="14" t="s">
        <v>366</v>
      </c>
      <c r="D340" s="14" t="s">
        <v>64</v>
      </c>
      <c r="E340" s="14" t="s">
        <v>75</v>
      </c>
      <c r="F340" s="14" t="s">
        <v>72</v>
      </c>
      <c r="G340" s="50" t="str">
        <f>IF(G337=0,"-",
(G337+G338+G339)*GST)</f>
        <v>-</v>
      </c>
      <c r="H340" s="139">
        <f>IF(H337=0,"-",
(H337+H338+H339)*GST)</f>
        <v>2.6223464959326044E-2</v>
      </c>
      <c r="I340" s="139">
        <f>IF(I337=0,"-",
(I337+I338+I339)*GST)</f>
        <v>2.9692590850905323E-2</v>
      </c>
      <c r="J340" s="139">
        <f>IF(J337=0,"-",
(J337+J338+J339)*GST)</f>
        <v>3.0059800743309661E-2</v>
      </c>
      <c r="K340" s="139">
        <f>IF(K337=0,"-",
(K337+K338+K339)*GST)</f>
        <v>2.8982844998471004E-2</v>
      </c>
    </row>
    <row r="341" spans="2:11" hidden="1" outlineLevel="1" x14ac:dyDescent="0.25">
      <c r="B341"/>
      <c r="C341" s="14" t="str">
        <f>C336&amp;" charge"</f>
        <v>Single rate charge</v>
      </c>
      <c r="D341" s="14" t="s">
        <v>64</v>
      </c>
      <c r="E341" s="14" t="s">
        <v>75</v>
      </c>
      <c r="F341" s="14" t="s">
        <v>72</v>
      </c>
      <c r="G341" s="51" t="str">
        <f>IF(G337=0,"-",
G337+G338+G339+G340)</f>
        <v>-</v>
      </c>
      <c r="H341" s="51">
        <f>IF(H337=0,"-",
H337+H338+H339+H340)</f>
        <v>0.28845811455258646</v>
      </c>
      <c r="I341" s="51">
        <f>IF(I337=0,"-",
I337+I338+I339+I340)</f>
        <v>0.32661849935995851</v>
      </c>
      <c r="J341" s="51">
        <f>IF(J337=0,"-",
J337+J338+J339+J340)</f>
        <v>0.33065780817640628</v>
      </c>
      <c r="K341" s="51">
        <f>IF(K337=0,"-",
K337+K338+K339+K340)</f>
        <v>0.318811294983181</v>
      </c>
    </row>
    <row r="342" spans="2:11" hidden="1" outlineLevel="1" x14ac:dyDescent="0.25">
      <c r="B342"/>
      <c r="G342" s="79" t="str" cm="1">
        <f t="array" ref="G342">IF(G341="-","-",
IF(ROUND(G341,8)=ROUND((((
SUMIFS(Calc_Variable_2[Ausnet],Calc_Variable_2[[Customer type]:[Customer type]],Calc_Rates!$F341)+
SUMIFS(Calc_Variable_2[Ausnet],Calc_Variable_2[[Customer type]:[Customer type]],"All")+G337)*(1+Calc_ROM_2[Ausnet]))*(1+GST)),8),0,1))</f>
        <v>-</v>
      </c>
      <c r="H342" s="79" cm="1">
        <f t="array" ref="H342">IF(H341="-","-",
IF(ROUND(H341,8)=ROUND((((
SUMIFS(Calc_Variable_2[Citipower],Calc_Variable_2[[Customer type]:[Customer type]],Calc_Rates!$F341)+
SUMIFS(Calc_Variable_2[Citipower],Calc_Variable_2[[Customer type]:[Customer type]],"All")+H337)*(1+Calc_ROM_2[Citipower]))*(1+GST)),8),0,1))</f>
        <v>0</v>
      </c>
      <c r="I342" s="79" cm="1">
        <f t="array" ref="I342">IF(I341="-","-",
IF(ROUND(I341,8)=ROUND((((
SUMIFS(Calc_Variable_2[Jemena],Calc_Variable_2[[Customer type]:[Customer type]],Calc_Rates!$F341)+
SUMIFS(Calc_Variable_2[Jemena],Calc_Variable_2[[Customer type]:[Customer type]],"All")+I337)*(1+Calc_ROM_2[Jemena]))*(1+GST)),8),0,1))</f>
        <v>0</v>
      </c>
      <c r="J342" s="79" cm="1">
        <f t="array" ref="J342">IF(J341="-","-",
IF(ROUND(J341,8)=ROUND((((
SUMIFS(Calc_Variable_2[Powercor],Calc_Variable_2[[Customer type]:[Customer type]],Calc_Rates!$F341)+
SUMIFS(Calc_Variable_2[Powercor],Calc_Variable_2[[Customer type]:[Customer type]],"All")+J337)*(1+Calc_ROM_2[Powercor]))*(1+GST)),8),0,1))</f>
        <v>0</v>
      </c>
      <c r="K342" s="79" cm="1">
        <f t="array" ref="K342">IF(K341="-","-",
IF(ROUND(K341,8)=ROUND((((
SUMIFS(Calc_Variable_2[United Energy],Calc_Variable_2[[Customer type]:[Customer type]],Calc_Rates!$F341)+
SUMIFS(Calc_Variable_2[United Energy],Calc_Variable_2[[Customer type]:[Customer type]],"All")+K337)*(1+Calc_ROM_2[United Energy]))*(1+GST)),8),0,1))</f>
        <v>0</v>
      </c>
    </row>
    <row r="343" spans="2:11" ht="15.75" hidden="1" outlineLevel="1" x14ac:dyDescent="0.25">
      <c r="B343"/>
      <c r="C343" s="1" t="s">
        <v>375</v>
      </c>
    </row>
    <row r="344" spans="2:11" ht="15.75" hidden="1" outlineLevel="1" x14ac:dyDescent="0.25">
      <c r="B344"/>
      <c r="C344" s="57" t="s">
        <v>79</v>
      </c>
    </row>
    <row r="345" spans="2:11" hidden="1" outlineLevel="1" x14ac:dyDescent="0.25">
      <c r="B345"/>
      <c r="C345" s="14" t="s">
        <v>365</v>
      </c>
      <c r="D345" s="14" t="s">
        <v>64</v>
      </c>
      <c r="E345" s="14" t="s">
        <v>75</v>
      </c>
      <c r="F345" s="14" t="s">
        <v>72</v>
      </c>
      <c r="G345" s="41">
        <f>SUMIFS(Calc_NetworkV_2[Ausnet],Calc_NetworkV_2[[Cost item]:[Cost item]],$C344,Calc_NetworkV_2[[Customer type]:[Customer type]],$F345)</f>
        <v>0.22405517942110717</v>
      </c>
      <c r="H345" s="41">
        <f>SUMIFS(Calc_NetworkV_2[Citipower],Calc_NetworkV_2[[Cost item]:[Cost item]],$C344,Calc_NetworkV_2[[Customer type]:[Customer type]],$F345)</f>
        <v>0.1467</v>
      </c>
      <c r="I345" s="41">
        <f>SUMIFS(Calc_NetworkV_2[Jemena],Calc_NetworkV_2[[Cost item]:[Cost item]],$C344,Calc_NetworkV_2[[Customer type]:[Customer type]],$F345)</f>
        <v>0.14771999999999999</v>
      </c>
      <c r="J345" s="41">
        <f>SUMIFS(Calc_NetworkV_2[Powercor],Calc_NetworkV_2[[Cost item]:[Cost item]],$C344,Calc_NetworkV_2[[Customer type]:[Customer type]],$F345)</f>
        <v>0.1714</v>
      </c>
      <c r="K345" s="41">
        <f>SUMIFS(Calc_NetworkV_2[United Energy],Calc_NetworkV_2[[Cost item]:[Cost item]],$C344,Calc_NetworkV_2[[Customer type]:[Customer type]],$F345)</f>
        <v>0.1668</v>
      </c>
    </row>
    <row r="346" spans="2:11" hidden="1" outlineLevel="1" x14ac:dyDescent="0.25">
      <c r="B346"/>
      <c r="C346" s="14" t="s">
        <v>369</v>
      </c>
      <c r="D346" s="14" t="s">
        <v>64</v>
      </c>
      <c r="E346" s="14" t="s">
        <v>75</v>
      </c>
      <c r="F346" s="14" t="s">
        <v>72</v>
      </c>
      <c r="G346" s="41">
        <f>SUMIFS(Calc_Variable_2[Ausnet],Calc_Variable_2[[Customer type]:[Customer type]],"All")+SUMIFS(Calc_Variable_2[Ausnet],Calc_Variable_2[[Customer type]:[Customer type]],$F346)</f>
        <v>0.20181729362115569</v>
      </c>
      <c r="H346" s="41">
        <f>SUMIFS(Calc_Variable_2[Citipower],Calc_Variable_2[[Customer type]:[Customer type]],"All")+SUMIFS(Calc_Variable_2[Citipower],Calc_Variable_2[[Customer type]:[Customer type]],$F346)</f>
        <v>0.17462826666028453</v>
      </c>
      <c r="I346" s="41">
        <f>SUMIFS(Calc_Variable_2[Jemena],Calc_Variable_2[[Customer type]:[Customer type]],"All")+SUMIFS(Calc_Variable_2[Jemena],Calc_Variable_2[[Customer type]:[Customer type]],$F346)</f>
        <v>0.19140983760327007</v>
      </c>
      <c r="J346" s="41">
        <f>SUMIFS(Calc_Variable_2[Powercor],Calc_Variable_2[[Customer type]:[Customer type]],"All")+SUMIFS(Calc_Variable_2[Powercor],Calc_Variable_2[[Customer type]:[Customer type]],$F346)</f>
        <v>0.19695720400861422</v>
      </c>
      <c r="K346" s="41">
        <f>SUMIFS(Calc_Variable_2[United Energy],Calc_Variable_2[[Customer type]:[Customer type]],"All")+SUMIFS(Calc_Variable_2[United Energy],Calc_Variable_2[[Customer type]:[Customer type]],$F346)</f>
        <v>0.18905875945521777</v>
      </c>
    </row>
    <row r="347" spans="2:11" hidden="1" outlineLevel="1" x14ac:dyDescent="0.25">
      <c r="B347"/>
      <c r="C347" s="14" t="s">
        <v>263</v>
      </c>
      <c r="D347" s="14" t="s">
        <v>64</v>
      </c>
      <c r="E347" s="14" t="s">
        <v>75</v>
      </c>
      <c r="F347" s="14" t="s">
        <v>72</v>
      </c>
      <c r="G347" s="50" cm="1">
        <f t="array" ref="G347">IF(G345=0,"-",
(G345+G346)*Calc_ROM_2[Ausnet])</f>
        <v>2.384885849036672E-2</v>
      </c>
      <c r="H347" s="50" cm="1">
        <f t="array" ref="H347">IF(H345=0,"-",
(H345+H346)*Calc_ROM_2[Citipower])</f>
        <v>1.7994382932975932E-2</v>
      </c>
      <c r="I347" s="50" cm="1">
        <f t="array" ref="I347">IF(I345=0,"-",
(I345+I346)*Calc_ROM_2[Jemena])</f>
        <v>1.8991270905783127E-2</v>
      </c>
      <c r="J347" s="50" cm="1">
        <f t="array" ref="J347">IF(J345=0,"-",
(J345+J346)*Calc_ROM_2[Powercor])</f>
        <v>2.0628003424482396E-2</v>
      </c>
      <c r="K347" s="50" cm="1">
        <f t="array" ref="K347">IF(K345=0,"-",
(K345+K346)*Calc_ROM_2[United Energy])</f>
        <v>1.9928090529492196E-2</v>
      </c>
    </row>
    <row r="348" spans="2:11" hidden="1" outlineLevel="1" x14ac:dyDescent="0.25">
      <c r="B348"/>
      <c r="C348" s="14" t="s">
        <v>366</v>
      </c>
      <c r="D348" s="14" t="s">
        <v>64</v>
      </c>
      <c r="E348" s="14" t="s">
        <v>75</v>
      </c>
      <c r="F348" s="14" t="s">
        <v>72</v>
      </c>
      <c r="G348" s="50">
        <f>IF(G345=0,"-",
(G345+G346+G347)*GST)</f>
        <v>4.4972133153262955E-2</v>
      </c>
      <c r="H348" s="50">
        <f>IF(H345=0,"-",
(H345+H346+H347)*GST)</f>
        <v>3.3932264959326046E-2</v>
      </c>
      <c r="I348" s="50">
        <f>IF(I345=0,"-",
(I345+I346+I347)*GST)</f>
        <v>3.581211085090532E-2</v>
      </c>
      <c r="J348" s="50">
        <f>IF(J345=0,"-",
(J345+J346+J347)*GST)</f>
        <v>3.8898520743309663E-2</v>
      </c>
      <c r="K348" s="50">
        <f>IF(K345=0,"-",
(K345+K346+K347)*GST)</f>
        <v>3.7578684998471001E-2</v>
      </c>
    </row>
    <row r="349" spans="2:11" hidden="1" outlineLevel="1" x14ac:dyDescent="0.25">
      <c r="B349"/>
      <c r="C349" s="14" t="str">
        <f>C344&amp;" charge"</f>
        <v>Peak charge</v>
      </c>
      <c r="D349" s="14" t="s">
        <v>64</v>
      </c>
      <c r="E349" s="14" t="s">
        <v>75</v>
      </c>
      <c r="F349" s="14" t="s">
        <v>72</v>
      </c>
      <c r="G349" s="51">
        <f>IF(G345=0,"-",
G345+G346+G347+G348)</f>
        <v>0.49469346468589248</v>
      </c>
      <c r="H349" s="51">
        <f>IF(H345=0,"-",
H345+H346+H347+H348)</f>
        <v>0.37325491455258653</v>
      </c>
      <c r="I349" s="51">
        <f>IF(I345=0,"-",
I345+I346+I347+I348)</f>
        <v>0.39393321935995851</v>
      </c>
      <c r="J349" s="51">
        <f>IF(J345=0,"-",
J345+J346+J347+J348)</f>
        <v>0.4278837281764063</v>
      </c>
      <c r="K349" s="51">
        <f>IF(K345=0,"-",
K345+K346+K347+K348)</f>
        <v>0.41336553498318096</v>
      </c>
    </row>
    <row r="350" spans="2:11" hidden="1" outlineLevel="1" x14ac:dyDescent="0.25">
      <c r="B350"/>
      <c r="G350" s="79" cm="1">
        <f t="array" ref="G350">IF(G349="-","-",
IF(ROUND(G349,8)=ROUND((((
SUMIFS(Calc_Variable_2[Ausnet],Calc_Variable_2[[Customer type]:[Customer type]],Calc_Rates!$F349)+
SUMIFS(Calc_Variable_2[Ausnet],Calc_Variable_2[[Customer type]:[Customer type]],"All")+G345)*(1+Calc_ROM_2[Ausnet]))*(1+GST)),8),0,1))</f>
        <v>0</v>
      </c>
      <c r="H350" s="79" cm="1">
        <f t="array" ref="H350">IF(H349="-","-",
IF(ROUND(H349,8)=ROUND((((
SUMIFS(Calc_Variable_2[Citipower],Calc_Variable_2[[Customer type]:[Customer type]],Calc_Rates!$F349)+
SUMIFS(Calc_Variable_2[Citipower],Calc_Variable_2[[Customer type]:[Customer type]],"All")+H345)*(1+Calc_ROM_2[Citipower]))*(1+GST)),8),0,1))</f>
        <v>0</v>
      </c>
      <c r="I350" s="79" cm="1">
        <f t="array" ref="I350">IF(I349="-","-",
IF(ROUND(I349,8)=ROUND((((
SUMIFS(Calc_Variable_2[Jemena],Calc_Variable_2[[Customer type]:[Customer type]],Calc_Rates!$F349)+
SUMIFS(Calc_Variable_2[Jemena],Calc_Variable_2[[Customer type]:[Customer type]],"All")+I345)*(1+Calc_ROM_2[Jemena]))*(1+GST)),8),0,1))</f>
        <v>0</v>
      </c>
      <c r="J350" s="79" cm="1">
        <f t="array" ref="J350">IF(J349="-","-",
IF(ROUND(J349,8)=ROUND((((
SUMIFS(Calc_Variable_2[Powercor],Calc_Variable_2[[Customer type]:[Customer type]],Calc_Rates!$F349)+
SUMIFS(Calc_Variable_2[Powercor],Calc_Variable_2[[Customer type]:[Customer type]],"All")+J345)*(1+Calc_ROM_2[Powercor]))*(1+GST)),8),0,1))</f>
        <v>0</v>
      </c>
      <c r="K350" s="79" cm="1">
        <f t="array" ref="K350">IF(K349="-","-",
IF(ROUND(K349,8)=ROUND((((
SUMIFS(Calc_Variable_2[United Energy],Calc_Variable_2[[Customer type]:[Customer type]],Calc_Rates!$F349)+
SUMIFS(Calc_Variable_2[United Energy],Calc_Variable_2[[Customer type]:[Customer type]],"All")+K345)*(1+Calc_ROM_2[United Energy]))*(1+GST)),8),0,1))</f>
        <v>0</v>
      </c>
    </row>
    <row r="351" spans="2:11" ht="15.75" hidden="1" outlineLevel="1" x14ac:dyDescent="0.25">
      <c r="B351"/>
      <c r="C351" s="57" t="s">
        <v>80</v>
      </c>
    </row>
    <row r="352" spans="2:11" hidden="1" outlineLevel="1" x14ac:dyDescent="0.25">
      <c r="B352"/>
      <c r="C352" s="14" t="s">
        <v>365</v>
      </c>
      <c r="D352" s="14" t="s">
        <v>64</v>
      </c>
      <c r="E352" s="14" t="s">
        <v>75</v>
      </c>
      <c r="F352" s="14" t="s">
        <v>72</v>
      </c>
      <c r="G352" s="41">
        <f>SUMIFS(Calc_NetworkV_2[Ausnet],Calc_NetworkV_2[[Cost item]:[Cost item]],$C351,Calc_NetworkV_2[[Customer type]:[Customer type]],$F352)</f>
        <v>4.6393863430805989E-2</v>
      </c>
      <c r="H352" s="41">
        <f>SUMIFS(Calc_NetworkV_2[Citipower],Calc_NetworkV_2[[Cost item]:[Cost item]],$C351,Calc_NetworkV_2[[Customer type]:[Customer type]],$F352)</f>
        <v>3.6699999999999997E-2</v>
      </c>
      <c r="I352" s="41">
        <f>SUMIFS(Calc_NetworkV_2[Jemena],Calc_NetworkV_2[[Cost item]:[Cost item]],$C351,Calc_NetworkV_2[[Customer type]:[Customer type]],$F352)</f>
        <v>4.3120000000000006E-2</v>
      </c>
      <c r="J352" s="41">
        <f>SUMIFS(Calc_NetworkV_2[Powercor],Calc_NetworkV_2[[Cost item]:[Cost item]],$C351,Calc_NetworkV_2[[Customer type]:[Customer type]],$F352)</f>
        <v>4.2900000000000001E-2</v>
      </c>
      <c r="K352" s="41">
        <f>SUMIFS(Calc_NetworkV_2[United Energy],Calc_NetworkV_2[[Cost item]:[Cost item]],$C351,Calc_NetworkV_2[[Customer type]:[Customer type]],$F352)</f>
        <v>4.1599999999999998E-2</v>
      </c>
    </row>
    <row r="353" spans="2:11" hidden="1" outlineLevel="1" x14ac:dyDescent="0.25">
      <c r="B353"/>
      <c r="C353" s="14" t="s">
        <v>369</v>
      </c>
      <c r="D353" s="14" t="s">
        <v>64</v>
      </c>
      <c r="E353" s="14" t="s">
        <v>75</v>
      </c>
      <c r="F353" s="14" t="s">
        <v>72</v>
      </c>
      <c r="G353" s="41">
        <f>SUMIFS(Calc_Variable_2[Ausnet],Calc_Variable_2[[Customer type]:[Customer type]],"All")+SUMIFS(Calc_Variable_2[Ausnet],Calc_Variable_2[[Customer type]:[Customer type]],$F353)</f>
        <v>0.20181729362115569</v>
      </c>
      <c r="H353" s="41">
        <f>SUMIFS(Calc_Variable_2[Citipower],Calc_Variable_2[[Customer type]:[Customer type]],"All")+SUMIFS(Calc_Variable_2[Citipower],Calc_Variable_2[[Customer type]:[Customer type]],$F353)</f>
        <v>0.17462826666028453</v>
      </c>
      <c r="I353" s="41">
        <f>SUMIFS(Calc_Variable_2[Jemena],Calc_Variable_2[[Customer type]:[Customer type]],"All")+SUMIFS(Calc_Variable_2[Jemena],Calc_Variable_2[[Customer type]:[Customer type]],$F353)</f>
        <v>0.19140983760327007</v>
      </c>
      <c r="J353" s="41">
        <f>SUMIFS(Calc_Variable_2[Powercor],Calc_Variable_2[[Customer type]:[Customer type]],"All")+SUMIFS(Calc_Variable_2[Powercor],Calc_Variable_2[[Customer type]:[Customer type]],$F353)</f>
        <v>0.19695720400861422</v>
      </c>
      <c r="K353" s="41">
        <f>SUMIFS(Calc_Variable_2[United Energy],Calc_Variable_2[[Customer type]:[Customer type]],"All")+SUMIFS(Calc_Variable_2[United Energy],Calc_Variable_2[[Customer type]:[Customer type]],$F353)</f>
        <v>0.18905875945521777</v>
      </c>
    </row>
    <row r="354" spans="2:11" hidden="1" outlineLevel="1" x14ac:dyDescent="0.25">
      <c r="B354"/>
      <c r="C354" s="14" t="s">
        <v>263</v>
      </c>
      <c r="D354" s="14" t="s">
        <v>64</v>
      </c>
      <c r="E354" s="14" t="s">
        <v>75</v>
      </c>
      <c r="F354" s="14" t="s">
        <v>72</v>
      </c>
      <c r="G354" s="50" cm="1">
        <f t="array" ref="G354">IF(G352=0,"-",
(G352+G353)*Calc_ROM_2[Ausnet])</f>
        <v>1.3899824794909855E-2</v>
      </c>
      <c r="H354" s="50" cm="1">
        <f t="array" ref="H354">IF(H352=0,"-",
(H352+H353)*Calc_ROM_2[Citipower])</f>
        <v>1.1834382932975934E-2</v>
      </c>
      <c r="I354" s="50" cm="1">
        <f t="array" ref="I354">IF(I352=0,"-",
(I352+I353)*Calc_ROM_2[Jemena])</f>
        <v>1.3133670905783124E-2</v>
      </c>
      <c r="J354" s="50" cm="1">
        <f t="array" ref="J354">IF(J352=0,"-",
(J352+J353)*Calc_ROM_2[Powercor])</f>
        <v>1.3432003424482397E-2</v>
      </c>
      <c r="K354" s="50" cm="1">
        <f t="array" ref="K354">IF(K352=0,"-",
(K352+K353)*Calc_ROM_2[United Energy])</f>
        <v>1.2916890529492195E-2</v>
      </c>
    </row>
    <row r="355" spans="2:11" hidden="1" outlineLevel="1" x14ac:dyDescent="0.25">
      <c r="B355"/>
      <c r="C355" s="14" t="s">
        <v>366</v>
      </c>
      <c r="D355" s="14" t="s">
        <v>64</v>
      </c>
      <c r="E355" s="14" t="s">
        <v>75</v>
      </c>
      <c r="F355" s="14" t="s">
        <v>72</v>
      </c>
      <c r="G355" s="50">
        <f>IF(G352=0,"-",
(G352+G353+G354)*GST)</f>
        <v>2.6211098184687157E-2</v>
      </c>
      <c r="H355" s="50">
        <f>IF(H352=0,"-",
(H352+H353+H354)*GST)</f>
        <v>2.2316264959326048E-2</v>
      </c>
      <c r="I355" s="50">
        <f>IF(I352=0,"-",
(I352+I353+I354)*GST)</f>
        <v>2.4766350850905321E-2</v>
      </c>
      <c r="J355" s="50">
        <f>IF(J352=0,"-",
(J352+J353+J354)*GST)</f>
        <v>2.5328920743309665E-2</v>
      </c>
      <c r="K355" s="50">
        <f>IF(K352=0,"-",
(K352+K353+K354)*GST)</f>
        <v>2.4357564998470999E-2</v>
      </c>
    </row>
    <row r="356" spans="2:11" hidden="1" outlineLevel="1" x14ac:dyDescent="0.25">
      <c r="B356"/>
      <c r="C356" s="14" t="str">
        <f>C351&amp;" charge"</f>
        <v>Off peak charge</v>
      </c>
      <c r="D356" s="14" t="s">
        <v>64</v>
      </c>
      <c r="E356" s="14" t="s">
        <v>75</v>
      </c>
      <c r="F356" s="14" t="s">
        <v>72</v>
      </c>
      <c r="G356" s="51">
        <f>IF(G352=0,"-",
G352+G353+G354+G355)</f>
        <v>0.28832208003155868</v>
      </c>
      <c r="H356" s="51">
        <f>IF(H352=0,"-",
H352+H353+H354+H355)</f>
        <v>0.2454789145525865</v>
      </c>
      <c r="I356" s="51">
        <f>IF(I352=0,"-",
I352+I353+I354+I355)</f>
        <v>0.2724298593599585</v>
      </c>
      <c r="J356" s="51">
        <f>IF(J352=0,"-",
J352+J353+J354+J355)</f>
        <v>0.2786181281764063</v>
      </c>
      <c r="K356" s="51">
        <f>IF(K352=0,"-",
K352+K353+K354+K355)</f>
        <v>0.26793321498318096</v>
      </c>
    </row>
    <row r="357" spans="2:11" hidden="1" outlineLevel="1" x14ac:dyDescent="0.25">
      <c r="B357"/>
      <c r="G357" s="79" cm="1">
        <f t="array" ref="G357">IF(G356="-","-",
IF(ROUND(G356,8)=ROUND((((
SUMIFS(Calc_Variable_2[Ausnet],Calc_Variable_2[[Customer type]:[Customer type]],Calc_Rates!$F356)+
SUMIFS(Calc_Variable_2[Ausnet],Calc_Variable_2[[Customer type]:[Customer type]],"All")+G352)*(1+Calc_ROM_2[Ausnet]))*(1+GST)),8),0,1))</f>
        <v>0</v>
      </c>
      <c r="H357" s="79" cm="1">
        <f t="array" ref="H357">IF(H356="-","-",
IF(ROUND(H356,8)=ROUND((((
SUMIFS(Calc_Variable_2[Citipower],Calc_Variable_2[[Customer type]:[Customer type]],Calc_Rates!$F356)+
SUMIFS(Calc_Variable_2[Citipower],Calc_Variable_2[[Customer type]:[Customer type]],"All")+H352)*(1+Calc_ROM_2[Citipower]))*(1+GST)),8),0,1))</f>
        <v>0</v>
      </c>
      <c r="I357" s="79" cm="1">
        <f t="array" ref="I357">IF(I356="-","-",
IF(ROUND(I356,8)=ROUND((((
SUMIFS(Calc_Variable_2[Jemena],Calc_Variable_2[[Customer type]:[Customer type]],Calc_Rates!$F356)+
SUMIFS(Calc_Variable_2[Jemena],Calc_Variable_2[[Customer type]:[Customer type]],"All")+I352)*(1+Calc_ROM_2[Jemena]))*(1+GST)),8),0,1))</f>
        <v>0</v>
      </c>
      <c r="J357" s="79" cm="1">
        <f t="array" ref="J357">IF(J356="-","-",
IF(ROUND(J356,8)=ROUND((((
SUMIFS(Calc_Variable_2[Powercor],Calc_Variable_2[[Customer type]:[Customer type]],Calc_Rates!$F356)+
SUMIFS(Calc_Variable_2[Powercor],Calc_Variable_2[[Customer type]:[Customer type]],"All")+J352)*(1+Calc_ROM_2[Powercor]))*(1+GST)),8),0,1))</f>
        <v>0</v>
      </c>
      <c r="K357" s="79" cm="1">
        <f t="array" ref="K357">IF(K356="-","-",
IF(ROUND(K356,8)=ROUND((((
SUMIFS(Calc_Variable_2[United Energy],Calc_Variable_2[[Customer type]:[Customer type]],Calc_Rates!$F356)+
SUMIFS(Calc_Variable_2[United Energy],Calc_Variable_2[[Customer type]:[Customer type]],"All")+K352)*(1+Calc_ROM_2[United Energy]))*(1+GST)),8),0,1))</f>
        <v>0</v>
      </c>
    </row>
    <row r="358" spans="2:11" ht="15.75" hidden="1" outlineLevel="1" x14ac:dyDescent="0.25">
      <c r="B358"/>
      <c r="C358" s="57" t="s">
        <v>81</v>
      </c>
    </row>
    <row r="359" spans="2:11" hidden="1" outlineLevel="1" x14ac:dyDescent="0.25">
      <c r="B359"/>
      <c r="C359" s="14" t="s">
        <v>365</v>
      </c>
      <c r="D359" s="14" t="s">
        <v>64</v>
      </c>
      <c r="E359" s="14" t="s">
        <v>75</v>
      </c>
      <c r="F359" s="14" t="s">
        <v>72</v>
      </c>
      <c r="G359" s="41">
        <f>SUMIFS(Calc_NetworkV_2[Ausnet],Calc_NetworkV_2[[Cost item]:[Cost item]],$C358,Calc_NetworkV_2[[Customer type]:[Customer type]],$F359)</f>
        <v>4.6393863430805989E-2</v>
      </c>
      <c r="H359" s="41">
        <f>SUMIFS(Calc_NetworkV_2[Citipower],Calc_NetworkV_2[[Cost item]:[Cost item]],$C358,Calc_NetworkV_2[[Customer type]:[Customer type]],$F359)</f>
        <v>2.2099999999999998E-2</v>
      </c>
      <c r="I359" s="41">
        <f>SUMIFS(Calc_NetworkV_2[Jemena],Calc_NetworkV_2[[Cost item]:[Cost item]],$C358,Calc_NetworkV_2[[Customer type]:[Customer type]],$F359)</f>
        <v>3.6950000000000004E-2</v>
      </c>
      <c r="J359" s="41">
        <f>SUMIFS(Calc_NetworkV_2[Powercor],Calc_NetworkV_2[[Cost item]:[Cost item]],$C358,Calc_NetworkV_2[[Customer type]:[Customer type]],$F359)</f>
        <v>2.46E-2</v>
      </c>
      <c r="K359" s="41">
        <f>SUMIFS(Calc_NetworkV_2[United Energy],Calc_NetworkV_2[[Cost item]:[Cost item]],$C358,Calc_NetworkV_2[[Customer type]:[Customer type]],$F359)</f>
        <v>2.4399999999999998E-2</v>
      </c>
    </row>
    <row r="360" spans="2:11" hidden="1" outlineLevel="1" x14ac:dyDescent="0.25">
      <c r="B360"/>
      <c r="C360" s="14" t="s">
        <v>369</v>
      </c>
      <c r="D360" s="14" t="s">
        <v>64</v>
      </c>
      <c r="E360" s="14" t="s">
        <v>75</v>
      </c>
      <c r="F360" s="14" t="s">
        <v>72</v>
      </c>
      <c r="G360" s="41">
        <f>SUMIFS(Calc_Variable_2[Ausnet],Calc_Variable_2[[Customer type]:[Customer type]],"All")+SUMIFS(Calc_Variable_2[Ausnet],Calc_Variable_2[[Customer type]:[Customer type]],$F360)</f>
        <v>0.20181729362115569</v>
      </c>
      <c r="H360" s="41">
        <f>SUMIFS(Calc_Variable_2[Citipower],Calc_Variable_2[[Customer type]:[Customer type]],"All")+SUMIFS(Calc_Variable_2[Citipower],Calc_Variable_2[[Customer type]:[Customer type]],$F360)</f>
        <v>0.17462826666028453</v>
      </c>
      <c r="I360" s="41">
        <f>SUMIFS(Calc_Variable_2[Jemena],Calc_Variable_2[[Customer type]:[Customer type]],"All")+SUMIFS(Calc_Variable_2[Jemena],Calc_Variable_2[[Customer type]:[Customer type]],$F360)</f>
        <v>0.19140983760327007</v>
      </c>
      <c r="J360" s="41">
        <f>SUMIFS(Calc_Variable_2[Powercor],Calc_Variable_2[[Customer type]:[Customer type]],"All")+SUMIFS(Calc_Variable_2[Powercor],Calc_Variable_2[[Customer type]:[Customer type]],$F360)</f>
        <v>0.19695720400861422</v>
      </c>
      <c r="K360" s="41">
        <f>SUMIFS(Calc_Variable_2[United Energy],Calc_Variable_2[[Customer type]:[Customer type]],"All")+SUMIFS(Calc_Variable_2[United Energy],Calc_Variable_2[[Customer type]:[Customer type]],$F360)</f>
        <v>0.18905875945521777</v>
      </c>
    </row>
    <row r="361" spans="2:11" hidden="1" outlineLevel="1" x14ac:dyDescent="0.25">
      <c r="B361"/>
      <c r="C361" s="14" t="s">
        <v>263</v>
      </c>
      <c r="D361" s="14" t="s">
        <v>64</v>
      </c>
      <c r="E361" s="14" t="s">
        <v>75</v>
      </c>
      <c r="F361" s="14" t="s">
        <v>72</v>
      </c>
      <c r="G361" s="50" cm="1">
        <f t="array" ref="G361">IF(G359=0,"-",
(G359+G360)*Calc_ROM_2[Ausnet])</f>
        <v>1.3899824794909855E-2</v>
      </c>
      <c r="H361" s="50" cm="1">
        <f t="array" ref="H361">IF(H359=0,"-",
(H359+H360)*Calc_ROM_2[Citipower])</f>
        <v>1.1016782932975934E-2</v>
      </c>
      <c r="I361" s="50" cm="1">
        <f t="array" ref="I361">IF(I359=0,"-",
(I359+I360)*Calc_ROM_2[Jemena])</f>
        <v>1.2788150905783125E-2</v>
      </c>
      <c r="J361" s="50" cm="1">
        <f t="array" ref="J361">IF(J359=0,"-",
(J359+J360)*Calc_ROM_2[Powercor])</f>
        <v>1.2407203424482397E-2</v>
      </c>
      <c r="K361" s="50" cm="1">
        <f t="array" ref="K361">IF(K359=0,"-",
(K359+K360)*Calc_ROM_2[United Energy])</f>
        <v>1.1953690529492196E-2</v>
      </c>
    </row>
    <row r="362" spans="2:11" hidden="1" outlineLevel="1" x14ac:dyDescent="0.25">
      <c r="B362"/>
      <c r="C362" s="14" t="s">
        <v>366</v>
      </c>
      <c r="D362" s="14" t="s">
        <v>64</v>
      </c>
      <c r="E362" s="14" t="s">
        <v>75</v>
      </c>
      <c r="F362" s="14" t="s">
        <v>72</v>
      </c>
      <c r="G362" s="50">
        <f>IF(G359=0,"-",
(G359+G360+G361)*GST)</f>
        <v>2.6211098184687157E-2</v>
      </c>
      <c r="H362" s="50">
        <f>IF(H359=0,"-",
(H359+H360+H361)*GST)</f>
        <v>2.0774504959326048E-2</v>
      </c>
      <c r="I362" s="50">
        <f>IF(I359=0,"-",
(I359+I360+I361)*GST)</f>
        <v>2.4114798850905322E-2</v>
      </c>
      <c r="J362" s="50">
        <f>IF(J359=0,"-",
(J359+J360+J361)*GST)</f>
        <v>2.3396440743309665E-2</v>
      </c>
      <c r="K362" s="50">
        <f>IF(K359=0,"-",
(K359+K360+K361)*GST)</f>
        <v>2.2541244998470999E-2</v>
      </c>
    </row>
    <row r="363" spans="2:11" hidden="1" outlineLevel="1" x14ac:dyDescent="0.25">
      <c r="B363"/>
      <c r="C363" s="14" t="str">
        <f>C358&amp;" charge"</f>
        <v>Controlled load charge</v>
      </c>
      <c r="D363" s="14" t="s">
        <v>64</v>
      </c>
      <c r="E363" s="14" t="s">
        <v>75</v>
      </c>
      <c r="F363" s="14" t="s">
        <v>72</v>
      </c>
      <c r="G363" s="51">
        <f>IF(G359=0,"-",
G359+G360+G361+G362)</f>
        <v>0.28832208003155868</v>
      </c>
      <c r="H363" s="51">
        <f>IF(H359=0,"-",
H359+H360+H361+H362)</f>
        <v>0.22851955455258649</v>
      </c>
      <c r="I363" s="51">
        <f>IF(I359=0,"-",
I359+I360+I361+I362)</f>
        <v>0.26526278735995851</v>
      </c>
      <c r="J363" s="51">
        <f>IF(J359=0,"-",
J359+J360+J361+J362)</f>
        <v>0.25736084817640631</v>
      </c>
      <c r="K363" s="51">
        <f>IF(K359=0,"-",
K359+K360+K361+K362)</f>
        <v>0.24795369498318096</v>
      </c>
    </row>
    <row r="364" spans="2:11" hidden="1" outlineLevel="1" x14ac:dyDescent="0.25">
      <c r="B364"/>
      <c r="G364" s="79" cm="1">
        <f t="array" ref="G364">IF(G363="-","-",
IF(ROUND(G363,8)=ROUND((((
SUMIFS(Calc_Variable_2[Ausnet],Calc_Variable_2[[Customer type]:[Customer type]],Calc_Rates!$F363)+
SUMIFS(Calc_Variable_2[Ausnet],Calc_Variable_2[[Customer type]:[Customer type]],"All")+G359)*(1+Calc_ROM_2[Ausnet]))*(1+GST)),8),0,1))</f>
        <v>0</v>
      </c>
      <c r="H364" s="79" cm="1">
        <f t="array" ref="H364">IF(H363="-","-",
IF(ROUND(H363,8)=ROUND((((
SUMIFS(Calc_Variable_2[Citipower],Calc_Variable_2[[Customer type]:[Customer type]],Calc_Rates!$F363)+
SUMIFS(Calc_Variable_2[Citipower],Calc_Variable_2[[Customer type]:[Customer type]],"All")+H359)*(1+Calc_ROM_2[Citipower]))*(1+GST)),8),0,1))</f>
        <v>0</v>
      </c>
      <c r="I364" s="79" cm="1">
        <f t="array" ref="I364">IF(I363="-","-",
IF(ROUND(I363,8)=ROUND((((
SUMIFS(Calc_Variable_2[Jemena],Calc_Variable_2[[Customer type]:[Customer type]],Calc_Rates!$F363)+
SUMIFS(Calc_Variable_2[Jemena],Calc_Variable_2[[Customer type]:[Customer type]],"All")+I359)*(1+Calc_ROM_2[Jemena]))*(1+GST)),8),0,1))</f>
        <v>0</v>
      </c>
      <c r="J364" s="79" cm="1">
        <f t="array" ref="J364">IF(J363="-","-",
IF(ROUND(J363,8)=ROUND((((
SUMIFS(Calc_Variable_2[Powercor],Calc_Variable_2[[Customer type]:[Customer type]],Calc_Rates!$F363)+
SUMIFS(Calc_Variable_2[Powercor],Calc_Variable_2[[Customer type]:[Customer type]],"All")+J359)*(1+Calc_ROM_2[Powercor]))*(1+GST)),8),0,1))</f>
        <v>0</v>
      </c>
      <c r="K364" s="79" cm="1">
        <f t="array" ref="K364">IF(K363="-","-",
IF(ROUND(K363,8)=ROUND((((
SUMIFS(Calc_Variable_2[United Energy],Calc_Variable_2[[Customer type]:[Customer type]],Calc_Rates!$F363)+
SUMIFS(Calc_Variable_2[United Energy],Calc_Variable_2[[Customer type]:[Customer type]],"All")+K359)*(1+Calc_ROM_2[United Energy]))*(1+GST)),8),0,1))</f>
        <v>0</v>
      </c>
    </row>
    <row r="365" spans="2:11" ht="15.75" hidden="1" collapsed="1" x14ac:dyDescent="0.25">
      <c r="B365"/>
      <c r="C365" s="20" t="s">
        <v>376</v>
      </c>
    </row>
    <row r="366" spans="2:11" ht="15.75" hidden="1" outlineLevel="1" x14ac:dyDescent="0.25">
      <c r="B366"/>
      <c r="C366" s="1" t="s">
        <v>374</v>
      </c>
    </row>
    <row r="367" spans="2:11" ht="15.75" hidden="1" outlineLevel="1" x14ac:dyDescent="0.25">
      <c r="B367"/>
      <c r="C367" s="57" t="s">
        <v>74</v>
      </c>
    </row>
    <row r="368" spans="2:11" hidden="1" outlineLevel="1" x14ac:dyDescent="0.25">
      <c r="B368"/>
      <c r="C368" s="14" t="s">
        <v>365</v>
      </c>
      <c r="D368" s="14" t="s">
        <v>64</v>
      </c>
      <c r="E368" s="14" t="s">
        <v>75</v>
      </c>
      <c r="F368" s="14" t="s">
        <v>73</v>
      </c>
      <c r="G368" s="41">
        <f>SUMIFS(Calc_NetworkV_2[Ausnet],Calc_NetworkV_2[[Cost item]:[Cost item]],$C367,Calc_NetworkV_2[[Customer type]:[Customer type]],$F368)</f>
        <v>0.18668411930490375</v>
      </c>
      <c r="H368" s="41">
        <f>SUMIFS(Calc_NetworkV_2[Citipower],Calc_NetworkV_2[[Cost item]:[Cost item]],$C367,Calc_NetworkV_2[[Customer type]:[Customer type]],$F368)</f>
        <v>0</v>
      </c>
      <c r="I368" s="41">
        <f>SUMIFS(Calc_NetworkV_2[Jemena],Calc_NetworkV_2[[Cost item]:[Cost item]],$C367,Calc_NetworkV_2[[Customer type]:[Customer type]],$F368)</f>
        <v>0</v>
      </c>
      <c r="J368" s="41">
        <f>SUMIFS(Calc_NetworkV_2[Powercor],Calc_NetworkV_2[[Cost item]:[Cost item]],$C367,Calc_NetworkV_2[[Customer type]:[Customer type]],$F368)</f>
        <v>0</v>
      </c>
      <c r="K368" s="41">
        <f>SUMIFS(Calc_NetworkV_2[United Energy],Calc_NetworkV_2[[Cost item]:[Cost item]],$C367,Calc_NetworkV_2[[Customer type]:[Customer type]],$F368)</f>
        <v>0</v>
      </c>
    </row>
    <row r="369" spans="2:11" hidden="1" outlineLevel="1" x14ac:dyDescent="0.25">
      <c r="B369"/>
      <c r="C369" s="14" t="s">
        <v>369</v>
      </c>
      <c r="D369" s="14" t="s">
        <v>64</v>
      </c>
      <c r="E369" s="14" t="s">
        <v>75</v>
      </c>
      <c r="F369" s="14" t="s">
        <v>73</v>
      </c>
      <c r="G369" s="41">
        <f>SUMIFS(Calc_Variable_2[Ausnet],Calc_Variable_2[[Customer type]:[Customer type]],"All")+SUMIFS(Calc_Variable_2[Ausnet],Calc_Variable_2[[Customer type]:[Customer type]],$F369)</f>
        <v>0.1722283227437626</v>
      </c>
      <c r="H369" s="41">
        <f>SUMIFS(Calc_Variable_2[Citipower],Calc_Variable_2[[Customer type]:[Customer type]],"All")+SUMIFS(Calc_Variable_2[Citipower],Calc_Variable_2[[Customer type]:[Customer type]],$F369)</f>
        <v>0.16364095710090915</v>
      </c>
      <c r="I369" s="41">
        <f>SUMIFS(Calc_Variable_2[Jemena],Calc_Variable_2[[Customer type]:[Customer type]],"All")+SUMIFS(Calc_Variable_2[Jemena],Calc_Variable_2[[Customer type]:[Customer type]],$F369)</f>
        <v>0.16759264802255802</v>
      </c>
      <c r="J369" s="41">
        <f>SUMIFS(Calc_Variable_2[Powercor],Calc_Variable_2[[Customer type]:[Customer type]],"All")+SUMIFS(Calc_Variable_2[Powercor],Calc_Variable_2[[Customer type]:[Customer type]],$F369)</f>
        <v>0.16670645743789725</v>
      </c>
      <c r="K369" s="41">
        <f>SUMIFS(Calc_Variable_2[United Energy],Calc_Variable_2[[Customer type]:[Customer type]],"All")+SUMIFS(Calc_Variable_2[United Energy],Calc_Variable_2[[Customer type]:[Customer type]],$F369)</f>
        <v>0.16802126454778582</v>
      </c>
    </row>
    <row r="370" spans="2:11" hidden="1" outlineLevel="1" x14ac:dyDescent="0.25">
      <c r="B370"/>
      <c r="C370" s="14" t="s">
        <v>263</v>
      </c>
      <c r="D370" s="14" t="s">
        <v>64</v>
      </c>
      <c r="E370" s="14" t="s">
        <v>75</v>
      </c>
      <c r="F370" s="14" t="s">
        <v>73</v>
      </c>
      <c r="G370" s="50" cm="1">
        <f t="array" ref="G370">IF(G368=0,"-",
(G368+G369)*Calc_ROM_2[Ausnet])</f>
        <v>2.0099096754725317E-2</v>
      </c>
      <c r="H370" s="50" t="str" cm="1">
        <f t="array" ref="H370">IF(H368=0,"-",
(H368+H369)*Calc_ROM_2[Citipower])</f>
        <v>-</v>
      </c>
      <c r="I370" s="50" t="str" cm="1">
        <f t="array" ref="I370">IF(I368=0,"-",
(I368+I369)*Calc_ROM_2[Jemena])</f>
        <v>-</v>
      </c>
      <c r="J370" s="50" t="str" cm="1">
        <f t="array" ref="J370">IF(J368=0,"-",
(J368+J369)*Calc_ROM_2[Powercor])</f>
        <v>-</v>
      </c>
      <c r="K370" s="50" t="str" cm="1">
        <f t="array" ref="K370">IF(K368=0,"-",
(K368+K369)*Calc_ROM_2[United Energy])</f>
        <v>-</v>
      </c>
    </row>
    <row r="371" spans="2:11" hidden="1" outlineLevel="1" x14ac:dyDescent="0.25">
      <c r="B371"/>
      <c r="C371" s="14" t="s">
        <v>366</v>
      </c>
      <c r="D371" s="14" t="s">
        <v>64</v>
      </c>
      <c r="E371" s="14" t="s">
        <v>75</v>
      </c>
      <c r="F371" s="14" t="s">
        <v>73</v>
      </c>
      <c r="G371" s="50">
        <f>IF(G368=0,"-",
(G368+G369+G370)*GST)</f>
        <v>3.790115388033917E-2</v>
      </c>
      <c r="H371" s="50" t="str">
        <f>IF(H368=0,"-",
(H368+H369+H370)*GST)</f>
        <v>-</v>
      </c>
      <c r="I371" s="50" t="str">
        <f>IF(I368=0,"-",
(I368+I369+I370)*GST)</f>
        <v>-</v>
      </c>
      <c r="J371" s="50" t="str">
        <f>IF(J368=0,"-",
(J368+J369+J370)*GST)</f>
        <v>-</v>
      </c>
      <c r="K371" s="50" t="str">
        <f>IF(K368=0,"-",
(K368+K369+K370)*GST)</f>
        <v>-</v>
      </c>
    </row>
    <row r="372" spans="2:11" hidden="1" outlineLevel="1" x14ac:dyDescent="0.25">
      <c r="B372"/>
      <c r="C372" s="14" t="str">
        <f>C367&amp;" charge"</f>
        <v>Block 1 charge</v>
      </c>
      <c r="D372" s="14" t="s">
        <v>64</v>
      </c>
      <c r="E372" s="14" t="s">
        <v>75</v>
      </c>
      <c r="F372" s="14" t="s">
        <v>73</v>
      </c>
      <c r="G372" s="51">
        <f>IF(G368=0,"-",
G368+G369+G370+G371)</f>
        <v>0.41691269268373082</v>
      </c>
      <c r="H372" s="51" t="str">
        <f>IF(H368=0,"-",
H368+H369+H370+H371)</f>
        <v>-</v>
      </c>
      <c r="I372" s="51" t="str">
        <f>IF(I368=0,"-",
I368+I369+I370+I371)</f>
        <v>-</v>
      </c>
      <c r="J372" s="51" t="str">
        <f>IF(J368=0,"-",
J368+J369+J370+J371)</f>
        <v>-</v>
      </c>
      <c r="K372" s="51" t="str">
        <f>IF(K368=0,"-",
K368+K369+K370+K371)</f>
        <v>-</v>
      </c>
    </row>
    <row r="373" spans="2:11" hidden="1" outlineLevel="1" x14ac:dyDescent="0.25">
      <c r="B373"/>
      <c r="G373" s="79" cm="1">
        <f t="array" ref="G373">IF(G372="-","-",
IF(ROUND(G372,8)=ROUND((((
SUMIFS(Calc_Variable_2[Ausnet],Calc_Variable_2[[Customer type]:[Customer type]],Calc_Rates!$F372)+
SUMIFS(Calc_Variable_2[Ausnet],Calc_Variable_2[[Customer type]:[Customer type]],"All")+G368)*(1+Calc_ROM_2[Ausnet]))*(1+GST)),8),0,1))</f>
        <v>0</v>
      </c>
      <c r="H373" s="79" t="str" cm="1">
        <f t="array" ref="H373">IF(H372="-","-",
IF(ROUND(H372,8)=ROUND((((
SUMIFS(Calc_Variable_2[Citipower],Calc_Variable_2[[Customer type]:[Customer type]],Calc_Rates!$F372)+
SUMIFS(Calc_Variable_2[Citipower],Calc_Variable_2[[Customer type]:[Customer type]],"All")+H368)*(1+Calc_ROM_2[Citipower]))*(1+GST)),8),0,1))</f>
        <v>-</v>
      </c>
      <c r="I373" s="79" t="str" cm="1">
        <f t="array" ref="I373">IF(I372="-","-",
IF(ROUND(I372,8)=ROUND((((
SUMIFS(Calc_Variable_2[Jemena],Calc_Variable_2[[Customer type]:[Customer type]],Calc_Rates!$F372)+
SUMIFS(Calc_Variable_2[Jemena],Calc_Variable_2[[Customer type]:[Customer type]],"All")+I368)*(1+Calc_ROM_2[Jemena]))*(1+GST)),8),0,1))</f>
        <v>-</v>
      </c>
      <c r="J373" s="79" t="str" cm="1">
        <f t="array" ref="J373">IF(J372="-","-",
IF(ROUND(J372,8)=ROUND((((
SUMIFS(Calc_Variable_2[Powercor],Calc_Variable_2[[Customer type]:[Customer type]],Calc_Rates!$F372)+
SUMIFS(Calc_Variable_2[Powercor],Calc_Variable_2[[Customer type]:[Customer type]],"All")+J368)*(1+Calc_ROM_2[Powercor]))*(1+GST)),8),0,1))</f>
        <v>-</v>
      </c>
      <c r="K373" s="79" t="str" cm="1">
        <f t="array" ref="K373">IF(K372="-","-",
IF(ROUND(K372,8)=ROUND((((
SUMIFS(Calc_Variable_2[United Energy],Calc_Variable_2[[Customer type]:[Customer type]],Calc_Rates!$F372)+
SUMIFS(Calc_Variable_2[United Energy],Calc_Variable_2[[Customer type]:[Customer type]],"All")+K368)*(1+Calc_ROM_2[United Energy]))*(1+GST)),8),0,1))</f>
        <v>-</v>
      </c>
    </row>
    <row r="374" spans="2:11" ht="15.75" hidden="1" outlineLevel="1" x14ac:dyDescent="0.25">
      <c r="B374"/>
      <c r="C374" s="57" t="s">
        <v>76</v>
      </c>
    </row>
    <row r="375" spans="2:11" hidden="1" outlineLevel="1" x14ac:dyDescent="0.25">
      <c r="B375"/>
      <c r="C375" s="14" t="s">
        <v>365</v>
      </c>
      <c r="D375" s="14" t="s">
        <v>64</v>
      </c>
      <c r="E375" s="14" t="s">
        <v>75</v>
      </c>
      <c r="F375" s="14" t="s">
        <v>73</v>
      </c>
      <c r="G375" s="41">
        <f>SUMIFS(Calc_NetworkV_2[Ausnet],Calc_NetworkV_2[[Cost item]:[Cost item]],$C374,Calc_NetworkV_2[[Customer type]:[Customer type]],$F375)</f>
        <v>0.20620858559880922</v>
      </c>
      <c r="H375" s="41">
        <f>SUMIFS(Calc_NetworkV_2[Citipower],Calc_NetworkV_2[[Cost item]:[Cost item]],$C374,Calc_NetworkV_2[[Customer type]:[Customer type]],$F375)</f>
        <v>0</v>
      </c>
      <c r="I375" s="41">
        <f>SUMIFS(Calc_NetworkV_2[Jemena],Calc_NetworkV_2[[Cost item]:[Cost item]],$C374,Calc_NetworkV_2[[Customer type]:[Customer type]],$F375)</f>
        <v>0</v>
      </c>
      <c r="J375" s="41">
        <f>SUMIFS(Calc_NetworkV_2[Powercor],Calc_NetworkV_2[[Cost item]:[Cost item]],$C374,Calc_NetworkV_2[[Customer type]:[Customer type]],$F375)</f>
        <v>0</v>
      </c>
      <c r="K375" s="41">
        <f>SUMIFS(Calc_NetworkV_2[United Energy],Calc_NetworkV_2[[Cost item]:[Cost item]],$C374,Calc_NetworkV_2[[Customer type]:[Customer type]],$F375)</f>
        <v>0</v>
      </c>
    </row>
    <row r="376" spans="2:11" hidden="1" outlineLevel="1" x14ac:dyDescent="0.25">
      <c r="B376"/>
      <c r="C376" s="14" t="s">
        <v>369</v>
      </c>
      <c r="D376" s="14" t="s">
        <v>64</v>
      </c>
      <c r="E376" s="14" t="s">
        <v>75</v>
      </c>
      <c r="F376" s="14" t="s">
        <v>73</v>
      </c>
      <c r="G376" s="41">
        <f>SUMIFS(Calc_Variable_2[Ausnet],Calc_Variable_2[[Customer type]:[Customer type]],"All")+SUMIFS(Calc_Variable_2[Ausnet],Calc_Variable_2[[Customer type]:[Customer type]],$F376)</f>
        <v>0.1722283227437626</v>
      </c>
      <c r="H376" s="41">
        <f>SUMIFS(Calc_Variable_2[Citipower],Calc_Variable_2[[Customer type]:[Customer type]],"All")+SUMIFS(Calc_Variable_2[Citipower],Calc_Variable_2[[Customer type]:[Customer type]],$F376)</f>
        <v>0.16364095710090915</v>
      </c>
      <c r="I376" s="41">
        <f>SUMIFS(Calc_Variable_2[Jemena],Calc_Variable_2[[Customer type]:[Customer type]],"All")+SUMIFS(Calc_Variable_2[Jemena],Calc_Variable_2[[Customer type]:[Customer type]],$F376)</f>
        <v>0.16759264802255802</v>
      </c>
      <c r="J376" s="41">
        <f>SUMIFS(Calc_Variable_2[Powercor],Calc_Variable_2[[Customer type]:[Customer type]],"All")+SUMIFS(Calc_Variable_2[Powercor],Calc_Variable_2[[Customer type]:[Customer type]],$F376)</f>
        <v>0.16670645743789725</v>
      </c>
      <c r="K376" s="41">
        <f>SUMIFS(Calc_Variable_2[United Energy],Calc_Variable_2[[Customer type]:[Customer type]],"All")+SUMIFS(Calc_Variable_2[United Energy],Calc_Variable_2[[Customer type]:[Customer type]],$F376)</f>
        <v>0.16802126454778582</v>
      </c>
    </row>
    <row r="377" spans="2:11" hidden="1" outlineLevel="1" x14ac:dyDescent="0.25">
      <c r="B377"/>
      <c r="C377" s="14" t="s">
        <v>263</v>
      </c>
      <c r="D377" s="14" t="s">
        <v>64</v>
      </c>
      <c r="E377" s="14" t="s">
        <v>75</v>
      </c>
      <c r="F377" s="14" t="s">
        <v>73</v>
      </c>
      <c r="G377" s="50" cm="1">
        <f t="array" ref="G377">IF(G375=0,"-",
(G375+G376)*Calc_ROM_2[Ausnet])</f>
        <v>2.1192466867184023E-2</v>
      </c>
      <c r="H377" s="50" t="str" cm="1">
        <f t="array" ref="H377">IF(H375=0,"-",
(H375+H376)*Calc_ROM_2[Citipower])</f>
        <v>-</v>
      </c>
      <c r="I377" s="50" t="str" cm="1">
        <f t="array" ref="I377">IF(I375=0,"-",
(I375+I376)*Calc_ROM_2[Jemena])</f>
        <v>-</v>
      </c>
      <c r="J377" s="50" t="str" cm="1">
        <f t="array" ref="J377">IF(J375=0,"-",
(J375+J376)*Calc_ROM_2[Powercor])</f>
        <v>-</v>
      </c>
      <c r="K377" s="50" t="str" cm="1">
        <f t="array" ref="K377">IF(K375=0,"-",
(K375+K376)*Calc_ROM_2[United Energy])</f>
        <v>-</v>
      </c>
    </row>
    <row r="378" spans="2:11" hidden="1" outlineLevel="1" x14ac:dyDescent="0.25">
      <c r="B378"/>
      <c r="C378" s="14" t="s">
        <v>366</v>
      </c>
      <c r="D378" s="14" t="s">
        <v>64</v>
      </c>
      <c r="E378" s="14" t="s">
        <v>75</v>
      </c>
      <c r="F378" s="14" t="s">
        <v>73</v>
      </c>
      <c r="G378" s="50">
        <f>IF(G375=0,"-",
(G375+G376+G377)*GST)</f>
        <v>3.9962937520975586E-2</v>
      </c>
      <c r="H378" s="50" t="str">
        <f>IF(H375=0,"-",
(H375+H376+H377)*GST)</f>
        <v>-</v>
      </c>
      <c r="I378" s="50" t="str">
        <f>IF(I375=0,"-",
(I375+I376+I377)*GST)</f>
        <v>-</v>
      </c>
      <c r="J378" s="50" t="str">
        <f>IF(J375=0,"-",
(J375+J376+J377)*GST)</f>
        <v>-</v>
      </c>
      <c r="K378" s="50" t="str">
        <f>IF(K375=0,"-",
(K375+K376+K377)*GST)</f>
        <v>-</v>
      </c>
    </row>
    <row r="379" spans="2:11" hidden="1" outlineLevel="1" x14ac:dyDescent="0.25">
      <c r="B379"/>
      <c r="C379" s="14" t="str">
        <f>C374&amp;" charge"</f>
        <v>Balance charge</v>
      </c>
      <c r="D379" s="14" t="s">
        <v>64</v>
      </c>
      <c r="E379" s="14" t="s">
        <v>75</v>
      </c>
      <c r="F379" s="14" t="s">
        <v>73</v>
      </c>
      <c r="G379" s="51">
        <f>IF(G375=0,"-",
G375+G376+G377+G378)</f>
        <v>0.4395923127307314</v>
      </c>
      <c r="H379" s="51" t="str">
        <f>IF(H375=0,"-",
H375+H376+H377+H378)</f>
        <v>-</v>
      </c>
      <c r="I379" s="51" t="str">
        <f>IF(I375=0,"-",
I375+I376+I377+I378)</f>
        <v>-</v>
      </c>
      <c r="J379" s="51" t="str">
        <f>IF(J375=0,"-",
J375+J376+J377+J378)</f>
        <v>-</v>
      </c>
      <c r="K379" s="51" t="str">
        <f>IF(K375=0,"-",
K375+K376+K377+K378)</f>
        <v>-</v>
      </c>
    </row>
    <row r="380" spans="2:11" hidden="1" outlineLevel="1" x14ac:dyDescent="0.25">
      <c r="B380"/>
      <c r="G380" s="79" cm="1">
        <f t="array" ref="G380">IF(G379="-","-",
IF(ROUND(G379,8)=ROUND((((
SUMIFS(Calc_Variable_2[Ausnet],Calc_Variable_2[[Customer type]:[Customer type]],Calc_Rates!$F379)+
SUMIFS(Calc_Variable_2[Ausnet],Calc_Variable_2[[Customer type]:[Customer type]],"All")+G375)*(1+Calc_ROM_2[Ausnet]))*(1+GST)),8),0,1))</f>
        <v>0</v>
      </c>
      <c r="H380" s="79" t="str" cm="1">
        <f t="array" ref="H380">IF(H379="-","-",
IF(ROUND(H379,8)=ROUND((((
SUMIFS(Calc_Variable_2[Citipower],Calc_Variable_2[[Customer type]:[Customer type]],Calc_Rates!$F379)+
SUMIFS(Calc_Variable_2[Citipower],Calc_Variable_2[[Customer type]:[Customer type]],"All")+H375)*(1+Calc_ROM_2[Citipower]))*(1+GST)),8),0,1))</f>
        <v>-</v>
      </c>
      <c r="I380" s="79" t="str" cm="1">
        <f t="array" ref="I380">IF(I379="-","-",
IF(ROUND(I379,8)=ROUND((((
SUMIFS(Calc_Variable_2[Jemena],Calc_Variable_2[[Customer type]:[Customer type]],Calc_Rates!$F379)+
SUMIFS(Calc_Variable_2[Jemena],Calc_Variable_2[[Customer type]:[Customer type]],"All")+I375)*(1+Calc_ROM_2[Jemena]))*(1+GST)),8),0,1))</f>
        <v>-</v>
      </c>
      <c r="J380" s="79" t="str" cm="1">
        <f t="array" ref="J380">IF(J379="-","-",
IF(ROUND(J379,8)=ROUND((((
SUMIFS(Calc_Variable_2[Powercor],Calc_Variable_2[[Customer type]:[Customer type]],Calc_Rates!$F379)+
SUMIFS(Calc_Variable_2[Powercor],Calc_Variable_2[[Customer type]:[Customer type]],"All")+J375)*(1+Calc_ROM_2[Powercor]))*(1+GST)),8),0,1))</f>
        <v>-</v>
      </c>
      <c r="K380" s="79" t="str" cm="1">
        <f t="array" ref="K380">IF(K379="-","-",
IF(ROUND(K379,8)=ROUND((((
SUMIFS(Calc_Variable_2[United Energy],Calc_Variable_2[[Customer type]:[Customer type]],Calc_Rates!$F379)+
SUMIFS(Calc_Variable_2[United Energy],Calc_Variable_2[[Customer type]:[Customer type]],"All")+K375)*(1+Calc_ROM_2[United Energy]))*(1+GST)),8),0,1))</f>
        <v>-</v>
      </c>
    </row>
    <row r="381" spans="2:11" ht="15.75" hidden="1" outlineLevel="1" x14ac:dyDescent="0.25">
      <c r="B381"/>
      <c r="C381" s="57" t="s">
        <v>77</v>
      </c>
    </row>
    <row r="382" spans="2:11" hidden="1" outlineLevel="1" x14ac:dyDescent="0.25">
      <c r="B382"/>
      <c r="C382" s="14" t="s">
        <v>365</v>
      </c>
      <c r="D382" s="14" t="s">
        <v>64</v>
      </c>
      <c r="E382" s="14" t="s">
        <v>75</v>
      </c>
      <c r="F382" s="14" t="s">
        <v>73</v>
      </c>
      <c r="G382" s="41">
        <f>SUMIFS(Calc_NetworkV_2[Ausnet],Calc_NetworkV_2[[Cost item]:[Cost item]],$C381,Calc_NetworkV_2[[Customer type]:[Customer type]],$F382)</f>
        <v>0</v>
      </c>
      <c r="H382" s="41">
        <f>SUMIFS(Calc_NetworkV_2[Citipower],Calc_NetworkV_2[[Cost item]:[Cost item]],$C381,Calc_NetworkV_2[[Customer type]:[Customer type]],$F382)</f>
        <v>8.1500000000000003E-2</v>
      </c>
      <c r="I382" s="41">
        <f>SUMIFS(Calc_NetworkV_2[Jemena],Calc_NetworkV_2[[Cost item]:[Cost item]],$C381,Calc_NetworkV_2[[Customer type]:[Customer type]],$F382)</f>
        <v>0.11834</v>
      </c>
      <c r="J382" s="41">
        <f>SUMIFS(Calc_NetworkV_2[Powercor],Calc_NetworkV_2[[Cost item]:[Cost item]],$C381,Calc_NetworkV_2[[Customer type]:[Customer type]],$F382)</f>
        <v>9.8100000000000007E-2</v>
      </c>
      <c r="K382" s="41">
        <f>SUMIFS(Calc_NetworkV_2[United Energy],Calc_NetworkV_2[[Cost item]:[Cost item]],$C381,Calc_NetworkV_2[[Customer type]:[Customer type]],$F382)</f>
        <v>9.3900000000000011E-2</v>
      </c>
    </row>
    <row r="383" spans="2:11" hidden="1" outlineLevel="1" x14ac:dyDescent="0.25">
      <c r="B383"/>
      <c r="C383" s="14" t="s">
        <v>369</v>
      </c>
      <c r="D383" s="14" t="s">
        <v>64</v>
      </c>
      <c r="E383" s="14" t="s">
        <v>75</v>
      </c>
      <c r="F383" s="14" t="s">
        <v>73</v>
      </c>
      <c r="G383" s="41">
        <f>SUMIFS(Calc_Variable_2[Ausnet],Calc_Variable_2[[Customer type]:[Customer type]],"All")+SUMIFS(Calc_Variable_2[Ausnet],Calc_Variable_2[[Customer type]:[Customer type]],$F383)</f>
        <v>0.1722283227437626</v>
      </c>
      <c r="H383" s="41">
        <f>SUMIFS(Calc_Variable_2[Citipower],Calc_Variable_2[[Customer type]:[Customer type]],"All")+SUMIFS(Calc_Variable_2[Citipower],Calc_Variable_2[[Customer type]:[Customer type]],$F383)</f>
        <v>0.16364095710090915</v>
      </c>
      <c r="I383" s="41">
        <f>SUMIFS(Calc_Variable_2[Jemena],Calc_Variable_2[[Customer type]:[Customer type]],"All")+SUMIFS(Calc_Variable_2[Jemena],Calc_Variable_2[[Customer type]:[Customer type]],$F383)</f>
        <v>0.16759264802255802</v>
      </c>
      <c r="J383" s="41">
        <f>SUMIFS(Calc_Variable_2[Powercor],Calc_Variable_2[[Customer type]:[Customer type]],"All")+SUMIFS(Calc_Variable_2[Powercor],Calc_Variable_2[[Customer type]:[Customer type]],$F383)</f>
        <v>0.16670645743789725</v>
      </c>
      <c r="K383" s="41">
        <f>SUMIFS(Calc_Variable_2[United Energy],Calc_Variable_2[[Customer type]:[Customer type]],"All")+SUMIFS(Calc_Variable_2[United Energy],Calc_Variable_2[[Customer type]:[Customer type]],$F383)</f>
        <v>0.16802126454778582</v>
      </c>
    </row>
    <row r="384" spans="2:11" hidden="1" outlineLevel="1" x14ac:dyDescent="0.25">
      <c r="B384"/>
      <c r="C384" s="14" t="s">
        <v>263</v>
      </c>
      <c r="D384" s="14" t="s">
        <v>64</v>
      </c>
      <c r="E384" s="14" t="s">
        <v>75</v>
      </c>
      <c r="F384" s="14" t="s">
        <v>73</v>
      </c>
      <c r="G384" s="50" t="str" cm="1">
        <f t="array" ref="G384">IF(G382=0,"-",
(G382+G383)*Calc_ROM_2[Ausnet])</f>
        <v>-</v>
      </c>
      <c r="H384" s="50" cm="1">
        <f t="array" ref="H384">IF(H382=0,"-",
(H382+H383)*Calc_ROM_2[Citipower])</f>
        <v>1.3727893597650913E-2</v>
      </c>
      <c r="I384" s="50" cm="1">
        <f t="array" ref="I384">IF(I382=0,"-",
(I382+I383)*Calc_ROM_2[Jemena])</f>
        <v>1.6012228289263249E-2</v>
      </c>
      <c r="J384" s="50" cm="1">
        <f t="array" ref="J384">IF(J382=0,"-",
(J382+J383)*Calc_ROM_2[Powercor])</f>
        <v>1.4829161616522247E-2</v>
      </c>
      <c r="K384" s="50" cm="1">
        <f t="array" ref="K384">IF(K382=0,"-",
(K382+K383)*Calc_ROM_2[United Energy])</f>
        <v>1.4667590814676008E-2</v>
      </c>
    </row>
    <row r="385" spans="1:11" hidden="1" outlineLevel="1" x14ac:dyDescent="0.25">
      <c r="B385"/>
      <c r="C385" s="14" t="s">
        <v>366</v>
      </c>
      <c r="D385" s="14" t="s">
        <v>64</v>
      </c>
      <c r="E385" s="14" t="s">
        <v>75</v>
      </c>
      <c r="F385" s="14" t="s">
        <v>73</v>
      </c>
      <c r="G385" s="50" t="str">
        <f>IF(G382=0,"-",
(G382+G383+G384)*GST)</f>
        <v>-</v>
      </c>
      <c r="H385" s="50">
        <f>IF(H382=0,"-",
(H382+H383+H384)*GST)</f>
        <v>2.5886885069856008E-2</v>
      </c>
      <c r="I385" s="50">
        <f>IF(I382=0,"-",
(I382+I383+I384)*GST)</f>
        <v>3.0194487631182126E-2</v>
      </c>
      <c r="J385" s="50">
        <f>IF(J382=0,"-",
(J382+J383+J384)*GST)</f>
        <v>2.7963561905441955E-2</v>
      </c>
      <c r="K385" s="50">
        <f>IF(K382=0,"-",
(K382+K383+K384)*GST)</f>
        <v>2.7658885536246187E-2</v>
      </c>
    </row>
    <row r="386" spans="1:11" hidden="1" outlineLevel="1" x14ac:dyDescent="0.25">
      <c r="B386"/>
      <c r="C386" s="14" t="str">
        <f>C381&amp;" charge"</f>
        <v>Single rate charge</v>
      </c>
      <c r="D386" s="14" t="s">
        <v>64</v>
      </c>
      <c r="E386" s="14" t="s">
        <v>75</v>
      </c>
      <c r="F386" s="14" t="s">
        <v>73</v>
      </c>
      <c r="G386" s="51" t="str">
        <f>IF(G382=0,"-",
G382+G383+G384+G385)</f>
        <v>-</v>
      </c>
      <c r="H386" s="51">
        <f>IF(H382=0,"-",
H382+H383+H384+H385)</f>
        <v>0.28475573576841606</v>
      </c>
      <c r="I386" s="51">
        <f>IF(I382=0,"-",
I382+I383+I384+I385)</f>
        <v>0.33213936394300336</v>
      </c>
      <c r="J386" s="51">
        <f>IF(J382=0,"-",
J382+J383+J384+J385)</f>
        <v>0.3075991809598615</v>
      </c>
      <c r="K386" s="51">
        <f>IF(K382=0,"-",
K382+K383+K384+K385)</f>
        <v>0.30424774089870804</v>
      </c>
    </row>
    <row r="387" spans="1:11" hidden="1" outlineLevel="1" x14ac:dyDescent="0.25">
      <c r="B387"/>
      <c r="G387" s="79" t="str" cm="1">
        <f t="array" ref="G387">IF(G386="-","-",
IF(ROUND(G386,8)=ROUND((((
SUMIFS(Calc_Variable_2[Ausnet],Calc_Variable_2[[Customer type]:[Customer type]],Calc_Rates!$F386)+
SUMIFS(Calc_Variable_2[Ausnet],Calc_Variable_2[[Customer type]:[Customer type]],"All")+G382)*(1+Calc_ROM_2[Ausnet]))*(1+GST)),8),0,1))</f>
        <v>-</v>
      </c>
      <c r="H387" s="79" cm="1">
        <f t="array" ref="H387">IF(H386="-","-",
IF(ROUND(H386,8)=ROUND((((
SUMIFS(Calc_Variable_2[Citipower],Calc_Variable_2[[Customer type]:[Customer type]],Calc_Rates!$F386)+
SUMIFS(Calc_Variable_2[Citipower],Calc_Variable_2[[Customer type]:[Customer type]],"All")+H382)*(1+Calc_ROM_2[Citipower]))*(1+GST)),8),0,1))</f>
        <v>0</v>
      </c>
      <c r="I387" s="79" cm="1">
        <f t="array" ref="I387">IF(I386="-","-",
IF(ROUND(I386,8)=ROUND((((
SUMIFS(Calc_Variable_2[Jemena],Calc_Variable_2[[Customer type]:[Customer type]],Calc_Rates!$F386)+
SUMIFS(Calc_Variable_2[Jemena],Calc_Variable_2[[Customer type]:[Customer type]],"All")+I382)*(1+Calc_ROM_2[Jemena]))*(1+GST)),8),0,1))</f>
        <v>0</v>
      </c>
      <c r="J387" s="79" cm="1">
        <f t="array" ref="J387">IF(J386="-","-",
IF(ROUND(J386,8)=ROUND((((
SUMIFS(Calc_Variable_2[Powercor],Calc_Variable_2[[Customer type]:[Customer type]],Calc_Rates!$F386)+
SUMIFS(Calc_Variable_2[Powercor],Calc_Variable_2[[Customer type]:[Customer type]],"All")+J382)*(1+Calc_ROM_2[Powercor]))*(1+GST)),8),0,1))</f>
        <v>0</v>
      </c>
      <c r="K387" s="79" cm="1">
        <f t="array" ref="K387">IF(K386="-","-",
IF(ROUND(K386,8)=ROUND((((
SUMIFS(Calc_Variable_2[United Energy],Calc_Variable_2[[Customer type]:[Customer type]],Calc_Rates!$F386)+
SUMIFS(Calc_Variable_2[United Energy],Calc_Variable_2[[Customer type]:[Customer type]],"All")+K382)*(1+Calc_ROM_2[United Energy]))*(1+GST)),8),0,1))</f>
        <v>0</v>
      </c>
    </row>
    <row r="388" spans="1:11" ht="15.75" hidden="1" outlineLevel="1" x14ac:dyDescent="0.25">
      <c r="B388"/>
      <c r="C388" s="1" t="s">
        <v>375</v>
      </c>
    </row>
    <row r="389" spans="1:11" ht="15.75" hidden="1" outlineLevel="1" x14ac:dyDescent="0.25">
      <c r="B389"/>
      <c r="C389" s="57" t="s">
        <v>79</v>
      </c>
    </row>
    <row r="390" spans="1:11" hidden="1" outlineLevel="1" x14ac:dyDescent="0.25">
      <c r="B390"/>
      <c r="C390" s="14" t="s">
        <v>365</v>
      </c>
      <c r="D390" s="14" t="s">
        <v>64</v>
      </c>
      <c r="E390" s="14" t="s">
        <v>75</v>
      </c>
      <c r="F390" s="14" t="s">
        <v>73</v>
      </c>
      <c r="G390" s="41">
        <f>SUMIFS(Calc_NetworkV_2[Ausnet],Calc_NetworkV_2[[Cost item]:[Cost item]],$C389,Calc_NetworkV_2[[Customer type]:[Customer type]],$F390)</f>
        <v>0.19642449948699095</v>
      </c>
      <c r="H390" s="41">
        <f>SUMIFS(Calc_NetworkV_2[Citipower],Calc_NetworkV_2[[Cost item]:[Cost item]],$C389,Calc_NetworkV_2[[Customer type]:[Customer type]],$F390)</f>
        <v>0.13269999999999998</v>
      </c>
      <c r="I390" s="41">
        <f>SUMIFS(Calc_NetworkV_2[Jemena],Calc_NetworkV_2[[Cost item]:[Cost item]],$C389,Calc_NetworkV_2[[Customer type]:[Customer type]],$F390)</f>
        <v>0.15096999999999999</v>
      </c>
      <c r="J390" s="41">
        <f>SUMIFS(Calc_NetworkV_2[Powercor],Calc_NetworkV_2[[Cost item]:[Cost item]],$C389,Calc_NetworkV_2[[Customer type]:[Customer type]],$F390)</f>
        <v>0.17460000000000001</v>
      </c>
      <c r="K390" s="41">
        <f>SUMIFS(Calc_NetworkV_2[United Energy],Calc_NetworkV_2[[Cost item]:[Cost item]],$C389,Calc_NetworkV_2[[Customer type]:[Customer type]],$F390)</f>
        <v>0.15410000000000001</v>
      </c>
    </row>
    <row r="391" spans="1:11" hidden="1" outlineLevel="1" x14ac:dyDescent="0.25">
      <c r="B391"/>
      <c r="C391" s="14" t="s">
        <v>369</v>
      </c>
      <c r="D391" s="14" t="s">
        <v>64</v>
      </c>
      <c r="E391" s="14" t="s">
        <v>75</v>
      </c>
      <c r="F391" s="14" t="s">
        <v>73</v>
      </c>
      <c r="G391" s="41">
        <f>SUMIFS(Calc_Variable_2[Ausnet],Calc_Variable_2[[Customer type]:[Customer type]],"All")+SUMIFS(Calc_Variable_2[Ausnet],Calc_Variable_2[[Customer type]:[Customer type]],$F391)</f>
        <v>0.1722283227437626</v>
      </c>
      <c r="H391" s="41">
        <f>SUMIFS(Calc_Variable_2[Citipower],Calc_Variable_2[[Customer type]:[Customer type]],"All")+SUMIFS(Calc_Variable_2[Citipower],Calc_Variable_2[[Customer type]:[Customer type]],$F391)</f>
        <v>0.16364095710090915</v>
      </c>
      <c r="I391" s="41">
        <f>SUMIFS(Calc_Variable_2[Jemena],Calc_Variable_2[[Customer type]:[Customer type]],"All")+SUMIFS(Calc_Variable_2[Jemena],Calc_Variable_2[[Customer type]:[Customer type]],$F391)</f>
        <v>0.16759264802255802</v>
      </c>
      <c r="J391" s="41">
        <f>SUMIFS(Calc_Variable_2[Powercor],Calc_Variable_2[[Customer type]:[Customer type]],"All")+SUMIFS(Calc_Variable_2[Powercor],Calc_Variable_2[[Customer type]:[Customer type]],$F391)</f>
        <v>0.16670645743789725</v>
      </c>
      <c r="K391" s="41">
        <f>SUMIFS(Calc_Variable_2[United Energy],Calc_Variable_2[[Customer type]:[Customer type]],"All")+SUMIFS(Calc_Variable_2[United Energy],Calc_Variable_2[[Customer type]:[Customer type]],$F391)</f>
        <v>0.16802126454778582</v>
      </c>
    </row>
    <row r="392" spans="1:11" hidden="1" outlineLevel="1" x14ac:dyDescent="0.25">
      <c r="B392"/>
      <c r="C392" s="14" t="s">
        <v>263</v>
      </c>
      <c r="D392" s="14" t="s">
        <v>64</v>
      </c>
      <c r="E392" s="14" t="s">
        <v>75</v>
      </c>
      <c r="F392" s="14" t="s">
        <v>73</v>
      </c>
      <c r="G392" s="50" cm="1">
        <f t="array" ref="G392">IF(G390=0,"-",
(G390+G391)*Calc_ROM_2[Ausnet])</f>
        <v>2.0644558044922202E-2</v>
      </c>
      <c r="H392" s="50" cm="1">
        <f t="array" ref="H392">IF(H390=0,"-",
(H390+H391)*Calc_ROM_2[Citipower])</f>
        <v>1.6595093597650913E-2</v>
      </c>
      <c r="I392" s="50" cm="1">
        <f t="array" ref="I392">IF(I390=0,"-",
(I390+I391)*Calc_ROM_2[Jemena])</f>
        <v>1.7839508289263249E-2</v>
      </c>
      <c r="J392" s="50" cm="1">
        <f t="array" ref="J392">IF(J390=0,"-",
(J390+J391)*Calc_ROM_2[Powercor])</f>
        <v>1.9113161616522246E-2</v>
      </c>
      <c r="K392" s="50" cm="1">
        <f t="array" ref="K392">IF(K390=0,"-",
(K390+K391)*Calc_ROM_2[United Energy])</f>
        <v>1.8038790814676006E-2</v>
      </c>
    </row>
    <row r="393" spans="1:11" hidden="1" outlineLevel="1" x14ac:dyDescent="0.25">
      <c r="B393"/>
      <c r="C393" s="14" t="s">
        <v>366</v>
      </c>
      <c r="D393" s="14" t="s">
        <v>64</v>
      </c>
      <c r="E393" s="14" t="s">
        <v>75</v>
      </c>
      <c r="F393" s="14" t="s">
        <v>73</v>
      </c>
      <c r="G393" s="50">
        <f>IF(G390=0,"-",
(G390+G391+G392)*GST)</f>
        <v>3.8929738027567579E-2</v>
      </c>
      <c r="H393" s="50">
        <f>IF(H390=0,"-",
(H390+H391+H392)*GST)</f>
        <v>3.1293605069856005E-2</v>
      </c>
      <c r="I393" s="50">
        <f>IF(I390=0,"-",
(I390+I391+I392)*GST)</f>
        <v>3.3640215631182128E-2</v>
      </c>
      <c r="J393" s="50">
        <f>IF(J390=0,"-",
(J390+J391+J392)*GST)</f>
        <v>3.6041961905441948E-2</v>
      </c>
      <c r="K393" s="50">
        <f>IF(K390=0,"-",
(K390+K391+K392)*GST)</f>
        <v>3.4016005536246188E-2</v>
      </c>
    </row>
    <row r="394" spans="1:11" hidden="1" outlineLevel="1" x14ac:dyDescent="0.25">
      <c r="B394"/>
      <c r="C394" s="14" t="str">
        <f>C389&amp;" charge"</f>
        <v>Peak charge</v>
      </c>
      <c r="D394" s="14" t="s">
        <v>64</v>
      </c>
      <c r="E394" s="14" t="s">
        <v>75</v>
      </c>
      <c r="F394" s="14" t="s">
        <v>73</v>
      </c>
      <c r="G394" s="51">
        <f>IF(G390=0,"-",
G390+G391+G392+G393)</f>
        <v>0.42822711830324334</v>
      </c>
      <c r="H394" s="51">
        <f>IF(H390=0,"-",
H390+H391+H392+H393)</f>
        <v>0.34422965576841608</v>
      </c>
      <c r="I394" s="51">
        <f>IF(I390=0,"-",
I390+I391+I392+I393)</f>
        <v>0.37004237194300338</v>
      </c>
      <c r="J394" s="51">
        <f>IF(J390=0,"-",
J390+J391+J392+J393)</f>
        <v>0.39646158095986145</v>
      </c>
      <c r="K394" s="51">
        <f>IF(K390=0,"-",
K390+K391+K392+K393)</f>
        <v>0.37417606089870803</v>
      </c>
    </row>
    <row r="395" spans="1:11" hidden="1" outlineLevel="1" x14ac:dyDescent="0.25">
      <c r="B395"/>
      <c r="G395" s="79" cm="1">
        <f t="array" ref="G395">IF(G394="-","-",
IF(ROUND(G394,8)=ROUND((((
SUMIFS(Calc_Variable_2[Ausnet],Calc_Variable_2[[Customer type]:[Customer type]],Calc_Rates!$F394)+
SUMIFS(Calc_Variable_2[Ausnet],Calc_Variable_2[[Customer type]:[Customer type]],"All")+G390)*(1+Calc_ROM_2[Ausnet]))*(1+GST)),8),0,1))</f>
        <v>0</v>
      </c>
      <c r="H395" s="79" cm="1">
        <f t="array" ref="H395">IF(H394="-","-",
IF(ROUND(H394,8)=ROUND((((
SUMIFS(Calc_Variable_2[Citipower],Calc_Variable_2[[Customer type]:[Customer type]],Calc_Rates!$F394)+
SUMIFS(Calc_Variable_2[Citipower],Calc_Variable_2[[Customer type]:[Customer type]],"All")+H390)*(1+Calc_ROM_2[Citipower]))*(1+GST)),8),0,1))</f>
        <v>0</v>
      </c>
      <c r="I395" s="79" cm="1">
        <f t="array" ref="I395">IF(I394="-","-",
IF(ROUND(I394,8)=ROUND((((
SUMIFS(Calc_Variable_2[Jemena],Calc_Variable_2[[Customer type]:[Customer type]],Calc_Rates!$F394)+
SUMIFS(Calc_Variable_2[Jemena],Calc_Variable_2[[Customer type]:[Customer type]],"All")+I390)*(1+Calc_ROM_2[Jemena]))*(1+GST)),8),0,1))</f>
        <v>0</v>
      </c>
      <c r="J395" s="79" cm="1">
        <f t="array" ref="J395">IF(J394="-","-",
IF(ROUND(J394,8)=ROUND((((
SUMIFS(Calc_Variable_2[Powercor],Calc_Variable_2[[Customer type]:[Customer type]],Calc_Rates!$F394)+
SUMIFS(Calc_Variable_2[Powercor],Calc_Variable_2[[Customer type]:[Customer type]],"All")+J390)*(1+Calc_ROM_2[Powercor]))*(1+GST)),8),0,1))</f>
        <v>0</v>
      </c>
      <c r="K395" s="79" cm="1">
        <f t="array" ref="K395">IF(K394="-","-",
IF(ROUND(K394,8)=ROUND((((
SUMIFS(Calc_Variable_2[United Energy],Calc_Variable_2[[Customer type]:[Customer type]],Calc_Rates!$F394)+
SUMIFS(Calc_Variable_2[United Energy],Calc_Variable_2[[Customer type]:[Customer type]],"All")+K390)*(1+Calc_ROM_2[United Energy]))*(1+GST)),8),0,1))</f>
        <v>0</v>
      </c>
    </row>
    <row r="396" spans="1:11" ht="15.75" hidden="1" outlineLevel="1" x14ac:dyDescent="0.25">
      <c r="B396"/>
      <c r="C396" s="57" t="s">
        <v>80</v>
      </c>
    </row>
    <row r="397" spans="1:11" hidden="1" outlineLevel="1" x14ac:dyDescent="0.25">
      <c r="B397"/>
      <c r="C397" s="14" t="s">
        <v>365</v>
      </c>
      <c r="D397" s="14" t="s">
        <v>64</v>
      </c>
      <c r="E397" s="14" t="s">
        <v>75</v>
      </c>
      <c r="F397" s="14" t="s">
        <v>73</v>
      </c>
      <c r="G397" s="41">
        <f>SUMIFS(Calc_NetworkV_2[Ausnet],Calc_NetworkV_2[[Cost item]:[Cost item]],$C396,Calc_NetworkV_2[[Customer type]:[Customer type]],$F397)</f>
        <v>4.7425752712530557E-2</v>
      </c>
      <c r="H397" s="41">
        <f>SUMIFS(Calc_NetworkV_2[Citipower],Calc_NetworkV_2[[Cost item]:[Cost item]],$C396,Calc_NetworkV_2[[Customer type]:[Customer type]],$F397)</f>
        <v>2.9500000000000002E-2</v>
      </c>
      <c r="I397" s="41">
        <f>SUMIFS(Calc_NetworkV_2[Jemena],Calc_NetworkV_2[[Cost item]:[Cost item]],$C396,Calc_NetworkV_2[[Customer type]:[Customer type]],$F397)</f>
        <v>3.2259999999999997E-2</v>
      </c>
      <c r="J397" s="41">
        <f>SUMIFS(Calc_NetworkV_2[Powercor],Calc_NetworkV_2[[Cost item]:[Cost item]],$C396,Calc_NetworkV_2[[Customer type]:[Customer type]],$F397)</f>
        <v>3.8800000000000001E-2</v>
      </c>
      <c r="K397" s="41">
        <f>SUMIFS(Calc_NetworkV_2[United Energy],Calc_NetworkV_2[[Cost item]:[Cost item]],$C396,Calc_NetworkV_2[[Customer type]:[Customer type]],$F397)</f>
        <v>3.4299999999999997E-2</v>
      </c>
    </row>
    <row r="398" spans="1:11" hidden="1" outlineLevel="1" x14ac:dyDescent="0.25">
      <c r="B398"/>
      <c r="C398" s="14" t="s">
        <v>369</v>
      </c>
      <c r="D398" s="14" t="s">
        <v>64</v>
      </c>
      <c r="E398" s="14" t="s">
        <v>75</v>
      </c>
      <c r="F398" s="14" t="s">
        <v>73</v>
      </c>
      <c r="G398" s="41">
        <f>SUMIFS(Calc_Variable_2[Ausnet],Calc_Variable_2[[Customer type]:[Customer type]],"All")+SUMIFS(Calc_Variable_2[Ausnet],Calc_Variable_2[[Customer type]:[Customer type]],$F398)</f>
        <v>0.1722283227437626</v>
      </c>
      <c r="H398" s="41">
        <f>SUMIFS(Calc_Variable_2[Citipower],Calc_Variable_2[[Customer type]:[Customer type]],"All")+SUMIFS(Calc_Variable_2[Citipower],Calc_Variable_2[[Customer type]:[Customer type]],$F398)</f>
        <v>0.16364095710090915</v>
      </c>
      <c r="I398" s="41">
        <f>SUMIFS(Calc_Variable_2[Jemena],Calc_Variable_2[[Customer type]:[Customer type]],"All")+SUMIFS(Calc_Variable_2[Jemena],Calc_Variable_2[[Customer type]:[Customer type]],$F398)</f>
        <v>0.16759264802255802</v>
      </c>
      <c r="J398" s="41">
        <f>SUMIFS(Calc_Variable_2[Powercor],Calc_Variable_2[[Customer type]:[Customer type]],"All")+SUMIFS(Calc_Variable_2[Powercor],Calc_Variable_2[[Customer type]:[Customer type]],$F398)</f>
        <v>0.16670645743789725</v>
      </c>
      <c r="K398" s="41">
        <f>SUMIFS(Calc_Variable_2[United Energy],Calc_Variable_2[[Customer type]:[Customer type]],"All")+SUMIFS(Calc_Variable_2[United Energy],Calc_Variable_2[[Customer type]:[Customer type]],$F398)</f>
        <v>0.16802126454778582</v>
      </c>
    </row>
    <row r="399" spans="1:11" ht="15.75" hidden="1" outlineLevel="1" collapsed="1" x14ac:dyDescent="0.25">
      <c r="A399" s="1" t="s">
        <v>36</v>
      </c>
      <c r="B399"/>
      <c r="C399" s="14" t="s">
        <v>263</v>
      </c>
      <c r="D399" s="14" t="s">
        <v>64</v>
      </c>
      <c r="E399" s="14" t="s">
        <v>75</v>
      </c>
      <c r="F399" s="14" t="s">
        <v>73</v>
      </c>
      <c r="G399" s="50" cm="1">
        <f t="array" ref="G399">IF(G397=0,"-",
(G397+G398)*Calc_ROM_2[Ausnet])</f>
        <v>1.2300628225552416E-2</v>
      </c>
      <c r="H399" s="50" cm="1">
        <f t="array" ref="H399">IF(H397=0,"-",
(H397+H398)*Calc_ROM_2[Citipower])</f>
        <v>1.0815893597650911E-2</v>
      </c>
      <c r="I399" s="50" cm="1">
        <f t="array" ref="I399">IF(I397=0,"-",
(I397+I398)*Calc_ROM_2[Jemena])</f>
        <v>1.119174828926325E-2</v>
      </c>
      <c r="J399" s="50" cm="1">
        <f t="array" ref="J399">IF(J397=0,"-",
(J397+J398)*Calc_ROM_2[Powercor])</f>
        <v>1.1508361616522246E-2</v>
      </c>
      <c r="K399" s="50" cm="1">
        <f t="array" ref="K399">IF(K397=0,"-",
(K397+K398)*Calc_ROM_2[United Energy])</f>
        <v>1.1329990814676005E-2</v>
      </c>
    </row>
    <row r="400" spans="1:11" hidden="1" outlineLevel="1" x14ac:dyDescent="0.25">
      <c r="B400"/>
      <c r="C400" s="14" t="s">
        <v>366</v>
      </c>
      <c r="D400" s="14" t="s">
        <v>64</v>
      </c>
      <c r="E400" s="14" t="s">
        <v>75</v>
      </c>
      <c r="F400" s="14" t="s">
        <v>73</v>
      </c>
      <c r="G400" s="50">
        <f>IF(G397=0,"-",
(G397+G398+G399)*GST)</f>
        <v>2.3195470368184559E-2</v>
      </c>
      <c r="H400" s="50">
        <f>IF(H397=0,"-",
(H397+H398+H399)*GST)</f>
        <v>2.0395685069856007E-2</v>
      </c>
      <c r="I400" s="50">
        <f>IF(I397=0,"-",
(I397+I398+I399)*GST)</f>
        <v>2.110443963118213E-2</v>
      </c>
      <c r="J400" s="50">
        <f>IF(J397=0,"-",
(J397+J398+J399)*GST)</f>
        <v>2.1701481905441952E-2</v>
      </c>
      <c r="K400" s="50">
        <f>IF(K397=0,"-",
(K397+K398+K399)*GST)</f>
        <v>2.1365125536246185E-2</v>
      </c>
    </row>
    <row r="401" spans="2:11" hidden="1" outlineLevel="1" x14ac:dyDescent="0.25">
      <c r="B401"/>
      <c r="C401" s="14" t="str">
        <f>C396&amp;" charge"</f>
        <v>Off peak charge</v>
      </c>
      <c r="D401" s="14" t="s">
        <v>64</v>
      </c>
      <c r="E401" s="14" t="s">
        <v>75</v>
      </c>
      <c r="F401" s="14" t="s">
        <v>73</v>
      </c>
      <c r="G401" s="51">
        <f>IF(G397=0,"-",
G397+G398+G399+G400)</f>
        <v>0.2551501740500301</v>
      </c>
      <c r="H401" s="51">
        <f>IF(H397=0,"-",
H397+H398+H399+H400)</f>
        <v>0.22435253576841607</v>
      </c>
      <c r="I401" s="51">
        <f>IF(I397=0,"-",
I397+I398+I399+I400)</f>
        <v>0.23214883594300342</v>
      </c>
      <c r="J401" s="51">
        <f>IF(J397=0,"-",
J397+J398+J399+J400)</f>
        <v>0.23871630095986146</v>
      </c>
      <c r="K401" s="51">
        <f>IF(K397=0,"-",
K397+K398+K399+K400)</f>
        <v>0.23501638089870802</v>
      </c>
    </row>
    <row r="402" spans="2:11" hidden="1" outlineLevel="1" x14ac:dyDescent="0.25">
      <c r="B402"/>
      <c r="G402" s="79" cm="1">
        <f t="array" ref="G402">IF(G401="-","-",
IF(ROUND(G401,8)=ROUND((((
SUMIFS(Calc_Variable_2[Ausnet],Calc_Variable_2[[Customer type]:[Customer type]],Calc_Rates!$F401)+
SUMIFS(Calc_Variable_2[Ausnet],Calc_Variable_2[[Customer type]:[Customer type]],"All")+G397)*(1+Calc_ROM_2[Ausnet]))*(1+GST)),8),0,1))</f>
        <v>0</v>
      </c>
      <c r="H402" s="79" cm="1">
        <f t="array" ref="H402">IF(H401="-","-",
IF(ROUND(H401,8)=ROUND((((
SUMIFS(Calc_Variable_2[Citipower],Calc_Variable_2[[Customer type]:[Customer type]],Calc_Rates!$F401)+
SUMIFS(Calc_Variable_2[Citipower],Calc_Variable_2[[Customer type]:[Customer type]],"All")+H397)*(1+Calc_ROM_2[Citipower]))*(1+GST)),8),0,1))</f>
        <v>0</v>
      </c>
      <c r="I402" s="79" cm="1">
        <f t="array" ref="I402">IF(I401="-","-",
IF(ROUND(I401,8)=ROUND((((
SUMIFS(Calc_Variable_2[Jemena],Calc_Variable_2[[Customer type]:[Customer type]],Calc_Rates!$F401)+
SUMIFS(Calc_Variable_2[Jemena],Calc_Variable_2[[Customer type]:[Customer type]],"All")+I397)*(1+Calc_ROM_2[Jemena]))*(1+GST)),8),0,1))</f>
        <v>0</v>
      </c>
      <c r="J402" s="79" cm="1">
        <f t="array" ref="J402">IF(J401="-","-",
IF(ROUND(J401,8)=ROUND((((
SUMIFS(Calc_Variable_2[Powercor],Calc_Variable_2[[Customer type]:[Customer type]],Calc_Rates!$F401)+
SUMIFS(Calc_Variable_2[Powercor],Calc_Variable_2[[Customer type]:[Customer type]],"All")+J397)*(1+Calc_ROM_2[Powercor]))*(1+GST)),8),0,1))</f>
        <v>0</v>
      </c>
      <c r="K402" s="79" cm="1">
        <f t="array" ref="K402">IF(K401="-","-",
IF(ROUND(K401,8)=ROUND((((
SUMIFS(Calc_Variable_2[United Energy],Calc_Variable_2[[Customer type]:[Customer type]],Calc_Rates!$F401)+
SUMIFS(Calc_Variable_2[United Energy],Calc_Variable_2[[Customer type]:[Customer type]],"All")+K397)*(1+Calc_ROM_2[United Energy]))*(1+GST)),8),0,1))</f>
        <v>0</v>
      </c>
    </row>
    <row r="403" spans="2:11" hidden="1" x14ac:dyDescent="0.25">
      <c r="B403"/>
    </row>
    <row r="404" spans="2:11" ht="16.5" hidden="1" collapsed="1" thickBot="1" x14ac:dyDescent="0.3">
      <c r="B404" s="155">
        <f ca="1">MAX(B$3:B403)+0.01</f>
        <v>13.089999999999998</v>
      </c>
      <c r="C404" s="19" t="s">
        <v>377</v>
      </c>
      <c r="D404" s="19"/>
      <c r="E404" s="19"/>
      <c r="F404" s="19"/>
      <c r="G404" s="19"/>
      <c r="H404" s="19"/>
      <c r="I404" s="19"/>
      <c r="J404" s="19"/>
      <c r="K404" s="19"/>
    </row>
    <row r="405" spans="2:11" hidden="1" outlineLevel="1" x14ac:dyDescent="0.25"/>
    <row r="406" spans="2:11" ht="15.75" hidden="1" outlineLevel="1" x14ac:dyDescent="0.25">
      <c r="C406" s="20" t="s">
        <v>31</v>
      </c>
    </row>
    <row r="407" spans="2:11" ht="15.75" hidden="1" outlineLevel="1" x14ac:dyDescent="0.25">
      <c r="C407" s="36" t="s">
        <v>378</v>
      </c>
      <c r="D407" s="52">
        <f>IFERROR(INDEX(Input_CPI[Indice],MATCH($D$267,Input_CPI[Decision paper],0),1),"-")</f>
        <v>132.6</v>
      </c>
      <c r="I407" s="54"/>
    </row>
    <row r="408" spans="2:11" ht="15.75" hidden="1" outlineLevel="1" x14ac:dyDescent="0.25">
      <c r="C408" s="20"/>
    </row>
    <row r="409" spans="2:11" ht="15.75" hidden="1" outlineLevel="1" x14ac:dyDescent="0.25">
      <c r="C409" s="30" t="s">
        <v>51</v>
      </c>
      <c r="D409" s="30" t="s">
        <v>114</v>
      </c>
      <c r="E409" s="30" t="s">
        <v>62</v>
      </c>
      <c r="F409" s="30" t="s">
        <v>63</v>
      </c>
      <c r="G409" s="30" t="s">
        <v>379</v>
      </c>
      <c r="H409" s="40" t="s">
        <v>380</v>
      </c>
      <c r="I409" s="40" t="s">
        <v>381</v>
      </c>
      <c r="K409" s="54"/>
    </row>
    <row r="410" spans="2:11" hidden="1" outlineLevel="1" x14ac:dyDescent="0.25">
      <c r="C410" s="14" t="s">
        <v>137</v>
      </c>
      <c r="D410" s="14"/>
      <c r="E410" s="14" t="str">
        <f>INDEX(Input_ForRateCalc[Unit],MATCH(Calc_CPI_2[[#This Row],[Cost item]],Input_ForRateCalc[Cost item],0),1)</f>
        <v>$</v>
      </c>
      <c r="F410" s="14" t="str">
        <f>INDEX(Input_ForRateCalc[Customer type],MATCH(Calc_CPI_2[[#This Row],[Cost item]],Input_ForRateCalc[Cost item],0),1)</f>
        <v>All</v>
      </c>
      <c r="G410" s="14" t="str">
        <f>INDEX(Input_CostItemCPI[],MATCH(Calc_CPI_2[[#This Row],[Cost item]],Input_CostItemCPI[Cost item],0),MATCH(Calc_Rates!$D$267,Input_CostItemCPI[#Headers],0))</f>
        <v>Yes</v>
      </c>
      <c r="H410" s="152" cm="1">
        <f t="array" ref="H410">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5.1546391752577324E-2</v>
      </c>
      <c r="I410" s="41" cm="1">
        <f t="array" ref="I410">IFERROR((H410)*
INDEX(Input_ForRateCalc[],MATCH(Calc_CPI_2[[#This Row],[Cost item]:[Cost item]],Input_ForRateCalc[Cost item],0),MATCH($D$267,Inputs!$C$15:$AZ$15,0)),"-")</f>
        <v>6.4721649484536092</v>
      </c>
    </row>
    <row r="411" spans="2:11" hidden="1" outlineLevel="1" x14ac:dyDescent="0.25">
      <c r="C411" s="14" t="s">
        <v>143</v>
      </c>
      <c r="D411" s="14"/>
      <c r="E411" s="14" t="str">
        <f>INDEX(Input_ForRateCalc[Unit],MATCH(Calc_CPI_2[[#This Row],[Cost item]],Input_ForRateCalc[Cost item],0),1)</f>
        <v>$</v>
      </c>
      <c r="F411" s="14" t="str">
        <f>INDEX(Input_ForRateCalc[Customer type],MATCH(Calc_CPI_2[[#This Row],[Cost item]],Input_ForRateCalc[Cost item],0),1)</f>
        <v>All</v>
      </c>
      <c r="G411" s="14" t="str">
        <f>INDEX(Input_CostItemCPI[],MATCH(Calc_CPI_2[[#This Row],[Cost item]],Input_CostItemCPI[Cost item],0),MATCH(Calc_Rates!$D$267,Input_CostItemCPI[#Headers],0))</f>
        <v>No</v>
      </c>
      <c r="H411" s="152" cm="1">
        <f t="array" ref="H411">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11" s="41" cm="1">
        <f t="array" ref="I411">IFERROR((H411)*
INDEX(Input_ForRateCalc[],MATCH(Calc_CPI_2[[#This Row],[Cost item]:[Cost item]],Input_ForRateCalc[Cost item],0),MATCH($D$267,Inputs!$C$15:$AZ$15,0)),"-")</f>
        <v>0</v>
      </c>
    </row>
    <row r="412" spans="2:11" hidden="1" outlineLevel="1" x14ac:dyDescent="0.25">
      <c r="C412" s="14" t="s">
        <v>144</v>
      </c>
      <c r="D412" s="14"/>
      <c r="E412" s="14" t="str">
        <f>INDEX(Input_ForRateCalc[Unit],MATCH(Calc_CPI_2[[#This Row],[Cost item]],Input_ForRateCalc[Cost item],0),1)</f>
        <v>$</v>
      </c>
      <c r="F412" s="14" t="str">
        <f>INDEX(Input_ForRateCalc[Customer type],MATCH(Calc_CPI_2[[#This Row],[Cost item]],Input_ForRateCalc[Cost item],0),1)</f>
        <v>All</v>
      </c>
      <c r="G412" s="14" t="str">
        <f>INDEX(Input_CostItemCPI[],MATCH(Calc_CPI_2[[#This Row],[Cost item]],Input_CostItemCPI[Cost item],0),MATCH(Calc_Rates!$D$267,Input_CostItemCPI[#Headers],0))</f>
        <v>Yes</v>
      </c>
      <c r="H412" s="152" cm="1">
        <f t="array" ref="H412">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0.15505226480836234</v>
      </c>
      <c r="I412" s="41" cm="1">
        <f t="array" ref="I412">IFERROR((H412)*
INDEX(Input_ForRateCalc[],MATCH(Calc_CPI_2[[#This Row],[Cost item]:[Cost item]],Input_ForRateCalc[Cost item],0),MATCH($D$267,Inputs!$C$15:$AZ$15,0)),"-")</f>
        <v>5.8919860627177689</v>
      </c>
    </row>
    <row r="413" spans="2:11" hidden="1" outlineLevel="1" x14ac:dyDescent="0.25">
      <c r="C413" s="14" t="s">
        <v>146</v>
      </c>
      <c r="D413" s="14"/>
      <c r="E413" s="14" t="str">
        <f>INDEX(Input_ForRateCalc[Unit],MATCH(Calc_CPI_2[[#This Row],[Cost item]],Input_ForRateCalc[Cost item],0),1)</f>
        <v>$/MWh</v>
      </c>
      <c r="F413" s="14" t="str">
        <f>INDEX(Input_ForRateCalc[Customer type],MATCH(Calc_CPI_2[[#This Row],[Cost item]],Input_ForRateCalc[Cost item],0),1)</f>
        <v>All</v>
      </c>
      <c r="G413" s="14" t="str">
        <f>INDEX(Input_CostItemCPI[],MATCH(Calc_CPI_2[[#This Row],[Cost item]],Input_CostItemCPI[Cost item],0),MATCH(Calc_Rates!$D$267,Input_CostItemCPI[#Headers],0))</f>
        <v>No</v>
      </c>
      <c r="H413" s="152" cm="1">
        <f t="array" ref="H413">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13" s="41" cm="1">
        <f t="array" ref="I413">IFERROR((H413)*
INDEX(Input_ForRateCalc[],MATCH(Calc_CPI_2[[#This Row],[Cost item]:[Cost item]],Input_ForRateCalc[Cost item],0),MATCH($D$267,Inputs!$C$15:$AZ$15,0)),"-")</f>
        <v>0</v>
      </c>
    </row>
    <row r="414" spans="2:11" hidden="1" outlineLevel="1" x14ac:dyDescent="0.25">
      <c r="C414" s="14" t="s">
        <v>148</v>
      </c>
      <c r="D414" s="14"/>
      <c r="E414" s="14" t="str">
        <f>INDEX(Input_ForRateCalc[Unit],MATCH(Calc_CPI_2[[#This Row],[Cost item]],Input_ForRateCalc[Cost item],0),1)</f>
        <v>$</v>
      </c>
      <c r="F414" s="14" t="str">
        <f>INDEX(Input_ForRateCalc[Customer type],MATCH(Calc_CPI_2[[#This Row],[Cost item]],Input_ForRateCalc[Cost item],0),1)</f>
        <v>All</v>
      </c>
      <c r="G414" s="14" t="str">
        <f>INDEX(Input_CostItemCPI[],MATCH(Calc_CPI_2[[#This Row],[Cost item]],Input_CostItemCPI[Cost item],0),MATCH(Calc_Rates!$D$267,Input_CostItemCPI[#Headers],0))</f>
        <v>Yes</v>
      </c>
      <c r="H414" s="152" cm="1">
        <f t="array" ref="H414">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5.1546391752577324E-2</v>
      </c>
      <c r="I414" s="41" cm="1">
        <f t="array" ref="I414">IFERROR((H414)*
INDEX(Input_ForRateCalc[],MATCH(Calc_CPI_2[[#This Row],[Cost item]:[Cost item]],Input_ForRateCalc[Cost item],0),MATCH($D$267,Inputs!$C$15:$AZ$15,0)),"-")</f>
        <v>0.11091452556252115</v>
      </c>
    </row>
    <row r="415" spans="2:11" hidden="1" outlineLevel="1" x14ac:dyDescent="0.25">
      <c r="C415" s="39" t="s">
        <v>150</v>
      </c>
      <c r="D415" s="14"/>
      <c r="E415" s="14" t="str">
        <f>INDEX(Input_ForRateCalc[Unit],MATCH(Calc_CPI_2[[#This Row],[Cost item]],Input_ForRateCalc[Cost item],0),1)</f>
        <v>$/week</v>
      </c>
      <c r="F415" s="14" t="str">
        <f>INDEX(Input_ForRateCalc[Customer type],MATCH(Calc_CPI_2[[#This Row],[Cost item]],Input_ForRateCalc[Cost item],0),1)</f>
        <v>All</v>
      </c>
      <c r="G415" s="14" t="str">
        <f>INDEX(Input_CostItemCPI[],MATCH(Calc_CPI_2[[#This Row],[Cost item]],Input_CostItemCPI[Cost item],0),MATCH(Calc_Rates!$D$267,Input_CostItemCPI[#Headers],0))</f>
        <v>No</v>
      </c>
      <c r="H415" s="152" cm="1">
        <f t="array" ref="H415">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15" s="41" cm="1">
        <f t="array" ref="I415">IFERROR((H415)*
INDEX(Input_ForRateCalc[],MATCH(Calc_CPI_2[[#This Row],[Cost item]:[Cost item]],Input_ForRateCalc[Cost item],0),MATCH($D$267,Inputs!$C$15:$AZ$15,0)),"-")</f>
        <v>0</v>
      </c>
    </row>
    <row r="416" spans="2:11" hidden="1" outlineLevel="1" x14ac:dyDescent="0.25">
      <c r="C416" s="31" t="s">
        <v>152</v>
      </c>
      <c r="D416" s="14"/>
      <c r="E416" s="14" t="str">
        <f>INDEX(Input_ForRateCalc[Unit],MATCH(Calc_CPI_2[[#This Row],[Cost item]],Input_ForRateCalc[Cost item],0),1)</f>
        <v>$/week</v>
      </c>
      <c r="F416" s="14" t="str">
        <f>INDEX(Input_ForRateCalc[Customer type],MATCH(Calc_CPI_2[[#This Row],[Cost item]],Input_ForRateCalc[Cost item],0),1)</f>
        <v>All</v>
      </c>
      <c r="G416" s="14" t="str">
        <f>INDEX(Input_CostItemCPI[],MATCH(Calc_CPI_2[[#This Row],[Cost item]],Input_CostItemCPI[Cost item],0),MATCH(Calc_Rates!$D$267,Input_CostItemCPI[#Headers],0))</f>
        <v>No</v>
      </c>
      <c r="H416" s="152" cm="1">
        <f t="array" ref="H416">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16" s="41" cm="1">
        <f t="array" ref="I416">IFERROR((H416)*
INDEX(Input_ForRateCalc[],MATCH(Calc_CPI_2[[#This Row],[Cost item]:[Cost item]],Input_ForRateCalc[Cost item],0),MATCH($D$267,Inputs!$C$15:$AZ$15,0)),"-")</f>
        <v>0</v>
      </c>
    </row>
    <row r="417" spans="2:11" hidden="1" outlineLevel="1" x14ac:dyDescent="0.25">
      <c r="C417" s="31" t="s">
        <v>214</v>
      </c>
      <c r="D417" s="31"/>
      <c r="E417" s="14" t="str">
        <f>INDEX(Input_ForRateCalc[Unit],MATCH(Calc_CPI_2[[#This Row],[Cost item]],Input_ForRateCalc[Cost item],0),1)</f>
        <v>$/MWh</v>
      </c>
      <c r="F417" s="14" t="str">
        <f>INDEX(Input_ForRateCalc[Customer type],MATCH(Calc_CPI_2[[#This Row],[Cost item]],Input_ForRateCalc[Cost item],0),1)</f>
        <v>All</v>
      </c>
      <c r="G417" s="14" t="str">
        <f>INDEX(Input_CostItemCPI[],MATCH(Calc_CPI_2[[#This Row],[Cost item]],Input_CostItemCPI[Cost item],0),MATCH(Calc_Rates!$D$267,Input_CostItemCPI[#Headers],0))</f>
        <v>No</v>
      </c>
      <c r="H417" s="152" cm="1">
        <f t="array" ref="H417">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17" s="41" cm="1">
        <f t="array" ref="I417">IFERROR((H417)*
INDEX(Input_ForRateCalc[],MATCH(Calc_CPI_2[[#This Row],[Cost item]:[Cost item]],Input_ForRateCalc[Cost item],0),MATCH($D$267,Inputs!$C$15:$AZ$15,0)),"-")</f>
        <v>0</v>
      </c>
    </row>
    <row r="418" spans="2:11" hidden="1" outlineLevel="1" x14ac:dyDescent="0.25">
      <c r="C418" s="31" t="s">
        <v>218</v>
      </c>
      <c r="D418" s="14"/>
      <c r="E418" s="14" t="str">
        <f>INDEX(Input_ForRateCalc[Unit],MATCH(Calc_CPI_2[[#This Row],[Cost item]],Input_ForRateCalc[Cost item],0),1)</f>
        <v>$/MWh</v>
      </c>
      <c r="F418" s="14" t="s">
        <v>139</v>
      </c>
      <c r="G418" s="14" t="str">
        <f>INDEX(Input_CostItemCPI[],MATCH(Calc_CPI_2[[#This Row],[Cost item]],Input_CostItemCPI[Cost item],0),MATCH(Calc_Rates!$D$267,Input_CostItemCPI[#Headers],0))</f>
        <v>No</v>
      </c>
      <c r="H418" s="152" cm="1">
        <f t="array" ref="H418">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18" s="41" cm="1">
        <f t="array" ref="I418">IFERROR((H418)*
INDEX(Input_ForRateCalc[],MATCH(Calc_CPI_2[[#This Row],[Cost item]:[Cost item]],Input_ForRateCalc[Cost item],0),MATCH($D$267,Inputs!$C$15:$AZ$15,0)),"-")</f>
        <v>0</v>
      </c>
    </row>
    <row r="419" spans="2:11" hidden="1" outlineLevel="1" x14ac:dyDescent="0.25">
      <c r="C419" s="31" t="s">
        <v>219</v>
      </c>
      <c r="D419" s="31"/>
      <c r="E419" s="14" t="str">
        <f>INDEX(Input_ForRateCalc[Unit],MATCH(Calc_CPI_2[[#This Row],[Cost item]],Input_ForRateCalc[Cost item],0),1)</f>
        <v>$/MWh</v>
      </c>
      <c r="F419" s="31" t="s">
        <v>139</v>
      </c>
      <c r="G419" s="31" t="str">
        <f>INDEX(Input_CostItemCPI[],MATCH(Calc_CPI_2[[#This Row],[Cost item]],Input_CostItemCPI[Cost item],0),MATCH(Calc_Rates!$D$267,Input_CostItemCPI[#Headers],0))</f>
        <v>No</v>
      </c>
      <c r="H419" s="152" cm="1">
        <f t="array" ref="H419">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19" s="41" cm="1">
        <f t="array" ref="I419">IFERROR((H419)*
INDEX(Input_ForRateCalc[],MATCH(Calc_CPI_2[[#This Row],[Cost item]:[Cost item]],Input_ForRateCalc[Cost item],0),MATCH($D$267,Inputs!$C$15:$AZ$15,0)),"-")</f>
        <v>0</v>
      </c>
    </row>
    <row r="420" spans="2:11" hidden="1" outlineLevel="1" x14ac:dyDescent="0.25">
      <c r="C420" s="39" t="s">
        <v>153</v>
      </c>
      <c r="D420" s="14"/>
      <c r="E420" s="14" t="str">
        <f>INDEX(Input_ForRateCalc[Unit],MATCH(Calc_CPI_2[[#This Row],[Cost item]],Input_ForRateCalc[Cost item],0),1)</f>
        <v>$/week</v>
      </c>
      <c r="F420" s="14" t="s">
        <v>139</v>
      </c>
      <c r="G420" s="14" t="str">
        <f>INDEX(Input_CostItemCPI[],MATCH(Calc_CPI_2[[#This Row],[Cost item]],Input_CostItemCPI[Cost item],0),MATCH(Calc_Rates!$D$267,Input_CostItemCPI[#Headers],0))</f>
        <v>No</v>
      </c>
      <c r="H420" s="152" cm="1">
        <f t="array" ref="H420">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20" s="41" cm="1">
        <f t="array" ref="I420">IFERROR((H420)*
INDEX(Input_ForRateCalc[],MATCH(Calc_CPI_2[[#This Row],[Cost item]:[Cost item]],Input_ForRateCalc[Cost item],0),MATCH($D$267,Inputs!$C$15:$AZ$15,0)),"-")</f>
        <v>0</v>
      </c>
    </row>
    <row r="421" spans="2:11" hidden="1" outlineLevel="1" x14ac:dyDescent="0.25">
      <c r="C421" s="39" t="s">
        <v>154</v>
      </c>
      <c r="D421" s="14"/>
      <c r="E421" s="14" t="str">
        <f>INDEX(Input_ForRateCalc[Unit],MATCH(Calc_CPI_2[[#This Row],[Cost item]],Input_ForRateCalc[Cost item],0),1)</f>
        <v>$/week</v>
      </c>
      <c r="F421" s="14" t="s">
        <v>139</v>
      </c>
      <c r="G421" s="14" t="str">
        <f>INDEX(Input_CostItemCPI[],MATCH(Calc_CPI_2[[#This Row],[Cost item]],Input_CostItemCPI[Cost item],0),MATCH(Calc_Rates!$D$267,Input_CostItemCPI[#Headers],0))</f>
        <v>No</v>
      </c>
      <c r="H421" s="152" cm="1">
        <f t="array" ref="H421">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21" s="41" cm="1">
        <f t="array" ref="I421">IFERROR((H421)*
INDEX(Input_ForRateCalc[],MATCH(Calc_CPI_2[[#This Row],[Cost item]:[Cost item]],Input_ForRateCalc[Cost item],0),MATCH($D$267,Inputs!$C$15:$AZ$15,0)),"-")</f>
        <v>0</v>
      </c>
    </row>
    <row r="422" spans="2:11" hidden="1" outlineLevel="1" x14ac:dyDescent="0.25">
      <c r="C422" s="31" t="s">
        <v>155</v>
      </c>
      <c r="D422" s="14"/>
      <c r="E422" s="14" t="str">
        <f>INDEX(Input_ForRateCalc[Unit],MATCH(Calc_CPI_2[[#This Row],[Cost item]],Input_ForRateCalc[Cost item],0),1)</f>
        <v>$/week</v>
      </c>
      <c r="F422" s="14" t="s">
        <v>139</v>
      </c>
      <c r="G422" s="14" t="str">
        <f>INDEX(Input_CostItemCPI[],MATCH(Calc_CPI_2[[#This Row],[Cost item]],Input_CostItemCPI[Cost item],0),MATCH(Calc_Rates!$D$267,Input_CostItemCPI[#Headers],0))</f>
        <v>No</v>
      </c>
      <c r="H422" s="152" cm="1">
        <f t="array" ref="H422">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22" s="41" cm="1">
        <f t="array" ref="I422">IFERROR((H422)*
INDEX(Input_ForRateCalc[],MATCH(Calc_CPI_2[[#This Row],[Cost item]:[Cost item]],Input_ForRateCalc[Cost item],0),MATCH($D$267,Inputs!$C$15:$AZ$15,0)),"-")</f>
        <v>0</v>
      </c>
    </row>
    <row r="423" spans="2:11" hidden="1" outlineLevel="1" x14ac:dyDescent="0.25">
      <c r="C423" s="39" t="s">
        <v>221</v>
      </c>
      <c r="D423" s="14"/>
      <c r="E423" s="14" t="str">
        <f>INDEX(Input_ForRateCalc[Unit],MATCH(Calc_CPI_2[[#This Row],[Cost item]],Input_ForRateCalc[Cost item],0),1)</f>
        <v>$/MWh</v>
      </c>
      <c r="F423" s="14" t="s">
        <v>139</v>
      </c>
      <c r="G423" s="14" t="str">
        <f>INDEX(Input_CostItemCPI[],MATCH(Calc_CPI_2[[#This Row],[Cost item]],Input_CostItemCPI[Cost item],0),MATCH(Calc_Rates!$D$267,Input_CostItemCPI[#Headers],0))</f>
        <v>No</v>
      </c>
      <c r="H423" s="152" cm="1">
        <f t="array" ref="H423">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23" s="41" cm="1">
        <f t="array" ref="I423">IFERROR((H423)*
INDEX(Input_ForRateCalc[],MATCH(Calc_CPI_2[[#This Row],[Cost item]:[Cost item]],Input_ForRateCalc[Cost item],0),MATCH($D$267,Inputs!$C$15:$AZ$15,0)),"-")</f>
        <v>0</v>
      </c>
    </row>
    <row r="424" spans="2:11" hidden="1" outlineLevel="1" x14ac:dyDescent="0.25">
      <c r="C424" s="39" t="s">
        <v>222</v>
      </c>
      <c r="D424" s="14"/>
      <c r="E424" s="14" t="str">
        <f>INDEX(Input_ForRateCalc[Unit],MATCH(Calc_CPI_2[[#This Row],[Cost item]],Input_ForRateCalc[Cost item],0),1)</f>
        <v>$/MWh</v>
      </c>
      <c r="F424" s="14" t="s">
        <v>139</v>
      </c>
      <c r="G424" s="14" t="str">
        <f>INDEX(Input_CostItemCPI[],MATCH(Calc_CPI_2[[#This Row],[Cost item]],Input_CostItemCPI[Cost item],0),MATCH(Calc_Rates!$D$267,Input_CostItemCPI[#Headers],0))</f>
        <v>No</v>
      </c>
      <c r="H424" s="152" cm="1">
        <f t="array" ref="H424">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24" s="41" cm="1">
        <f t="array" ref="I424">IFERROR((H424)*
INDEX(Input_ForRateCalc[],MATCH(Calc_CPI_2[[#This Row],[Cost item]:[Cost item]],Input_ForRateCalc[Cost item],0),MATCH($D$267,Inputs!$C$15:$AZ$15,0)),"-")</f>
        <v>0</v>
      </c>
    </row>
    <row r="425" spans="2:11" hidden="1" outlineLevel="1" x14ac:dyDescent="0.25">
      <c r="C425" s="39" t="s">
        <v>223</v>
      </c>
      <c r="D425" s="14"/>
      <c r="E425" s="14" t="str">
        <f>INDEX(Input_ForRateCalc[Unit],MATCH(Calc_CPI_2[[#This Row],[Cost item]],Input_ForRateCalc[Cost item],0),1)</f>
        <v>$/MWh</v>
      </c>
      <c r="F425" s="14" t="s">
        <v>139</v>
      </c>
      <c r="G425" s="31" t="str">
        <f>INDEX(Input_CostItemCPI[],MATCH(Calc_CPI_2[[#This Row],[Cost item]],Input_CostItemCPI[Cost item],0),MATCH(Calc_Rates!$D$267,Input_CostItemCPI[#Headers],0))</f>
        <v>No</v>
      </c>
      <c r="H425" s="153" cm="1">
        <f t="array" ref="H425">IF(Calc_CPI_2[[#This Row],[Adjust?]]="No",0,
IFERROR(
($D$407-
INDEX(CPI[Indice],MATCH(
INDEX(Input_ForRateCalc[],MATCH(Calc_CPI_2[[#This Row],[Cost item]:[Cost item]],Input_ForRateCalc[Cost item],0),MATCH($D$267&amp;" - input date",Inputs!C$15:AZ$15,0)),
CPI[Period],0),1))/
INDEX(CPI[Indice],MATCH(
INDEX(Input_ForRateCalc[],MATCH(Calc_CPI_2[[#This Row],[Cost item]:[Cost item]],Input_ForRateCalc[Cost item],0),MATCH($D$267&amp;" - input date",Inputs!C$15:AZ$15,0)),
CPI[Period],0),1),"-"))</f>
        <v>0</v>
      </c>
      <c r="I425" s="49" cm="1">
        <f t="array" ref="I425">IFERROR((H425)*
INDEX(Input_ForRateCalc[],MATCH(Calc_CPI_2[[#This Row],[Cost item]:[Cost item]],Input_ForRateCalc[Cost item],0),MATCH($D$267,Inputs!$C$15:$AZ$15,0)),"-")</f>
        <v>0</v>
      </c>
    </row>
    <row r="426" spans="2:11" hidden="1" outlineLevel="1" x14ac:dyDescent="0.25"/>
    <row r="427" spans="2:11" ht="15.75" hidden="1" outlineLevel="1" x14ac:dyDescent="0.25">
      <c r="C427" s="20" t="s">
        <v>372</v>
      </c>
    </row>
    <row r="428" spans="2:11" ht="15.75" hidden="1" outlineLevel="1" x14ac:dyDescent="0.25">
      <c r="C428" s="30" t="s">
        <v>51</v>
      </c>
      <c r="D428" s="30" t="s">
        <v>114</v>
      </c>
      <c r="E428" s="30" t="s">
        <v>62</v>
      </c>
      <c r="F428" s="30" t="s">
        <v>63</v>
      </c>
      <c r="G428" s="40" t="s">
        <v>65</v>
      </c>
      <c r="H428" s="40" t="s">
        <v>66</v>
      </c>
      <c r="I428" s="40" t="s">
        <v>67</v>
      </c>
      <c r="J428" s="40" t="s">
        <v>68</v>
      </c>
      <c r="K428" s="40" t="s">
        <v>69</v>
      </c>
    </row>
    <row r="429" spans="2:11" hidden="1" outlineLevel="1" x14ac:dyDescent="0.25">
      <c r="C429" s="14" t="s">
        <v>383</v>
      </c>
      <c r="D429" s="14" t="s">
        <v>64</v>
      </c>
      <c r="E429" s="14" t="s">
        <v>264</v>
      </c>
      <c r="F429" s="14" t="s">
        <v>139</v>
      </c>
      <c r="G429" s="60" cm="1">
        <f t="array" ref="G429">IFERROR(INDEX(Input_ForRateCalc[],MATCH(Calc_Losses_2[[#This Row],[Cost item]:[Cost item]]&amp;" - "&amp;Calc_Losses_2[[#Headers],[Ausnet]],Input_ForRateCalc[[Cost item]:[Cost item]],0),MATCH($D$267,Inputs!$C$15:$AZ$15,0)),"-")</f>
        <v>1.0040999999999998</v>
      </c>
      <c r="H429" s="60" cm="1">
        <f t="array" ref="H429">IFERROR(INDEX(Input_ForRateCalc[],MATCH(Calc_Losses_2[[#This Row],[Cost item]:[Cost item]]&amp;" - "&amp;Calc_Losses_2[[#Headers],[Citipower]],Input_ForRateCalc[[Cost item]:[Cost item]],0),MATCH($D$267,Inputs!$C$15:$AZ$15,0)),"-")</f>
        <v>0.99999000000000005</v>
      </c>
      <c r="I429" s="60" cm="1">
        <f t="array" ref="I429">IFERROR(INDEX(Input_ForRateCalc[],MATCH(Calc_Losses_2[[#This Row],[Cost item]:[Cost item]]&amp;" - "&amp;Calc_Losses_2[[#Headers],[Jemena]],Input_ForRateCalc[[Cost item]:[Cost item]],0),MATCH($D$267,Inputs!$C$15:$AZ$15,0)),"-")</f>
        <v>1.0006249999999999</v>
      </c>
      <c r="J429" s="60" cm="1">
        <f t="array" ref="J429">IFERROR(INDEX(Input_ForRateCalc[],MATCH(Calc_Losses_2[[#This Row],[Cost item]:[Cost item]]&amp;" - "&amp;Calc_Losses_2[[#Headers],[Powercor]],Input_ForRateCalc[[Cost item]:[Cost item]],0),MATCH($D$267,Inputs!$C$15:$AZ$15,0)),"-")</f>
        <v>0.9980157894736843</v>
      </c>
      <c r="K429" s="60" cm="1">
        <f t="array" ref="K429">IFERROR(INDEX(Input_ForRateCalc[],MATCH(Calc_Losses_2[[#This Row],[Cost item]:[Cost item]]&amp;" - "&amp;Calc_Losses_2[[#Headers],[United Energy]],Input_ForRateCalc[[Cost item]:[Cost item]],0),MATCH($D$267,Inputs!$C$15:$AZ$15,0)),"-")</f>
        <v>0.99870909090909099</v>
      </c>
    </row>
    <row r="430" spans="2:11" hidden="1" outlineLevel="1" x14ac:dyDescent="0.25">
      <c r="C430" s="14" t="s">
        <v>384</v>
      </c>
      <c r="D430" s="14" t="s">
        <v>64</v>
      </c>
      <c r="E430" s="14" t="s">
        <v>264</v>
      </c>
      <c r="F430" s="14" t="s">
        <v>139</v>
      </c>
      <c r="G430" s="60" cm="1">
        <f t="array" ref="G430">IFERROR(INDEX(Input_ForRateCalc[],MATCH(Calc_Losses_2[[#This Row],[Cost item]:[Cost item]]&amp;" - "&amp;Calc_Losses_2[[#Headers],[Ausnet]],Input_ForRateCalc[[Cost item]:[Cost item]],0),MATCH($D$267,Inputs!$C$15:$AZ$15,0)),"-")</f>
        <v>1.0809876390249804</v>
      </c>
      <c r="H430" s="60" cm="1">
        <f t="array" ref="H430">IFERROR(INDEX(Input_ForRateCalc[],MATCH(Calc_Losses_2[[#This Row],[Cost item]:[Cost item]]&amp;" - "&amp;Calc_Losses_2[[#Headers],[Citipower]],Input_ForRateCalc[[Cost item]:[Cost item]],0),MATCH($D$267,Inputs!$C$15:$AZ$15,0)),"-")</f>
        <v>1.0449999999999999</v>
      </c>
      <c r="I430" s="60" cm="1">
        <f t="array" ref="I430">IFERROR(INDEX(Input_ForRateCalc[],MATCH(Calc_Losses_2[[#This Row],[Cost item]:[Cost item]]&amp;" - "&amp;Calc_Losses_2[[#Headers],[Jemena]],Input_ForRateCalc[[Cost item]:[Cost item]],0),MATCH($D$267,Inputs!$C$15:$AZ$15,0)),"-")</f>
        <v>1.0447</v>
      </c>
      <c r="J430" s="60" cm="1">
        <f t="array" ref="J430">IFERROR(INDEX(Input_ForRateCalc[],MATCH(Calc_Losses_2[[#This Row],[Cost item]:[Cost item]]&amp;" - "&amp;Calc_Losses_2[[#Headers],[Powercor]],Input_ForRateCalc[[Cost item]:[Cost item]],0),MATCH($D$267,Inputs!$C$15:$AZ$15,0)),"-")</f>
        <v>1.0735613169316207</v>
      </c>
      <c r="K430" s="60" cm="1">
        <f t="array" ref="K430">IFERROR(INDEX(Input_ForRateCalc[],MATCH(Calc_Losses_2[[#This Row],[Cost item]:[Cost item]]&amp;" - "&amp;Calc_Losses_2[[#Headers],[United Energy]],Input_ForRateCalc[[Cost item]:[Cost item]],0),MATCH($D$267,Inputs!$C$15:$AZ$15,0)),"-")</f>
        <v>1.0483</v>
      </c>
    </row>
    <row r="431" spans="2:11" hidden="1" outlineLevel="1" x14ac:dyDescent="0.25">
      <c r="C431" s="31" t="s">
        <v>385</v>
      </c>
      <c r="D431" s="14" t="s">
        <v>64</v>
      </c>
      <c r="E431" s="31" t="s">
        <v>264</v>
      </c>
      <c r="F431" s="14" t="s">
        <v>139</v>
      </c>
      <c r="G431" s="153">
        <f>(G429*G430)-1</f>
        <v>8.5419688344982481E-2</v>
      </c>
      <c r="H431" s="153">
        <f>(H429*H430)-1</f>
        <v>4.4989549999999934E-2</v>
      </c>
      <c r="I431" s="153">
        <f>(I429*I430)-1</f>
        <v>4.5352937499999912E-2</v>
      </c>
      <c r="J431" s="153">
        <f>(J429*J430)-1</f>
        <v>7.1431145265919538E-2</v>
      </c>
      <c r="K431" s="153">
        <f>(K429*K430)-1</f>
        <v>4.6946740000000098E-2</v>
      </c>
    </row>
    <row r="432" spans="2:11" hidden="1" outlineLevel="1" x14ac:dyDescent="0.25">
      <c r="B432"/>
    </row>
    <row r="433" spans="1:16" ht="15.75" hidden="1" outlineLevel="1" collapsed="1" x14ac:dyDescent="0.25">
      <c r="A433" s="1" t="s">
        <v>36</v>
      </c>
      <c r="C433" s="20" t="s">
        <v>263</v>
      </c>
    </row>
    <row r="434" spans="1:16" ht="15.75" hidden="1" outlineLevel="1" x14ac:dyDescent="0.25">
      <c r="C434" s="30" t="s">
        <v>51</v>
      </c>
      <c r="D434" s="30" t="s">
        <v>114</v>
      </c>
      <c r="E434" s="30" t="s">
        <v>62</v>
      </c>
      <c r="F434" s="30" t="s">
        <v>63</v>
      </c>
      <c r="G434" s="40" t="s">
        <v>65</v>
      </c>
      <c r="H434" s="40" t="s">
        <v>66</v>
      </c>
      <c r="I434" s="40" t="s">
        <v>67</v>
      </c>
      <c r="J434" s="40" t="s">
        <v>68</v>
      </c>
      <c r="K434" s="40" t="s">
        <v>69</v>
      </c>
    </row>
    <row r="435" spans="1:16" hidden="1" outlineLevel="1" x14ac:dyDescent="0.25">
      <c r="C435" s="14" t="s">
        <v>263</v>
      </c>
      <c r="D435" s="14" t="s">
        <v>64</v>
      </c>
      <c r="E435" s="14" t="s">
        <v>264</v>
      </c>
      <c r="F435" s="14" t="s">
        <v>139</v>
      </c>
      <c r="G435" s="60" cm="1">
        <f t="array" ref="G435">IFERROR(INDEX(Input_ForRateCalc[],MATCH(Calc_ROM_2[[#This Row],[Cost item]:[Cost item]],Input_ForRateCalc[[Cost item]:[Cost item]],0),MATCH($D$267,Inputs!$C$15:$AZ$15,0)),"-")</f>
        <v>5.6000000000000001E-2</v>
      </c>
      <c r="H435" s="60" cm="1">
        <f t="array" ref="H435">IFERROR(INDEX(Input_ForRateCalc[],MATCH(Calc_ROM_2[[#This Row],[Cost item]:[Cost item]],Input_ForRateCalc[[Cost item]:[Cost item]],0),MATCH($D$267,Inputs!$C$15:$AZ$15,0)),"-")</f>
        <v>5.6000000000000001E-2</v>
      </c>
      <c r="I435" s="60" cm="1">
        <f t="array" ref="I435">IFERROR(INDEX(Input_ForRateCalc[],MATCH(Calc_ROM_2[[#This Row],[Cost item]:[Cost item]],Input_ForRateCalc[[Cost item]:[Cost item]],0),MATCH($D$267,Inputs!$C$15:$AZ$15,0)),"-")</f>
        <v>5.6000000000000001E-2</v>
      </c>
      <c r="J435" s="60" cm="1">
        <f t="array" ref="J435">IFERROR(INDEX(Input_ForRateCalc[],MATCH(Calc_ROM_2[[#This Row],[Cost item]:[Cost item]],Input_ForRateCalc[[Cost item]:[Cost item]],0),MATCH($D$267,Inputs!$C$15:$AZ$15,0)),"-")</f>
        <v>5.6000000000000001E-2</v>
      </c>
      <c r="K435" s="60" cm="1">
        <f t="array" ref="K435">IFERROR(INDEX(Input_ForRateCalc[],MATCH(Calc_ROM_2[[#This Row],[Cost item]:[Cost item]],Input_ForRateCalc[[Cost item]:[Cost item]],0),MATCH($D$267,Inputs!$C$15:$AZ$15,0)),"-")</f>
        <v>5.6000000000000001E-2</v>
      </c>
    </row>
    <row r="436" spans="1:16" hidden="1" x14ac:dyDescent="0.25">
      <c r="B436"/>
    </row>
    <row r="437" spans="1:16" hidden="1" x14ac:dyDescent="0.25">
      <c r="B437"/>
    </row>
    <row r="438" spans="1:16" ht="16.5" hidden="1" collapsed="1" thickBot="1" x14ac:dyDescent="0.3">
      <c r="B438" s="155">
        <f ca="1">MAX(B$3:B437)+0.01</f>
        <v>13.099999999999998</v>
      </c>
      <c r="C438" s="19" t="s">
        <v>386</v>
      </c>
      <c r="D438" s="19"/>
      <c r="E438" s="19"/>
      <c r="F438" s="19"/>
      <c r="G438" s="19"/>
      <c r="H438" s="19"/>
      <c r="I438" s="19"/>
      <c r="J438" s="19"/>
      <c r="K438" s="19"/>
    </row>
    <row r="439" spans="1:16" hidden="1" outlineLevel="1" x14ac:dyDescent="0.25"/>
    <row r="440" spans="1:16" ht="15.75" hidden="1" outlineLevel="1" collapsed="1" x14ac:dyDescent="0.25">
      <c r="A440" s="1" t="s">
        <v>36</v>
      </c>
      <c r="C440" s="30" t="s">
        <v>51</v>
      </c>
      <c r="D440" s="30" t="s">
        <v>114</v>
      </c>
      <c r="E440" s="30" t="s">
        <v>62</v>
      </c>
      <c r="F440" s="30" t="s">
        <v>63</v>
      </c>
      <c r="G440" s="40" t="s">
        <v>65</v>
      </c>
      <c r="H440" s="40" t="s">
        <v>66</v>
      </c>
      <c r="I440" s="40" t="s">
        <v>67</v>
      </c>
      <c r="J440" s="40" t="s">
        <v>68</v>
      </c>
      <c r="K440" s="40" t="s">
        <v>69</v>
      </c>
    </row>
    <row r="441" spans="1:16" hidden="1" outlineLevel="1" x14ac:dyDescent="0.25">
      <c r="C441" s="14" t="s">
        <v>387</v>
      </c>
      <c r="D441" s="14" t="s">
        <v>138</v>
      </c>
      <c r="E441" s="14" t="s">
        <v>71</v>
      </c>
      <c r="F441" s="14" t="s">
        <v>139</v>
      </c>
      <c r="G441" s="41" cm="1">
        <f t="array" ref="G44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item]],0),MATCH($D$267,Inputs!$C$15:$AZ$15,0))+
INDEX(Input_ForRateCalc[],MATCH(Calc_Retail_2[[#This Row],[Cost item]:[Cost item]]&amp;" - 5 min settlement allowance",Input_ForRateCalc[[Cost item]:[Cost item]],0),MATCH($D$267,Inputs!$C$15:$AZ$15,0))+
INDEX(Input_ForRateCalc[],MATCH(Calc_Retail_2[[#This Row],[Cost item]:[Cost item]]&amp;" - regulatory cost allowance",Input_ForRateCalc[[Cost item]:[Cost item]],0),MATCH($D$267,Inputs!$C$15:$AZ$15,0))+
INDEX(Input_ForRateCalc[],MATCH(Calc_Retail_2[[#This Row],[Cost item]:[Cost item]]&amp;" - bad debt allowance",Input_ForRateCalc[[Cost item]:[Cost item]],0),MATCH($D$267,Inputs!$C$15:$AZ$15,0)),"-")</f>
        <v>132.03216494845361</v>
      </c>
      <c r="H441" s="41" cm="1">
        <f t="array" ref="H44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item]],0),MATCH($D$267,Inputs!$C$15:$AZ$15,0))+
INDEX(Input_ForRateCalc[],MATCH(Calc_Retail_2[[#This Row],[Cost item]:[Cost item]]&amp;" - 5 min settlement allowance",Input_ForRateCalc[[Cost item]:[Cost item]],0),MATCH($D$267,Inputs!$C$15:$AZ$15,0))+
INDEX(Input_ForRateCalc[],MATCH(Calc_Retail_2[[#This Row],[Cost item]:[Cost item]]&amp;" - regulatory cost allowance",Input_ForRateCalc[[Cost item]:[Cost item]],0),MATCH($D$267,Inputs!$C$15:$AZ$15,0))+
INDEX(Input_ForRateCalc[],MATCH(Calc_Retail_2[[#This Row],[Cost item]:[Cost item]]&amp;" - bad debt allowance",Input_ForRateCalc[[Cost item]:[Cost item]],0),MATCH($D$267,Inputs!$C$15:$AZ$15,0)),"-")</f>
        <v>132.03216494845361</v>
      </c>
      <c r="I441" s="41" cm="1">
        <f t="array" ref="I44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item]],0),MATCH($D$267,Inputs!$C$15:$AZ$15,0))+
INDEX(Input_ForRateCalc[],MATCH(Calc_Retail_2[[#This Row],[Cost item]:[Cost item]]&amp;" - 5 min settlement allowance",Input_ForRateCalc[[Cost item]:[Cost item]],0),MATCH($D$267,Inputs!$C$15:$AZ$15,0))+
INDEX(Input_ForRateCalc[],MATCH(Calc_Retail_2[[#This Row],[Cost item]:[Cost item]]&amp;" - regulatory cost allowance",Input_ForRateCalc[[Cost item]:[Cost item]],0),MATCH($D$267,Inputs!$C$15:$AZ$15,0))+
INDEX(Input_ForRateCalc[],MATCH(Calc_Retail_2[[#This Row],[Cost item]:[Cost item]]&amp;" - bad debt allowance",Input_ForRateCalc[[Cost item]:[Cost item]],0),MATCH($D$267,Inputs!$C$15:$AZ$15,0)),"-")</f>
        <v>132.03216494845361</v>
      </c>
      <c r="J441" s="41" cm="1">
        <f t="array" ref="J44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item]],0),MATCH($D$267,Inputs!$C$15:$AZ$15,0))+
INDEX(Input_ForRateCalc[],MATCH(Calc_Retail_2[[#This Row],[Cost item]:[Cost item]]&amp;" - 5 min settlement allowance",Input_ForRateCalc[[Cost item]:[Cost item]],0),MATCH($D$267,Inputs!$C$15:$AZ$15,0))+
INDEX(Input_ForRateCalc[],MATCH(Calc_Retail_2[[#This Row],[Cost item]:[Cost item]]&amp;" - regulatory cost allowance",Input_ForRateCalc[[Cost item]:[Cost item]],0),MATCH($D$267,Inputs!$C$15:$AZ$15,0))+
INDEX(Input_ForRateCalc[],MATCH(Calc_Retail_2[[#This Row],[Cost item]:[Cost item]]&amp;" - bad debt allowance",Input_ForRateCalc[[Cost item]:[Cost item]],0),MATCH($D$267,Inputs!$C$15:$AZ$15,0)),"-")</f>
        <v>132.03216494845361</v>
      </c>
      <c r="K441" s="41" cm="1">
        <f t="array" ref="K441">IFERROR(
IFERROR(INDEX(Calc_CPI_2[[CPI uplift factor]:[CPI uplift factor]],MATCH(Calc_Retail_2[[#This Row],[Cost item]:[Cost item]]&amp;" - base",Calc_CPI_2[[Cost item]:[Cost item]],0),1),0)+
IFERROR(INDEX(Calc_CPI_2[[CPI uplift factor]:[CPI uplift factor]],MATCH(Calc_Retail_2[[#This Row],[Cost item]:[Cost item]]&amp;" - consumer data right allowance",Calc_CPI_2[[Cost item]:[Cost item]],0),1),0)+
INDEX(Input_ForRateCalc[],MATCH(Calc_Retail_2[[#This Row],[Cost item]:[Cost item]]&amp;" - base",Input_ForRateCalc[[Cost item]:[Cost item]],0),MATCH($D$267,Inputs!$C$15:$AZ$15,0))+
INDEX(Input_ForRateCalc[],MATCH(Calc_Retail_2[[#This Row],[Cost item]:[Cost item]]&amp;" - 5 min settlement allowance",Input_ForRateCalc[[Cost item]:[Cost item]],0),MATCH($D$267,Inputs!$C$15:$AZ$15,0))+
INDEX(Input_ForRateCalc[],MATCH(Calc_Retail_2[[#This Row],[Cost item]:[Cost item]]&amp;" - regulatory cost allowance",Input_ForRateCalc[[Cost item]:[Cost item]],0),MATCH($D$267,Inputs!$C$15:$AZ$15,0))+
INDEX(Input_ForRateCalc[],MATCH(Calc_Retail_2[[#This Row],[Cost item]:[Cost item]]&amp;" - bad debt allowance",Input_ForRateCalc[[Cost item]:[Cost item]],0),MATCH($D$267,Inputs!$C$15:$AZ$15,0)),"-")</f>
        <v>132.03216494845361</v>
      </c>
    </row>
    <row r="442" spans="1:16" hidden="1" outlineLevel="1" x14ac:dyDescent="0.25">
      <c r="C442" s="31" t="s">
        <v>144</v>
      </c>
      <c r="D442" s="31" t="s">
        <v>138</v>
      </c>
      <c r="E442" s="14" t="s">
        <v>71</v>
      </c>
      <c r="F442" s="14" t="s">
        <v>139</v>
      </c>
      <c r="G442" s="41" cm="1">
        <f t="array" ref="G442">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H442" s="41" cm="1">
        <f t="array" ref="H442">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I442" s="41" cm="1">
        <f t="array" ref="I442">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J442" s="41" cm="1">
        <f t="array" ref="J442">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c r="K442" s="41" cm="1">
        <f t="array" ref="K442">IFERROR(
IFERROR(INDEX(Calc_CPI_2[[CPI uplift factor]:[CPI uplift factor]],MATCH(Calc_Retail_2[[#This Row],[Cost item]:[Cost item]],Calc_CPI_1[[Cost item]:[Cost item]],0),1),0)+
INDEX(Input_ForRateCalc[],MATCH(Calc_Retail_2[[#This Row],[Cost item]:[Cost item]],Input_ForRateCalc[[Cost item]:[Cost item]],0),MATCH($D$5,Inputs!$C$15:$AZ$15,0)),"-")</f>
        <v>43.89198606271777</v>
      </c>
    </row>
    <row r="443" spans="1:16" hidden="1" x14ac:dyDescent="0.25"/>
    <row r="444" spans="1:16" ht="16.5" hidden="1" collapsed="1" thickBot="1" x14ac:dyDescent="0.3">
      <c r="B444" s="155">
        <f ca="1">MAX(B$3:B443)+0.01</f>
        <v>13.109999999999998</v>
      </c>
      <c r="C444" s="19" t="s">
        <v>147</v>
      </c>
      <c r="D444" s="19"/>
      <c r="E444" s="19"/>
      <c r="F444" s="19"/>
      <c r="G444" s="19"/>
      <c r="H444" s="19"/>
      <c r="I444" s="19"/>
      <c r="J444" s="19"/>
      <c r="K444" s="19"/>
    </row>
    <row r="445" spans="1:16" hidden="1" outlineLevel="1" x14ac:dyDescent="0.25"/>
    <row r="446" spans="1:16" ht="15.75" hidden="1" outlineLevel="1" x14ac:dyDescent="0.25">
      <c r="C446" s="30" t="s">
        <v>51</v>
      </c>
      <c r="D446" s="30" t="s">
        <v>114</v>
      </c>
      <c r="E446" s="30" t="s">
        <v>62</v>
      </c>
      <c r="F446" s="30" t="s">
        <v>63</v>
      </c>
      <c r="G446" s="40" t="s">
        <v>65</v>
      </c>
      <c r="H446" s="40" t="s">
        <v>66</v>
      </c>
      <c r="I446" s="40" t="s">
        <v>67</v>
      </c>
      <c r="J446" s="40" t="s">
        <v>68</v>
      </c>
      <c r="K446" s="40" t="s">
        <v>69</v>
      </c>
    </row>
    <row r="447" spans="1:16" hidden="1" outlineLevel="1" x14ac:dyDescent="0.25">
      <c r="C447" s="14" t="s">
        <v>148</v>
      </c>
      <c r="D447" s="14" t="s">
        <v>138</v>
      </c>
      <c r="E447" s="14" t="s">
        <v>71</v>
      </c>
      <c r="F447" s="14" t="s">
        <v>139</v>
      </c>
      <c r="G447" s="41" cm="1">
        <f t="array" ref="G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2.2626563214754314</v>
      </c>
      <c r="H447" s="41" cm="1">
        <f t="array" ref="H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2.2626563214754314</v>
      </c>
      <c r="I447" s="41" cm="1">
        <f t="array" ref="I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2.2626563214754314</v>
      </c>
      <c r="J447" s="41" cm="1">
        <f t="array" ref="J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2.2626563214754314</v>
      </c>
      <c r="K447" s="41" cm="1">
        <f t="array" ref="K44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2.2626563214754314</v>
      </c>
      <c r="M447" s="61"/>
      <c r="N447" s="61"/>
      <c r="P447" s="132"/>
    </row>
    <row r="448" spans="1:16" hidden="1" outlineLevel="1" x14ac:dyDescent="0.25">
      <c r="C448" s="14" t="s">
        <v>149</v>
      </c>
      <c r="D448" s="14" t="s">
        <v>138</v>
      </c>
      <c r="E448" s="14" t="s">
        <v>71</v>
      </c>
      <c r="F448" s="14" t="s">
        <v>139</v>
      </c>
      <c r="G448" s="41" cm="1">
        <f t="array" ref="G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H448" s="41" cm="1">
        <f t="array" ref="H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I448" s="41" cm="1">
        <f t="array" ref="I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J448" s="41" cm="1">
        <f t="array" ref="J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K448" s="41" cm="1">
        <f t="array" ref="K44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M448" s="61"/>
      <c r="N448" s="61"/>
      <c r="P448" s="132"/>
    </row>
    <row r="449" spans="1:16" hidden="1" outlineLevel="1" x14ac:dyDescent="0.25">
      <c r="C449" s="39" t="s">
        <v>150</v>
      </c>
      <c r="D449" s="14" t="s">
        <v>138</v>
      </c>
      <c r="E449" s="14" t="s">
        <v>151</v>
      </c>
      <c r="F449" s="14" t="s">
        <v>139</v>
      </c>
      <c r="G449" s="41" cm="1">
        <f t="array" ref="G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0.65879999999999994</v>
      </c>
      <c r="H449" s="41" cm="1">
        <f t="array" ref="H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0.65879999999999994</v>
      </c>
      <c r="I449" s="41" cm="1">
        <f t="array" ref="I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0.65879999999999994</v>
      </c>
      <c r="J449" s="41" cm="1">
        <f t="array" ref="J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0.65879999999999994</v>
      </c>
      <c r="K449" s="41" cm="1">
        <f t="array" ref="K44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0.65879999999999994</v>
      </c>
      <c r="M449" s="61"/>
      <c r="N449" s="61"/>
      <c r="P449" s="132"/>
    </row>
    <row r="450" spans="1:16" hidden="1" outlineLevel="1" x14ac:dyDescent="0.25">
      <c r="C450" s="14" t="s">
        <v>152</v>
      </c>
      <c r="D450" s="14" t="s">
        <v>138</v>
      </c>
      <c r="E450" s="14" t="s">
        <v>151</v>
      </c>
      <c r="F450" s="14" t="s">
        <v>139</v>
      </c>
      <c r="G450" s="41" cm="1">
        <f t="array" ref="G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1.3081885714285715</v>
      </c>
      <c r="H450" s="41" cm="1">
        <f t="array" ref="H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1.3081885714285715</v>
      </c>
      <c r="I450" s="41" cm="1">
        <f t="array" ref="I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1.3081885714285715</v>
      </c>
      <c r="J450" s="41" cm="1">
        <f t="array" ref="J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1.3081885714285715</v>
      </c>
      <c r="K450" s="41" cm="1">
        <f t="array" ref="K45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1.3081885714285715</v>
      </c>
      <c r="M450" s="61"/>
      <c r="N450" s="61"/>
      <c r="P450" s="132"/>
    </row>
    <row r="451" spans="1:16" ht="15.75" hidden="1" outlineLevel="1" collapsed="1" x14ac:dyDescent="0.25">
      <c r="A451" s="1" t="s">
        <v>36</v>
      </c>
      <c r="C451" s="14" t="s">
        <v>214</v>
      </c>
      <c r="D451" s="14" t="s">
        <v>184</v>
      </c>
      <c r="E451" s="14" t="s">
        <v>75</v>
      </c>
      <c r="F451" s="14" t="s">
        <v>139</v>
      </c>
      <c r="G451" s="41" cm="1">
        <f t="array" ref="G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2.8255000000000001E-4</v>
      </c>
      <c r="H451" s="41" cm="1">
        <f t="array" ref="H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2.8255000000000001E-4</v>
      </c>
      <c r="I451" s="41" cm="1">
        <f t="array" ref="I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2.8255000000000001E-4</v>
      </c>
      <c r="J451" s="41" cm="1">
        <f t="array" ref="J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2.8255000000000001E-4</v>
      </c>
      <c r="K451" s="41" cm="1">
        <f t="array" ref="K45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2.8255000000000001E-4</v>
      </c>
      <c r="M451" s="61"/>
      <c r="N451" s="61"/>
      <c r="O451" s="61"/>
      <c r="P451" s="132"/>
    </row>
    <row r="452" spans="1:16" hidden="1" outlineLevel="1" x14ac:dyDescent="0.25">
      <c r="C452" s="14" t="s">
        <v>216</v>
      </c>
      <c r="D452" s="14" t="s">
        <v>184</v>
      </c>
      <c r="E452" s="14" t="s">
        <v>75</v>
      </c>
      <c r="F452" s="14" t="s">
        <v>139</v>
      </c>
      <c r="G452" s="41" cm="1">
        <f t="array" ref="G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H452" s="41" cm="1">
        <f t="array" ref="H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I452" s="41" cm="1">
        <f t="array" ref="I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J452" s="41" cm="1">
        <f t="array" ref="J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K452" s="41" cm="1">
        <f t="array" ref="K452">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M452" s="61"/>
      <c r="N452" s="61"/>
      <c r="O452" s="61"/>
      <c r="P452" s="132"/>
    </row>
    <row r="453" spans="1:16" hidden="1" outlineLevel="1" x14ac:dyDescent="0.25">
      <c r="C453" s="14" t="s">
        <v>218</v>
      </c>
      <c r="D453" s="14" t="s">
        <v>184</v>
      </c>
      <c r="E453" s="14" t="s">
        <v>75</v>
      </c>
      <c r="F453" s="14" t="s">
        <v>139</v>
      </c>
      <c r="G453" s="41" cm="1">
        <f t="array" ref="G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9.9959999999999998E-5</v>
      </c>
      <c r="H453" s="41" cm="1">
        <f t="array" ref="H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9.9959999999999998E-5</v>
      </c>
      <c r="I453" s="41" cm="1">
        <f t="array" ref="I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9.9959999999999998E-5</v>
      </c>
      <c r="J453" s="41" cm="1">
        <f t="array" ref="J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9.9959999999999998E-5</v>
      </c>
      <c r="K453" s="41" cm="1">
        <f t="array" ref="K453">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9.9959999999999998E-5</v>
      </c>
      <c r="M453" s="61"/>
      <c r="N453" s="61"/>
      <c r="O453" s="61"/>
      <c r="P453" s="132"/>
    </row>
    <row r="454" spans="1:16" hidden="1" outlineLevel="1" x14ac:dyDescent="0.25">
      <c r="C454" s="14" t="s">
        <v>219</v>
      </c>
      <c r="D454" s="14" t="s">
        <v>184</v>
      </c>
      <c r="E454" s="14" t="s">
        <v>75</v>
      </c>
      <c r="F454" s="14" t="s">
        <v>139</v>
      </c>
      <c r="G454" s="41" cm="1">
        <f t="array" ref="G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1.184E-5</v>
      </c>
      <c r="H454" s="41" cm="1">
        <f t="array" ref="H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1.184E-5</v>
      </c>
      <c r="I454" s="41" cm="1">
        <f t="array" ref="I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1.184E-5</v>
      </c>
      <c r="J454" s="41" cm="1">
        <f t="array" ref="J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1.184E-5</v>
      </c>
      <c r="K454" s="41" cm="1">
        <f t="array" ref="K454">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1.184E-5</v>
      </c>
      <c r="M454" s="61"/>
      <c r="N454" s="61"/>
      <c r="O454" s="61"/>
      <c r="P454" s="132"/>
    </row>
    <row r="455" spans="1:16" hidden="1" outlineLevel="1" x14ac:dyDescent="0.25">
      <c r="C455" s="31" t="s">
        <v>217</v>
      </c>
      <c r="D455" s="31" t="s">
        <v>184</v>
      </c>
      <c r="E455" s="14" t="s">
        <v>75</v>
      </c>
      <c r="F455" s="14" t="s">
        <v>139</v>
      </c>
      <c r="G455" s="41" cm="1">
        <f t="array" ref="G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4.8372136646610019E-4</v>
      </c>
      <c r="H455" s="41" cm="1">
        <f t="array" ref="H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4.8372136646610019E-4</v>
      </c>
      <c r="I455" s="41" cm="1">
        <f t="array" ref="I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4.8372136646610019E-4</v>
      </c>
      <c r="J455" s="41" cm="1">
        <f t="array" ref="J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4.8372136646610019E-4</v>
      </c>
      <c r="K455" s="41" cm="1">
        <f t="array" ref="K455">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4.8372136646610019E-4</v>
      </c>
      <c r="M455" s="61"/>
      <c r="N455" s="61"/>
      <c r="O455" s="61"/>
      <c r="P455" s="132"/>
    </row>
    <row r="456" spans="1:16" hidden="1" outlineLevel="1" x14ac:dyDescent="0.25">
      <c r="C456" s="14" t="s">
        <v>153</v>
      </c>
      <c r="D456" s="14" t="s">
        <v>138</v>
      </c>
      <c r="E456" s="14" t="s">
        <v>151</v>
      </c>
      <c r="F456" s="14" t="s">
        <v>139</v>
      </c>
      <c r="G456" s="41" cm="1">
        <f t="array" ref="G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4.6100314285714283</v>
      </c>
      <c r="H456" s="41" cm="1">
        <f t="array" ref="H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4.6100314285714283</v>
      </c>
      <c r="I456" s="41" cm="1">
        <f t="array" ref="I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4.6100314285714283</v>
      </c>
      <c r="J456" s="41" cm="1">
        <f t="array" ref="J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4.6100314285714283</v>
      </c>
      <c r="K456" s="41" cm="1">
        <f t="array" ref="K456">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4.6100314285714283</v>
      </c>
      <c r="M456" s="61"/>
      <c r="N456" s="61"/>
      <c r="O456" s="61"/>
      <c r="P456" s="132"/>
    </row>
    <row r="457" spans="1:16" hidden="1" outlineLevel="1" x14ac:dyDescent="0.25">
      <c r="C457" s="14" t="s">
        <v>154</v>
      </c>
      <c r="D457" s="14" t="s">
        <v>138</v>
      </c>
      <c r="E457" s="14" t="s">
        <v>151</v>
      </c>
      <c r="F457" s="14" t="s">
        <v>139</v>
      </c>
      <c r="G457" s="41" cm="1">
        <f t="array" ref="G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0.19345714285714286</v>
      </c>
      <c r="H457" s="41" cm="1">
        <f t="array" ref="H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0.19345714285714286</v>
      </c>
      <c r="I457" s="41" cm="1">
        <f t="array" ref="I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0.19345714285714286</v>
      </c>
      <c r="J457" s="41" cm="1">
        <f t="array" ref="J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0.19345714285714286</v>
      </c>
      <c r="K457" s="41" cm="1">
        <f t="array" ref="K457">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0.19345714285714286</v>
      </c>
      <c r="M457" s="61"/>
      <c r="N457" s="61"/>
      <c r="O457" s="61"/>
      <c r="P457" s="132"/>
    </row>
    <row r="458" spans="1:16" hidden="1" outlineLevel="1" x14ac:dyDescent="0.25">
      <c r="C458" s="14" t="s">
        <v>155</v>
      </c>
      <c r="D458" s="14" t="s">
        <v>138</v>
      </c>
      <c r="E458" s="14" t="s">
        <v>151</v>
      </c>
      <c r="F458" s="14" t="s">
        <v>139</v>
      </c>
      <c r="G458" s="41" cm="1">
        <f t="array" ref="G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1.6307914285714284</v>
      </c>
      <c r="H458" s="41" cm="1">
        <f t="array" ref="H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1.6307914285714284</v>
      </c>
      <c r="I458" s="41" cm="1">
        <f t="array" ref="I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1.6307914285714284</v>
      </c>
      <c r="J458" s="41" cm="1">
        <f t="array" ref="J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1.6307914285714284</v>
      </c>
      <c r="K458" s="41" cm="1">
        <f t="array" ref="K458">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1.6307914285714284</v>
      </c>
      <c r="M458" s="61"/>
      <c r="N458" s="61"/>
      <c r="O458" s="61"/>
      <c r="P458" s="132"/>
    </row>
    <row r="459" spans="1:16" hidden="1" outlineLevel="1" x14ac:dyDescent="0.25">
      <c r="C459" s="14" t="s">
        <v>221</v>
      </c>
      <c r="D459" s="14" t="s">
        <v>184</v>
      </c>
      <c r="E459" s="14" t="s">
        <v>75</v>
      </c>
      <c r="F459" s="14" t="s">
        <v>139</v>
      </c>
      <c r="G459" s="41" cm="1">
        <f t="array" ref="G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6.7748437528737052E-4</v>
      </c>
      <c r="H459" s="41" cm="1">
        <f t="array" ref="H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6.7748437528737052E-4</v>
      </c>
      <c r="I459" s="41" cm="1">
        <f t="array" ref="I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6.7748437528737052E-4</v>
      </c>
      <c r="J459" s="41" cm="1">
        <f t="array" ref="J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6.7748437528737052E-4</v>
      </c>
      <c r="K459" s="41" cm="1">
        <f t="array" ref="K459">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6.7748437528737052E-4</v>
      </c>
      <c r="M459" s="61"/>
      <c r="N459" s="61"/>
      <c r="O459" s="61"/>
      <c r="P459" s="132"/>
    </row>
    <row r="460" spans="1:16" hidden="1" outlineLevel="1" x14ac:dyDescent="0.25">
      <c r="C460" s="14" t="s">
        <v>222</v>
      </c>
      <c r="D460" s="14" t="s">
        <v>184</v>
      </c>
      <c r="E460" s="14" t="s">
        <v>75</v>
      </c>
      <c r="F460" s="14" t="s">
        <v>139</v>
      </c>
      <c r="G460" s="41" cm="1">
        <f t="array" ref="G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1.2361749867236574E-4</v>
      </c>
      <c r="H460" s="41" cm="1">
        <f t="array" ref="H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1.2361749867236574E-4</v>
      </c>
      <c r="I460" s="41" cm="1">
        <f t="array" ref="I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1.2361749867236574E-4</v>
      </c>
      <c r="J460" s="41" cm="1">
        <f t="array" ref="J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1.2361749867236574E-4</v>
      </c>
      <c r="K460" s="41" cm="1">
        <f t="array" ref="K460">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1.2361749867236574E-4</v>
      </c>
      <c r="M460" s="61"/>
      <c r="N460" s="61"/>
      <c r="O460" s="61"/>
      <c r="P460" s="132"/>
    </row>
    <row r="461" spans="1:16" hidden="1" outlineLevel="1" x14ac:dyDescent="0.25">
      <c r="C461" s="31" t="s">
        <v>223</v>
      </c>
      <c r="D461" s="31" t="s">
        <v>184</v>
      </c>
      <c r="E461" s="31" t="s">
        <v>75</v>
      </c>
      <c r="F461" s="31" t="s">
        <v>139</v>
      </c>
      <c r="G461" s="49" cm="1">
        <f t="array" ref="G46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H461" s="49" cm="1">
        <f t="array" ref="H46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I461" s="49" cm="1">
        <f t="array" ref="I46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J461" s="49" cm="1">
        <f t="array" ref="J46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K461" s="49" cm="1">
        <f t="array" ref="K461">IFERROR(
IF(Calc_OtherCosts_2[[#This Row],[Fixed/Variable]:[Fixed/Variable]]="Fixed",
(IFERROR(INDEX(Calc_CPI_2[[CPI uplift factor]:[CPI uplift factor]],MATCH(Calc_OtherCosts_2[[#This Row],[Cost item]:[Cost item]],Calc_CPI_2[[Cost item]:[Cost item]],0),1),0)+
INDEX(Input_ForRateCalc[],MATCH(Calc_OtherCosts_2[[#This Row],[Cost item]:[Cost item]],Input_ForRateCalc[[Cost item]:[Cost item]],0),MATCH($D$267,Inputs!$C$15:$AZ$15,0)))*IF(Calc_OtherCosts_2[[#This Row],[Unit]:[Unit]]="$",1,IF(Calc_OtherCosts_2[[#This Row],[Unit]:[Unit]]="$/week",WiPY)),
(IFERROR(INDEX(Calc_CPI_2[[CPI uplift factor]:[CPI uplift factor]],MATCH(Calc_OtherCosts_2[[#This Row],[Cost item]:[Cost item]],Calc_CPI_2[[Cost item]:[Cost item]],0),1),0)+
INDEX(Input_ForRateCalc[],MATCH(Calc_OtherCosts_2[[#This Row],[Cost item]:[Cost item]],Input_ForRateCalc[[Cost item]:[Cost item]],0),MATCH($D$267,Inputs!$C$15:$AZ$15,0)))/1000),"-")</f>
        <v>0</v>
      </c>
      <c r="M461" s="61"/>
      <c r="N461" s="61"/>
      <c r="O461" s="61"/>
      <c r="P461" s="132"/>
    </row>
    <row r="462" spans="1:16" hidden="1" x14ac:dyDescent="0.25"/>
    <row r="463" spans="1:16" ht="16.5" hidden="1" collapsed="1" thickBot="1" x14ac:dyDescent="0.3">
      <c r="B463" s="155">
        <f ca="1">MAX(B$3:B462)+0.01</f>
        <v>13.119999999999997</v>
      </c>
      <c r="C463" s="19" t="s">
        <v>87</v>
      </c>
      <c r="D463" s="19"/>
      <c r="E463" s="19"/>
      <c r="F463" s="19"/>
      <c r="G463" s="19"/>
      <c r="H463" s="19"/>
      <c r="I463" s="19"/>
      <c r="J463" s="19"/>
      <c r="K463" s="19"/>
      <c r="N463" s="61"/>
    </row>
    <row r="464" spans="1:16" hidden="1" outlineLevel="1" x14ac:dyDescent="0.25"/>
    <row r="465" spans="3:11" ht="15.75" hidden="1" outlineLevel="1" x14ac:dyDescent="0.25">
      <c r="C465" s="20" t="s">
        <v>388</v>
      </c>
    </row>
    <row r="466" spans="3:11" ht="15.75" hidden="1" outlineLevel="1" x14ac:dyDescent="0.25">
      <c r="C466" s="30" t="s">
        <v>51</v>
      </c>
      <c r="D466" s="30" t="s">
        <v>114</v>
      </c>
      <c r="E466" s="30" t="s">
        <v>62</v>
      </c>
      <c r="F466" s="30" t="s">
        <v>63</v>
      </c>
      <c r="G466" s="40" t="s">
        <v>65</v>
      </c>
      <c r="H466" s="40" t="s">
        <v>66</v>
      </c>
      <c r="I466" s="40" t="s">
        <v>67</v>
      </c>
      <c r="J466" s="40" t="s">
        <v>68</v>
      </c>
      <c r="K466" s="40" t="s">
        <v>69</v>
      </c>
    </row>
    <row r="467" spans="3:11" hidden="1" outlineLevel="1" x14ac:dyDescent="0.25">
      <c r="C467" s="14" t="s">
        <v>70</v>
      </c>
      <c r="D467" s="14" t="s">
        <v>138</v>
      </c>
      <c r="E467" s="14" t="s">
        <v>157</v>
      </c>
      <c r="F467" s="14" t="s">
        <v>72</v>
      </c>
      <c r="G467" s="91" cm="1">
        <f t="array" ref="G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item]],0),MATCH($D$267,Inputs!$C$15:$AZ$15,0)),"-")</f>
        <v>132.87190000000001</v>
      </c>
      <c r="H467" s="91" cm="1">
        <f t="array" ref="H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item]],0),MATCH($D$267,Inputs!$C$15:$AZ$15,0)),"-")</f>
        <v>90.255600000000001</v>
      </c>
      <c r="I467" s="91" cm="1">
        <f t="array" ref="I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item]],0),MATCH($D$267,Inputs!$C$15:$AZ$15,0)),"-")</f>
        <v>96.846999999999994</v>
      </c>
      <c r="J467" s="91" cm="1">
        <f t="array" ref="J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item]],0),MATCH($D$267,Inputs!$C$15:$AZ$15,0)),"-")</f>
        <v>140.36100000000002</v>
      </c>
      <c r="K467" s="91" cm="1">
        <f t="array" ref="K467">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item]],0),MATCH($D$267,Inputs!$C$15:$AZ$15,0)),"-")</f>
        <v>90.218999999999994</v>
      </c>
    </row>
    <row r="468" spans="3:11" hidden="1" outlineLevel="1" x14ac:dyDescent="0.25">
      <c r="C468" s="14" t="s">
        <v>70</v>
      </c>
      <c r="D468" s="14" t="s">
        <v>138</v>
      </c>
      <c r="E468" s="14" t="s">
        <v>157</v>
      </c>
      <c r="F468" s="14" t="s">
        <v>73</v>
      </c>
      <c r="G468" s="91" cm="1">
        <f t="array" ref="G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item]],0),MATCH($D$267,Inputs!$C$15:$AZ$15,0)),"-")</f>
        <v>132.87190000000001</v>
      </c>
      <c r="H468" s="91" cm="1">
        <f t="array" ref="H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item]],0),MATCH($D$267,Inputs!$C$15:$AZ$15,0)),"-")</f>
        <v>150.42600000000002</v>
      </c>
      <c r="I468" s="91" cm="1">
        <f t="array" ref="I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item]],0),MATCH($D$267,Inputs!$C$15:$AZ$15,0)),"-")</f>
        <v>147.858</v>
      </c>
      <c r="J468" s="91" cm="1">
        <f t="array" ref="J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item]],0),MATCH($D$267,Inputs!$C$15:$AZ$15,0)),"-")</f>
        <v>180.47460000000001</v>
      </c>
      <c r="K468" s="91" cm="1">
        <f t="array" ref="K468">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item]],0),MATCH($D$267,Inputs!$C$15:$AZ$15,0)),"-")</f>
        <v>140.36100000000002</v>
      </c>
    </row>
    <row r="469" spans="3:11" hidden="1" outlineLevel="1" x14ac:dyDescent="0.25">
      <c r="C469" s="14" t="s">
        <v>78</v>
      </c>
      <c r="D469" s="14" t="s">
        <v>138</v>
      </c>
      <c r="E469" s="14" t="s">
        <v>157</v>
      </c>
      <c r="F469" s="14" t="s">
        <v>72</v>
      </c>
      <c r="G469" s="91" cm="1">
        <f t="array" ref="G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item]],0),MATCH($D$267,Inputs!$C$15:$AZ$15,0)),"-")</f>
        <v>132.87190000000001</v>
      </c>
      <c r="H469" s="91" cm="1">
        <f t="array" ref="H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item]],0),MATCH($D$267,Inputs!$C$15:$AZ$15,0)),"-")</f>
        <v>90.255600000000001</v>
      </c>
      <c r="I469" s="91" cm="1">
        <f t="array" ref="I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item]],0),MATCH($D$267,Inputs!$C$15:$AZ$15,0)),"-")</f>
        <v>96.846999999999994</v>
      </c>
      <c r="J469" s="91" cm="1">
        <f t="array" ref="J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item]],0),MATCH($D$267,Inputs!$C$15:$AZ$15,0)),"-")</f>
        <v>140.36100000000002</v>
      </c>
      <c r="K469" s="91" cm="1">
        <f t="array" ref="K469">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item]],0),MATCH($D$267,Inputs!$C$15:$AZ$15,0)),"-")</f>
        <v>90.218999999999994</v>
      </c>
    </row>
    <row r="470" spans="3:11" hidden="1" outlineLevel="1" x14ac:dyDescent="0.25">
      <c r="C470" s="14" t="s">
        <v>78</v>
      </c>
      <c r="D470" s="14" t="s">
        <v>138</v>
      </c>
      <c r="E470" s="14" t="s">
        <v>157</v>
      </c>
      <c r="F470" s="14" t="s">
        <v>73</v>
      </c>
      <c r="G470" s="91" cm="1">
        <f t="array" ref="G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item]],0),MATCH($D$267,Inputs!$C$15:$AZ$15,0)),"-")</f>
        <v>132.87190000000001</v>
      </c>
      <c r="H470" s="91" cm="1">
        <f t="array" ref="H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item]],0),MATCH($D$267,Inputs!$C$15:$AZ$15,0)),"-")</f>
        <v>150.42600000000002</v>
      </c>
      <c r="I470" s="91" cm="1">
        <f t="array" ref="I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item]],0),MATCH($D$267,Inputs!$C$15:$AZ$15,0)),"-")</f>
        <v>265.79300000000001</v>
      </c>
      <c r="J470" s="91" cm="1">
        <f t="array" ref="J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item]],0),MATCH($D$267,Inputs!$C$15:$AZ$15,0)),"-")</f>
        <v>180.47460000000001</v>
      </c>
      <c r="K470" s="91" cm="1">
        <f t="array" ref="K470">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item]],0),MATCH($D$267,Inputs!$C$15:$AZ$15,0)),"-")</f>
        <v>140.36100000000002</v>
      </c>
    </row>
    <row r="471" spans="3:11" hidden="1" outlineLevel="1" x14ac:dyDescent="0.25">
      <c r="C471" s="31" t="s">
        <v>363</v>
      </c>
      <c r="D471" s="31" t="s">
        <v>138</v>
      </c>
      <c r="E471" s="14" t="s">
        <v>157</v>
      </c>
      <c r="F471" s="14" t="s">
        <v>139</v>
      </c>
      <c r="G471" s="91" cm="1">
        <f t="array" ref="G47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"&amp;Calc_NetworkF_2[[#Headers],[Ausnet]],
Calc_NetworkF_2[[#This Row],[Cost item]:[Cost item]]&amp;" charge - "&amp;IF(Calc_NetworkF_2[[#This Row],[Customer type]:[Customer type]]="Residential","RES - ","SME - ")&amp;Calc_NetworkF_2[[#Headers],[Ausnet]]),Input_ForRateCalc[[Cost item]:[Cost item]],0),MATCH($D$267,Inputs!$C$15:$AZ$15,0)),"-")</f>
        <v>81.098642274190084</v>
      </c>
      <c r="H471" s="91" cm="1">
        <f t="array" ref="H47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"&amp;Calc_NetworkF_2[[#Headers],[Citipower]],
Calc_NetworkF_2[[#This Row],[Cost item]:[Cost item]]&amp;" charge - "&amp;IF(Calc_NetworkF_2[[#This Row],[Customer type]:[Customer type]]="Residential","RES - ","SME - ")&amp;Calc_NetworkF_2[[#Headers],[Citipower]]),Input_ForRateCalc[[Cost item]:[Cost item]],0),MATCH($D$267,Inputs!$C$15:$AZ$15,0)),"-")</f>
        <v>69.333895686956055</v>
      </c>
      <c r="I471" s="91" cm="1">
        <f t="array" ref="I47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"&amp;Calc_NetworkF_2[[#Headers],[Jemena]],
Calc_NetworkF_2[[#This Row],[Cost item]:[Cost item]]&amp;" charge - "&amp;IF(Calc_NetworkF_2[[#This Row],[Customer type]:[Customer type]]="Residential","RES - ","SME - ")&amp;Calc_NetworkF_2[[#Headers],[Jemena]]),Input_ForRateCalc[[Cost item]:[Cost item]],0),MATCH($D$267,Inputs!$C$15:$AZ$15,0)),"-")</f>
        <v>60.012342755043747</v>
      </c>
      <c r="J471" s="91" cm="1">
        <f t="array" ref="J47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"&amp;Calc_NetworkF_2[[#Headers],[Powercor]],
Calc_NetworkF_2[[#This Row],[Cost item]:[Cost item]]&amp;" charge - "&amp;IF(Calc_NetworkF_2[[#This Row],[Customer type]:[Customer type]]="Residential","RES - ","SME - ")&amp;Calc_NetworkF_2[[#Headers],[Powercor]]),Input_ForRateCalc[[Cost item]:[Cost item]],0),MATCH($D$267,Inputs!$C$15:$AZ$15,0)),"-")</f>
        <v>65.762555105520235</v>
      </c>
      <c r="K471" s="91" cm="1">
        <f t="array" ref="K471">IFERROR(
IFERROR(INDEX(Calc_CPI_2[[CPI uplift factor]:[CPI uplift factor]],MATCH(Calc_NetworkF_2[[#This Row],[Cost item]:[Cost item]],Calc_CPI_2[[Cost item]:[Cost item]],0),1),0)+
INDEX(Input_ForRateCalc[],MATCH(
IF(Calc_NetworkF_2[[#This Row],[Cost item]:[Cost item]]="Metering",
Calc_NetworkF_2[[#This Row],[Cost item]:[Cost item]]&amp;" - "&amp;Calc_NetworkF_2[[#Headers],[United Energy]],
Calc_NetworkF_2[[#This Row],[Cost item]:[Cost item]]&amp;" charge - "&amp;IF(Calc_NetworkF_2[[#This Row],[Customer type]:[Customer type]]="Residential","RES - ","SME - ")&amp;Calc_NetworkF_2[[#Headers],[United Energy]]),Input_ForRateCalc[[Cost item]:[Cost item]],0),MATCH($D$267,Inputs!$C$15:$AZ$15,0)),"-")</f>
        <v>46.962287631947568</v>
      </c>
    </row>
    <row r="472" spans="3:11" hidden="1" outlineLevel="1" x14ac:dyDescent="0.25"/>
    <row r="473" spans="3:11" ht="15.75" hidden="1" outlineLevel="1" x14ac:dyDescent="0.25">
      <c r="C473" s="20" t="s">
        <v>389</v>
      </c>
    </row>
    <row r="474" spans="3:11" ht="15.75" hidden="1" outlineLevel="1" x14ac:dyDescent="0.25">
      <c r="C474" s="30" t="s">
        <v>51</v>
      </c>
      <c r="D474" s="30" t="s">
        <v>114</v>
      </c>
      <c r="E474" s="30" t="s">
        <v>62</v>
      </c>
      <c r="F474" s="30" t="s">
        <v>63</v>
      </c>
      <c r="G474" s="40" t="s">
        <v>65</v>
      </c>
      <c r="H474" s="40" t="s">
        <v>66</v>
      </c>
      <c r="I474" s="40" t="s">
        <v>67</v>
      </c>
      <c r="J474" s="40" t="s">
        <v>68</v>
      </c>
      <c r="K474" s="40" t="s">
        <v>69</v>
      </c>
    </row>
    <row r="475" spans="3:11" hidden="1" outlineLevel="1" x14ac:dyDescent="0.25">
      <c r="C475" s="14" t="s">
        <v>74</v>
      </c>
      <c r="D475" s="14" t="s">
        <v>184</v>
      </c>
      <c r="E475" s="14" t="s">
        <v>75</v>
      </c>
      <c r="F475" s="14" t="s">
        <v>72</v>
      </c>
      <c r="G475" s="41" cm="1">
        <f t="array" ref="G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0.1309807741874299</v>
      </c>
      <c r="H475" s="41" t="str" cm="1">
        <f t="array" ref="H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v>
      </c>
      <c r="I475" s="41" t="str" cm="1">
        <f t="array" ref="I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v>
      </c>
      <c r="J475" s="41" t="str" cm="1">
        <f t="array" ref="J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v>
      </c>
      <c r="K475" s="41" t="str" cm="1">
        <f t="array" ref="K47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v>
      </c>
    </row>
    <row r="476" spans="3:11" hidden="1" outlineLevel="1" x14ac:dyDescent="0.25">
      <c r="C476" s="14" t="s">
        <v>76</v>
      </c>
      <c r="D476" s="14" t="s">
        <v>184</v>
      </c>
      <c r="E476" s="14" t="s">
        <v>75</v>
      </c>
      <c r="F476" s="14" t="s">
        <v>72</v>
      </c>
      <c r="G476" s="41" cm="1">
        <f t="array" ref="G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0.13989069468735993</v>
      </c>
      <c r="H476" s="41" t="str" cm="1">
        <f t="array" ref="H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v>
      </c>
      <c r="I476" s="41" t="str" cm="1">
        <f t="array" ref="I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v>
      </c>
      <c r="J476" s="41" t="str" cm="1">
        <f t="array" ref="J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v>
      </c>
      <c r="K476" s="41" t="str" cm="1">
        <f t="array" ref="K476">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v>
      </c>
    </row>
    <row r="477" spans="3:11" hidden="1" outlineLevel="1" x14ac:dyDescent="0.25">
      <c r="C477" s="14" t="s">
        <v>77</v>
      </c>
      <c r="D477" s="14" t="s">
        <v>184</v>
      </c>
      <c r="E477" s="14" t="s">
        <v>75</v>
      </c>
      <c r="F477" s="14" t="s">
        <v>72</v>
      </c>
      <c r="G477" s="41" t="str" cm="1">
        <f t="array" ref="G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v>
      </c>
      <c r="H477" s="41" cm="1">
        <f t="array" ref="H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7.3700000000000002E-2</v>
      </c>
      <c r="I477" s="41" cm="1">
        <f t="array" ref="I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8.9770000000000003E-2</v>
      </c>
      <c r="J477" s="41" cm="1">
        <f t="array" ref="J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8.77E-2</v>
      </c>
      <c r="K477" s="41" cm="1">
        <f t="array" ref="K477">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8.5400000000000004E-2</v>
      </c>
    </row>
    <row r="478" spans="3:11" hidden="1" outlineLevel="1" x14ac:dyDescent="0.25">
      <c r="C478" s="14" t="s">
        <v>79</v>
      </c>
      <c r="D478" s="14" t="s">
        <v>184</v>
      </c>
      <c r="E478" s="14" t="s">
        <v>75</v>
      </c>
      <c r="F478" s="14" t="s">
        <v>72</v>
      </c>
      <c r="G478" s="41" cm="1">
        <f t="array" ref="G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0.22405517942110717</v>
      </c>
      <c r="H478" s="41" cm="1">
        <f t="array" ref="H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0.1467</v>
      </c>
      <c r="I478" s="41" cm="1">
        <f t="array" ref="I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0.14771999999999999</v>
      </c>
      <c r="J478" s="41" cm="1">
        <f t="array" ref="J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0.1714</v>
      </c>
      <c r="K478" s="41" cm="1">
        <f t="array" ref="K478">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0.1668</v>
      </c>
    </row>
    <row r="479" spans="3:11" hidden="1" outlineLevel="1" x14ac:dyDescent="0.25">
      <c r="C479" s="14" t="s">
        <v>80</v>
      </c>
      <c r="D479" s="14" t="s">
        <v>184</v>
      </c>
      <c r="E479" s="14" t="s">
        <v>75</v>
      </c>
      <c r="F479" s="14" t="s">
        <v>72</v>
      </c>
      <c r="G479" s="41" cm="1">
        <f t="array" ref="G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4.6393863430805989E-2</v>
      </c>
      <c r="H479" s="41" cm="1">
        <f t="array" ref="H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3.6699999999999997E-2</v>
      </c>
      <c r="I479" s="41" cm="1">
        <f t="array" ref="I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4.3120000000000006E-2</v>
      </c>
      <c r="J479" s="41" cm="1">
        <f t="array" ref="J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4.2900000000000001E-2</v>
      </c>
      <c r="K479" s="41" cm="1">
        <f t="array" ref="K479">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4.1599999999999998E-2</v>
      </c>
    </row>
    <row r="480" spans="3:11" hidden="1" outlineLevel="1" x14ac:dyDescent="0.25">
      <c r="C480" s="14" t="s">
        <v>81</v>
      </c>
      <c r="D480" s="14" t="s">
        <v>184</v>
      </c>
      <c r="E480" s="14" t="s">
        <v>75</v>
      </c>
      <c r="F480" s="14" t="s">
        <v>72</v>
      </c>
      <c r="G480" s="41" cm="1">
        <f t="array" ref="G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4.6393863430805989E-2</v>
      </c>
      <c r="H480" s="41" cm="1">
        <f t="array" ref="H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2.2099999999999998E-2</v>
      </c>
      <c r="I480" s="41" cm="1">
        <f t="array" ref="I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3.6950000000000004E-2</v>
      </c>
      <c r="J480" s="41" cm="1">
        <f t="array" ref="J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2.46E-2</v>
      </c>
      <c r="K480" s="41" cm="1">
        <f t="array" ref="K480">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2.4399999999999998E-2</v>
      </c>
    </row>
    <row r="481" spans="1:19" hidden="1" outlineLevel="1" x14ac:dyDescent="0.25">
      <c r="C481" s="14" t="s">
        <v>74</v>
      </c>
      <c r="D481" s="14" t="s">
        <v>184</v>
      </c>
      <c r="E481" s="14" t="s">
        <v>75</v>
      </c>
      <c r="F481" s="14" t="s">
        <v>73</v>
      </c>
      <c r="G481" s="41" cm="1">
        <f t="array" ref="G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0.18668411930490375</v>
      </c>
      <c r="H481" s="41" t="str" cm="1">
        <f t="array" ref="H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v>
      </c>
      <c r="I481" s="41" t="str" cm="1">
        <f t="array" ref="I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v>
      </c>
      <c r="J481" s="41" t="str" cm="1">
        <f t="array" ref="J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v>
      </c>
      <c r="K481" s="41" t="str" cm="1">
        <f t="array" ref="K481">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v>
      </c>
    </row>
    <row r="482" spans="1:19" hidden="1" outlineLevel="1" x14ac:dyDescent="0.25">
      <c r="C482" s="14" t="s">
        <v>76</v>
      </c>
      <c r="D482" s="14" t="s">
        <v>184</v>
      </c>
      <c r="E482" s="14" t="s">
        <v>75</v>
      </c>
      <c r="F482" s="14" t="s">
        <v>73</v>
      </c>
      <c r="G482" s="41" cm="1">
        <f t="array" ref="G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0.20620858559880922</v>
      </c>
      <c r="H482" s="41" t="str" cm="1">
        <f t="array" ref="H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v>
      </c>
      <c r="I482" s="41" t="str" cm="1">
        <f t="array" ref="I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v>
      </c>
      <c r="J482" s="41" t="str" cm="1">
        <f t="array" ref="J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v>
      </c>
      <c r="K482" s="41" t="str" cm="1">
        <f t="array" ref="K482">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v>
      </c>
    </row>
    <row r="483" spans="1:19" ht="15.75" hidden="1" outlineLevel="1" collapsed="1" x14ac:dyDescent="0.25">
      <c r="A483" s="1" t="s">
        <v>36</v>
      </c>
      <c r="C483" s="14" t="s">
        <v>77</v>
      </c>
      <c r="D483" s="14" t="s">
        <v>184</v>
      </c>
      <c r="E483" s="14" t="s">
        <v>75</v>
      </c>
      <c r="F483" s="14" t="s">
        <v>73</v>
      </c>
      <c r="G483" s="41" t="str" cm="1">
        <f t="array" ref="G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v>
      </c>
      <c r="H483" s="41" cm="1">
        <f t="array" ref="H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8.1500000000000003E-2</v>
      </c>
      <c r="I483" s="41" cm="1">
        <f t="array" ref="I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0.11834</v>
      </c>
      <c r="J483" s="41" cm="1">
        <f t="array" ref="J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9.8100000000000007E-2</v>
      </c>
      <c r="K483" s="41" cm="1">
        <f t="array" ref="K483">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9.3900000000000011E-2</v>
      </c>
    </row>
    <row r="484" spans="1:19" hidden="1" outlineLevel="1" x14ac:dyDescent="0.25">
      <c r="C484" s="14" t="s">
        <v>79</v>
      </c>
      <c r="D484" s="14" t="s">
        <v>184</v>
      </c>
      <c r="E484" s="14" t="s">
        <v>75</v>
      </c>
      <c r="F484" s="14" t="s">
        <v>73</v>
      </c>
      <c r="G484" s="41" cm="1">
        <f t="array" ref="G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0.19642449948699095</v>
      </c>
      <c r="H484" s="41" cm="1">
        <f t="array" ref="H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0.13269999999999998</v>
      </c>
      <c r="I484" s="41" cm="1">
        <f t="array" ref="I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0.15096999999999999</v>
      </c>
      <c r="J484" s="41" cm="1">
        <f t="array" ref="J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0.17460000000000001</v>
      </c>
      <c r="K484" s="41" cm="1">
        <f t="array" ref="K484">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0.15410000000000001</v>
      </c>
    </row>
    <row r="485" spans="1:19" hidden="1" outlineLevel="1" x14ac:dyDescent="0.25">
      <c r="C485" s="14" t="s">
        <v>80</v>
      </c>
      <c r="D485" s="31" t="s">
        <v>184</v>
      </c>
      <c r="E485" s="14" t="s">
        <v>75</v>
      </c>
      <c r="F485" s="14" t="s">
        <v>73</v>
      </c>
      <c r="G485" s="41" cm="1">
        <f t="array" ref="G48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")&amp;Calc_NetworkV_2[[#Headers],[Ausnet]],Input_ForRateCalc[[Cost item]:[Cost item]],0),
MATCH($D$267,Inputs!$C$15:$AZ$15,0)))/100,"-")</f>
        <v>4.7425752712530557E-2</v>
      </c>
      <c r="H485" s="41" cm="1">
        <f t="array" ref="H48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")&amp;Calc_NetworkV_2[[#Headers],[Citipower]],Input_ForRateCalc[[Cost item]:[Cost item]],0),
MATCH($D$267,Inputs!$C$15:$AZ$15,0)))/100,"-")</f>
        <v>2.9500000000000002E-2</v>
      </c>
      <c r="I485" s="41" cm="1">
        <f t="array" ref="I48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")&amp;Calc_NetworkV_2[[#Headers],[Jemena]],Input_ForRateCalc[[Cost item]:[Cost item]],0),
MATCH($D$267,Inputs!$C$15:$AZ$15,0)))/100,"-")</f>
        <v>3.2259999999999997E-2</v>
      </c>
      <c r="J485" s="41" cm="1">
        <f t="array" ref="J48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")&amp;Calc_NetworkV_2[[#Headers],[Powercor]],Input_ForRateCalc[[Cost item]:[Cost item]],0),
MATCH($D$267,Inputs!$C$15:$AZ$15,0)))/100,"-")</f>
        <v>3.8800000000000001E-2</v>
      </c>
      <c r="K485" s="41" cm="1">
        <f t="array" ref="K485">IFERROR(
(IFERROR(INDEX(Calc_CPI_2[[CPI uplift factor]:[CPI uplift factor]],MATCH(Calc_NetworkV_2[[#This Row],[Cost item]:[Cost item]],Calc_CPI_2[[Cost item]:[Cost item]],0),1),0)+
INDEX(Input_ForRateCalc[],
MATCH(IF(OR(Calc_NetworkV_2[[#This Row],[Cost item]:[Cost item]]="Single rate",Calc_NetworkV_2[[#This Row],[Cost item]:[Cost item]]="Block 1",Calc_NetworkV_2[[#This Row],[Cost item]:[Cost item]]="Balance"),"Anytime - ",IF(Calc_NetworkV_2[[#This Row],[Cost item]:[Cost item]]&lt;&gt;"Controlled load","TOU - ",""))&amp;Calc_NetworkV_2[[#This Row],[Cost item]:[Cost item]]&amp;" - "&amp;IF(Calc_NetworkV_2[[#This Row],[Customer type]:[Customer type]]="Residential","RES - ","SME - ")&amp;Calc_NetworkV_2[[#Headers],[United Energy]],Input_ForRateCalc[[Cost item]:[Cost item]],0),
MATCH($D$267,Inputs!$C$15:$AZ$15,0)))/100,"-")</f>
        <v>3.4299999999999997E-2</v>
      </c>
    </row>
    <row r="486" spans="1:19" hidden="1" x14ac:dyDescent="0.25">
      <c r="N486" s="61"/>
    </row>
    <row r="487" spans="1:19" ht="16.5" hidden="1" collapsed="1" thickBot="1" x14ac:dyDescent="0.3">
      <c r="B487" s="155">
        <f ca="1">MAX(B$3:B486)+0.01</f>
        <v>13.129999999999997</v>
      </c>
      <c r="C487" s="19" t="s">
        <v>182</v>
      </c>
      <c r="D487" s="19"/>
      <c r="E487" s="19"/>
      <c r="F487" s="19"/>
      <c r="G487" s="19"/>
      <c r="H487" s="19"/>
      <c r="I487" s="19"/>
      <c r="J487" s="19"/>
      <c r="K487" s="19"/>
    </row>
    <row r="488" spans="1:19" hidden="1" outlineLevel="1" x14ac:dyDescent="0.25"/>
    <row r="489" spans="1:19" ht="15.75" hidden="1" outlineLevel="1" x14ac:dyDescent="0.25">
      <c r="C489" s="20" t="s">
        <v>390</v>
      </c>
    </row>
    <row r="490" spans="1:19" ht="15.75" hidden="1" outlineLevel="1" x14ac:dyDescent="0.25">
      <c r="C490" s="30" t="s">
        <v>51</v>
      </c>
      <c r="D490" s="30" t="s">
        <v>114</v>
      </c>
      <c r="E490" s="30" t="s">
        <v>62</v>
      </c>
      <c r="F490" s="30" t="s">
        <v>63</v>
      </c>
      <c r="G490" s="40" t="s">
        <v>65</v>
      </c>
      <c r="H490" s="40" t="s">
        <v>66</v>
      </c>
      <c r="I490" s="40" t="s">
        <v>67</v>
      </c>
      <c r="J490" s="40" t="s">
        <v>68</v>
      </c>
      <c r="K490" s="40" t="s">
        <v>69</v>
      </c>
    </row>
    <row r="491" spans="1:19" hidden="1" outlineLevel="1" x14ac:dyDescent="0.25">
      <c r="C491" s="14" t="s">
        <v>391</v>
      </c>
      <c r="D491" s="14" t="s">
        <v>184</v>
      </c>
      <c r="E491" s="14" t="s">
        <v>75</v>
      </c>
      <c r="F491" s="14" t="s">
        <v>72</v>
      </c>
      <c r="G491" s="41" cm="1">
        <f t="array" ref="G491">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item]],0),MATCH($D$267,Inputs!$C$15:$AZ$15,0)))/1000,"-")</f>
        <v>0.15506744437670936</v>
      </c>
      <c r="H491" s="41" cm="1">
        <f t="array" ref="H491">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item]],0),MATCH($D$267,Inputs!$C$15:$AZ$15,0)))/1000,"-")</f>
        <v>0.1363646130755708</v>
      </c>
      <c r="I491" s="41" cm="1">
        <f t="array" ref="I491">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item]],0),MATCH($D$267,Inputs!$C$15:$AZ$15,0)))/1000,"-")</f>
        <v>0.15223433176569595</v>
      </c>
      <c r="J491" s="41" cm="1">
        <f t="array" ref="J491">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item]],0),MATCH($D$267,Inputs!$C$15:$AZ$15,0)))/1000,"-")</f>
        <v>0.15294289200433886</v>
      </c>
      <c r="K491" s="41" cm="1">
        <f t="array" ref="K491">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item]],0),MATCH($D$267,Inputs!$C$15:$AZ$15,0)))/1000,"-")</f>
        <v>0.14974862262361766</v>
      </c>
      <c r="N491" s="54"/>
      <c r="O491" s="54"/>
      <c r="P491" s="54"/>
      <c r="Q491" s="54"/>
      <c r="R491" s="54"/>
      <c r="S491" s="54"/>
    </row>
    <row r="492" spans="1:19" hidden="1" outlineLevel="1" x14ac:dyDescent="0.25">
      <c r="C492" s="14" t="s">
        <v>392</v>
      </c>
      <c r="D492" s="14" t="s">
        <v>184</v>
      </c>
      <c r="E492" s="14" t="s">
        <v>75</v>
      </c>
      <c r="F492" s="14" t="s">
        <v>72</v>
      </c>
      <c r="G492" s="41" cm="1">
        <f t="array" ref="G492">IFERROR(
(IFERROR(INDEX(Calc_CPI_2[[CPI uplift factor]:[CPI uplift factor]],MATCH(Calc_WholesaleRES_2[[#This Row],[Cost item]:[Cost item]],Calc_CPI_2[[Cost item]:[Cost item]],0),1),0)+
INDEX(Input_ForRateCalc[],MATCH(Calc_WholesaleRES_2[[#This Row],[Cost item]:[Cost item]]&amp;" - "&amp;Calc_WholesaleRES_2[[#Headers],[Ausnet]],Input_ForRateCalc[[Cost item]:[Cost item]],0),MATCH($D$267,Inputs!$C$15:$AZ$15,0)))/1000,"-")</f>
        <v>7.5597283903685198E-4</v>
      </c>
      <c r="H492" s="41" cm="1">
        <f t="array" ref="H492">IFERROR(
(IFERROR(INDEX(Calc_CPI_2[[CPI uplift factor]:[CPI uplift factor]],MATCH(Calc_WholesaleRES_2[[#This Row],[Cost item]:[Cost item]],Calc_CPI_2[[Cost item]:[Cost item]],0),1),0)+
INDEX(Input_ForRateCalc[],MATCH(Calc_WholesaleRES_2[[#This Row],[Cost item]:[Cost item]]&amp;" - "&amp;Calc_WholesaleRES_2[[#Headers],[Citipower]],Input_ForRateCalc[[Cost item]:[Cost item]],0),MATCH($D$267,Inputs!$C$15:$AZ$15,0)))/1000,"-")</f>
        <v>6.3406351167904606E-4</v>
      </c>
      <c r="I492" s="41" cm="1">
        <f t="array" ref="I492">IFERROR(
(IFERROR(INDEX(Calc_CPI_2[[CPI uplift factor]:[CPI uplift factor]],MATCH(Calc_WholesaleRES_2[[#This Row],[Cost item]:[Cost item]],Calc_CPI_2[[Cost item]:[Cost item]],0),1),0)+
INDEX(Input_ForRateCalc[],MATCH(Calc_WholesaleRES_2[[#This Row],[Cost item]:[Cost item]]&amp;" - "&amp;Calc_WholesaleRES_2[[#Headers],[Jemena]],Input_ForRateCalc[[Cost item]:[Cost item]],0),MATCH($D$267,Inputs!$C$15:$AZ$15,0)))/1000,"-")</f>
        <v>7.5975138343267377E-4</v>
      </c>
      <c r="J492" s="41" cm="1">
        <f t="array" ref="J492">IFERROR(
(IFERROR(INDEX(Calc_CPI_2[[CPI uplift factor]:[CPI uplift factor]],MATCH(Calc_WholesaleRES_2[[#This Row],[Cost item]:[Cost item]],Calc_CPI_2[[Cost item]:[Cost item]],0),1),0)+
INDEX(Input_ForRateCalc[],MATCH(Calc_WholesaleRES_2[[#This Row],[Cost item]:[Cost item]]&amp;" - "&amp;Calc_WholesaleRES_2[[#Headers],[Powercor]],Input_ForRateCalc[[Cost item]:[Cost item]],0),MATCH($D$267,Inputs!$C$15:$AZ$15,0)))/1000,"-")</f>
        <v>7.7200647873025953E-4</v>
      </c>
      <c r="K492" s="41" cm="1">
        <f t="array" ref="K492">IFERROR(
(IFERROR(INDEX(Calc_CPI_2[[CPI uplift factor]:[CPI uplift factor]],MATCH(Calc_WholesaleRES_2[[#This Row],[Cost item]:[Cost item]],Calc_CPI_2[[Cost item]:[Cost item]],0),1),0)+
INDEX(Input_ForRateCalc[],MATCH(Calc_WholesaleRES_2[[#This Row],[Cost item]:[Cost item]]&amp;" - "&amp;Calc_WholesaleRES_2[[#Headers],[United Energy]],Input_ForRateCalc[[Cost item]:[Cost item]],0),MATCH($D$267,Inputs!$C$15:$AZ$15,0)))/1000,"-")</f>
        <v>7.2106076586370951E-4</v>
      </c>
    </row>
    <row r="493" spans="1:19" hidden="1" outlineLevel="1" x14ac:dyDescent="0.25">
      <c r="C493" s="31" t="s">
        <v>371</v>
      </c>
      <c r="D493" s="31" t="s">
        <v>184</v>
      </c>
      <c r="E493" s="31" t="s">
        <v>75</v>
      </c>
      <c r="F493" s="14" t="s">
        <v>72</v>
      </c>
      <c r="G493" s="49">
        <f>IFERROR(G491+G492,"-")</f>
        <v>0.15582341721574622</v>
      </c>
      <c r="H493" s="49">
        <f>IFERROR(H491+H492,"-")</f>
        <v>0.13699867658724985</v>
      </c>
      <c r="I493" s="49">
        <f>IFERROR(I491+I492,"-")</f>
        <v>0.15299408314912863</v>
      </c>
      <c r="J493" s="49">
        <f>IFERROR(J491+J492,"-")</f>
        <v>0.15371489848306913</v>
      </c>
      <c r="K493" s="49">
        <f>IFERROR(K491+K492,"-")</f>
        <v>0.15046968338948136</v>
      </c>
    </row>
    <row r="494" spans="1:19" hidden="1" outlineLevel="1" x14ac:dyDescent="0.25"/>
    <row r="495" spans="1:19" ht="15.75" hidden="1" outlineLevel="1" x14ac:dyDescent="0.25">
      <c r="C495" s="20" t="s">
        <v>393</v>
      </c>
    </row>
    <row r="496" spans="1:19" ht="15.75" hidden="1" outlineLevel="1" x14ac:dyDescent="0.25">
      <c r="C496" s="30" t="s">
        <v>51</v>
      </c>
      <c r="D496" s="30" t="s">
        <v>114</v>
      </c>
      <c r="E496" s="30" t="s">
        <v>62</v>
      </c>
      <c r="F496" s="30" t="s">
        <v>63</v>
      </c>
      <c r="G496" s="40" t="s">
        <v>65</v>
      </c>
      <c r="H496" s="40" t="s">
        <v>66</v>
      </c>
      <c r="I496" s="40" t="s">
        <v>67</v>
      </c>
      <c r="J496" s="40" t="s">
        <v>68</v>
      </c>
      <c r="K496" s="40" t="s">
        <v>69</v>
      </c>
    </row>
    <row r="497" spans="1:18" ht="15.75" hidden="1" outlineLevel="1" collapsed="1" x14ac:dyDescent="0.25">
      <c r="A497" s="1" t="s">
        <v>36</v>
      </c>
      <c r="C497" s="14" t="s">
        <v>394</v>
      </c>
      <c r="D497" s="14" t="s">
        <v>184</v>
      </c>
      <c r="E497" s="14" t="s">
        <v>75</v>
      </c>
      <c r="F497" s="14" t="s">
        <v>73</v>
      </c>
      <c r="G497" s="41" cm="1">
        <f t="array" ref="G497">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item]],0),MATCH($D$267,Inputs!$C$15:$AZ$15,0)))/1000,"-")</f>
        <v>0.12799318301307452</v>
      </c>
      <c r="H497" s="41" cm="1">
        <f t="array" ref="H497">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item]],0),MATCH($D$267,Inputs!$C$15:$AZ$15,0)))/1000,"-")</f>
        <v>0.12581685844288595</v>
      </c>
      <c r="I497" s="41" cm="1">
        <f t="array" ref="I497">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item]],0),MATCH($D$267,Inputs!$C$15:$AZ$15,0)))/1000,"-")</f>
        <v>0.12959099346565389</v>
      </c>
      <c r="J497" s="41" cm="1">
        <f t="array" ref="J497">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item]],0),MATCH($D$267,Inputs!$C$15:$AZ$15,0)))/1000,"-")</f>
        <v>0.12483628413435757</v>
      </c>
      <c r="K497" s="41" cm="1">
        <f t="array" ref="K497">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item]],0),MATCH($D$267,Inputs!$C$15:$AZ$15,0)))/1000,"-")</f>
        <v>0.12974650834657042</v>
      </c>
      <c r="N497" s="54"/>
      <c r="O497" s="54"/>
      <c r="P497" s="54"/>
      <c r="Q497" s="54"/>
      <c r="R497" s="54"/>
    </row>
    <row r="498" spans="1:18" hidden="1" outlineLevel="1" x14ac:dyDescent="0.25">
      <c r="C498" s="14" t="s">
        <v>395</v>
      </c>
      <c r="D498" s="14" t="s">
        <v>184</v>
      </c>
      <c r="E498" s="14" t="s">
        <v>75</v>
      </c>
      <c r="F498" s="14" t="s">
        <v>73</v>
      </c>
      <c r="G498" s="41" cm="1">
        <f t="array" ref="G498">IFERROR(
(IFERROR(INDEX(Calc_CPI_2[[CPI uplift factor]:[CPI uplift factor]],MATCH(Calc_WholesaleSME_2[[#This Row],[Cost item]:[Cost item]],Calc_CPI_2[[Cost item]:[Cost item]],0),1),0)+
INDEX(Input_ForRateCalc[],MATCH(Calc_WholesaleSME_2[[#This Row],[Cost item]:[Cost item]]&amp;" - "&amp;Calc_WholesaleSME_2[[#Headers],[Ausnet]],Input_ForRateCalc[[Cost item]:[Cost item]],0),MATCH($D$267,Inputs!$C$15:$AZ$15,0)))/1000,"-")</f>
        <v>5.6983788306049486E-4</v>
      </c>
      <c r="H498" s="41" cm="1">
        <f t="array" ref="H498">IFERROR(
(IFERROR(INDEX(Calc_CPI_2[[CPI uplift factor]:[CPI uplift factor]],MATCH(Calc_WholesaleSME_2[[#This Row],[Cost item]:[Cost item]],Calc_CPI_2[[Cost item]:[Cost item]],0),1),0)+
INDEX(Input_ForRateCalc[],MATCH(Calc_WholesaleSME_2[[#This Row],[Cost item]:[Cost item]]&amp;" - "&amp;Calc_WholesaleSME_2[[#Headers],[Citipower]],Input_ForRateCalc[[Cost item]:[Cost item]],0),MATCH($D$267,Inputs!$C$15:$AZ$15,0)))/1000,"-")</f>
        <v>6.6754117444073444E-4</v>
      </c>
      <c r="I498" s="41" cm="1">
        <f t="array" ref="I498">IFERROR(
(IFERROR(INDEX(Calc_CPI_2[[CPI uplift factor]:[CPI uplift factor]],MATCH(Calc_WholesaleSME_2[[#This Row],[Cost item]:[Cost item]],Calc_CPI_2[[Cost item]:[Cost item]],0),1),0)+
INDEX(Input_ForRateCalc[],MATCH(Calc_WholesaleSME_2[[#This Row],[Cost item]:[Cost item]]&amp;" - "&amp;Calc_WholesaleSME_2[[#Headers],[Jemena]],Input_ForRateCalc[[Cost item]:[Cost item]],0),MATCH($D$267,Inputs!$C$15:$AZ$15,0)))/1000,"-")</f>
        <v>6.1921571486875523E-4</v>
      </c>
      <c r="J498" s="41" cm="1">
        <f t="array" ref="J498">IFERROR(
(IFERROR(INDEX(Calc_CPI_2[[CPI uplift factor]:[CPI uplift factor]],MATCH(Calc_WholesaleSME_2[[#This Row],[Cost item]:[Cost item]],Calc_CPI_2[[Cost item]:[Cost item]],0),1),0)+
INDEX(Input_ForRateCalc[],MATCH(Calc_WholesaleSME_2[[#This Row],[Cost item]:[Cost item]]&amp;" - "&amp;Calc_WholesaleSME_2[[#Headers],[Powercor]],Input_ForRateCalc[[Cost item]:[Cost item]],0),MATCH($D$267,Inputs!$C$15:$AZ$15,0)))/1000,"-")</f>
        <v>6.4465204102732076E-4</v>
      </c>
      <c r="K498" s="41" cm="1">
        <f t="array" ref="K498">IFERROR(
(IFERROR(INDEX(Calc_CPI_2[[CPI uplift factor]:[CPI uplift factor]],MATCH(Calc_WholesaleSME_2[[#This Row],[Cost item]:[Cost item]],Calc_CPI_2[[Cost item]:[Cost item]],0),1),0)+
INDEX(Input_ForRateCalc[],MATCH(Calc_WholesaleSME_2[[#This Row],[Cost item]:[Cost item]]&amp;" - "&amp;Calc_WholesaleSME_2[[#Headers],[United Energy]],Input_ForRateCalc[[Cost item]:[Cost item]],0),MATCH($D$267,Inputs!$C$15:$AZ$15,0)))/1000,"-")</f>
        <v>6.290345258566153E-4</v>
      </c>
    </row>
    <row r="499" spans="1:18" hidden="1" outlineLevel="1" x14ac:dyDescent="0.25">
      <c r="C499" s="31" t="s">
        <v>371</v>
      </c>
      <c r="D499" s="31" t="s">
        <v>184</v>
      </c>
      <c r="E499" s="31" t="s">
        <v>75</v>
      </c>
      <c r="F499" s="14" t="s">
        <v>73</v>
      </c>
      <c r="G499" s="49">
        <f>IFERROR(G497+G498,"-")</f>
        <v>0.12856302089613503</v>
      </c>
      <c r="H499" s="49">
        <f>IFERROR(H497+H498,"-")</f>
        <v>0.12648439961732669</v>
      </c>
      <c r="I499" s="49">
        <f>IFERROR(I497+I498,"-")</f>
        <v>0.13021020918052265</v>
      </c>
      <c r="J499" s="49">
        <f>IFERROR(J497+J498,"-")</f>
        <v>0.12548093617538489</v>
      </c>
      <c r="K499" s="49">
        <f>IFERROR(K497+K498,"-")</f>
        <v>0.13037554287242703</v>
      </c>
    </row>
    <row r="500" spans="1:18" hidden="1" x14ac:dyDescent="0.25"/>
    <row r="501" spans="1:18" ht="16.5" hidden="1" collapsed="1" thickBot="1" x14ac:dyDescent="0.3">
      <c r="B501" s="155">
        <f ca="1">MAX(B$3:B500)+0.01</f>
        <v>13.139999999999997</v>
      </c>
      <c r="C501" s="19" t="s">
        <v>396</v>
      </c>
      <c r="D501" s="19"/>
      <c r="E501" s="19"/>
      <c r="F501" s="19"/>
      <c r="G501" s="19"/>
      <c r="H501" s="19"/>
      <c r="I501" s="19"/>
      <c r="J501" s="19"/>
      <c r="K501" s="19"/>
    </row>
    <row r="502" spans="1:18" hidden="1" outlineLevel="1" x14ac:dyDescent="0.25"/>
    <row r="503" spans="1:18" ht="15.75" hidden="1" outlineLevel="1" x14ac:dyDescent="0.25">
      <c r="C503" s="20" t="s">
        <v>397</v>
      </c>
    </row>
    <row r="504" spans="1:18" ht="15.75" hidden="1" outlineLevel="1" x14ac:dyDescent="0.25">
      <c r="C504" s="30" t="s">
        <v>51</v>
      </c>
      <c r="D504" s="30" t="s">
        <v>114</v>
      </c>
      <c r="E504" s="30" t="s">
        <v>62</v>
      </c>
      <c r="F504" s="30" t="s">
        <v>63</v>
      </c>
      <c r="G504" s="40" t="s">
        <v>65</v>
      </c>
      <c r="H504" s="40" t="s">
        <v>66</v>
      </c>
      <c r="I504" s="40" t="s">
        <v>67</v>
      </c>
      <c r="J504" s="40" t="s">
        <v>68</v>
      </c>
      <c r="K504" s="40" t="s">
        <v>69</v>
      </c>
    </row>
    <row r="505" spans="1:18" hidden="1" outlineLevel="1" x14ac:dyDescent="0.25">
      <c r="C505" s="14" t="s">
        <v>205</v>
      </c>
      <c r="D505" s="14" t="s">
        <v>184</v>
      </c>
      <c r="E505" s="14" t="s">
        <v>206</v>
      </c>
      <c r="F505" s="14" t="s">
        <v>139</v>
      </c>
      <c r="G505" s="41" cm="1">
        <f t="array" ref="G505">IFERROR(
(IFERROR(INDEX(Calc_CPI_2[[CPI uplift factor]:[CPI uplift factor]],MATCH($C505,Calc_CPI_2[[Cost item]:[Cost item]],0),1),0)+
INDEX(Input_ForRateCalc[],MATCH(Calc_EnviroVEU_2[[#This Row],[Cost item]:[Cost item]],Input_ForRateCalc[[Cost item]:[Cost item]],0),MATCH($D$267,Inputs!$C$15:$AZ$15,0))),"-")</f>
        <v>68.562227396360115</v>
      </c>
      <c r="H505" s="41" cm="1">
        <f t="array" ref="H505">IFERROR(
(IFERROR(INDEX(Calc_CPI_2[[CPI uplift factor]:[CPI uplift factor]],MATCH($C505,Calc_CPI_2[[Cost item]:[Cost item]],0),1),0)+
INDEX(Input_ForRateCalc[],MATCH(Calc_EnviroVEU_2[[#This Row],[Cost item]:[Cost item]],Input_ForRateCalc[[Cost item]:[Cost item]],0),MATCH($D$267,Inputs!$C$15:$AZ$15,0))),"-")</f>
        <v>68.562227396360115</v>
      </c>
      <c r="I505" s="41" cm="1">
        <f t="array" ref="I505">IFERROR(
(IFERROR(INDEX(Calc_CPI_2[[CPI uplift factor]:[CPI uplift factor]],MATCH($C505,Calc_CPI_2[[Cost item]:[Cost item]],0),1),0)+
INDEX(Input_ForRateCalc[],MATCH(Calc_EnviroVEU_2[[#This Row],[Cost item]:[Cost item]],Input_ForRateCalc[[Cost item]:[Cost item]],0),MATCH($D$267,Inputs!$C$15:$AZ$15,0))),"-")</f>
        <v>68.562227396360115</v>
      </c>
      <c r="J505" s="41" cm="1">
        <f t="array" ref="J505">IFERROR(
(IFERROR(INDEX(Calc_CPI_2[[CPI uplift factor]:[CPI uplift factor]],MATCH($C505,Calc_CPI_2[[Cost item]:[Cost item]],0),1),0)+
INDEX(Input_ForRateCalc[],MATCH(Calc_EnviroVEU_2[[#This Row],[Cost item]:[Cost item]],Input_ForRateCalc[[Cost item]:[Cost item]],0),MATCH($D$267,Inputs!$C$15:$AZ$15,0))),"-")</f>
        <v>68.562227396360115</v>
      </c>
      <c r="K505" s="41" cm="1">
        <f t="array" ref="K505">IFERROR(
(IFERROR(INDEX(Calc_CPI_2[[CPI uplift factor]:[CPI uplift factor]],MATCH($C505,Calc_CPI_2[[Cost item]:[Cost item]],0),1),0)+
INDEX(Input_ForRateCalc[],MATCH(Calc_EnviroVEU_2[[#This Row],[Cost item]:[Cost item]],Input_ForRateCalc[[Cost item]:[Cost item]],0),MATCH($D$267,Inputs!$C$15:$AZ$15,0))),"-")</f>
        <v>68.562227396360115</v>
      </c>
    </row>
    <row r="506" spans="1:18" hidden="1" outlineLevel="1" x14ac:dyDescent="0.25">
      <c r="C506" s="14" t="s">
        <v>209</v>
      </c>
      <c r="D506" s="14" t="s">
        <v>184</v>
      </c>
      <c r="E506" s="14" t="s">
        <v>210</v>
      </c>
      <c r="F506" s="14" t="s">
        <v>139</v>
      </c>
      <c r="G506" s="41" cm="1">
        <f t="array" ref="G506">IFERROR(
(IFERROR(INDEX(Calc_CPI_2[[CPI uplift factor]:[CPI uplift factor]],MATCH($C506,Calc_CPI_2[[Cost item]:[Cost item]],0),1),0)+
INDEX(Input_ForRateCalc[],MATCH(Calc_EnviroVEU_2[[#This Row],[Cost item]:[Cost item]],Input_ForRateCalc[[Cost item]:[Cost item]],0),MATCH($D$267,Inputs!$C$15:$AZ$15,0))),"-")</f>
        <v>0.16306999999999999</v>
      </c>
      <c r="H506" s="41" cm="1">
        <f t="array" ref="H506">IFERROR(
(IFERROR(INDEX(Calc_CPI_2[[CPI uplift factor]:[CPI uplift factor]],MATCH($C506,Calc_CPI_2[[Cost item]:[Cost item]],0),1),0)+
INDEX(Input_ForRateCalc[],MATCH(Calc_EnviroVEU_2[[#This Row],[Cost item]:[Cost item]],Input_ForRateCalc[[Cost item]:[Cost item]],0),MATCH($D$267,Inputs!$C$15:$AZ$15,0))),"-")</f>
        <v>0.16306999999999999</v>
      </c>
      <c r="I506" s="41" cm="1">
        <f t="array" ref="I506">IFERROR(
(IFERROR(INDEX(Calc_CPI_2[[CPI uplift factor]:[CPI uplift factor]],MATCH($C506,Calc_CPI_2[[Cost item]:[Cost item]],0),1),0)+
INDEX(Input_ForRateCalc[],MATCH(Calc_EnviroVEU_2[[#This Row],[Cost item]:[Cost item]],Input_ForRateCalc[[Cost item]:[Cost item]],0),MATCH($D$267,Inputs!$C$15:$AZ$15,0))),"-")</f>
        <v>0.16306999999999999</v>
      </c>
      <c r="J506" s="41" cm="1">
        <f t="array" ref="J506">IFERROR(
(IFERROR(INDEX(Calc_CPI_2[[CPI uplift factor]:[CPI uplift factor]],MATCH($C506,Calc_CPI_2[[Cost item]:[Cost item]],0),1),0)+
INDEX(Input_ForRateCalc[],MATCH(Calc_EnviroVEU_2[[#This Row],[Cost item]:[Cost item]],Input_ForRateCalc[[Cost item]:[Cost item]],0),MATCH($D$267,Inputs!$C$15:$AZ$15,0))),"-")</f>
        <v>0.16306999999999999</v>
      </c>
      <c r="K506" s="41" cm="1">
        <f t="array" ref="K506">IFERROR(
(IFERROR(INDEX(Calc_CPI_2[[CPI uplift factor]:[CPI uplift factor]],MATCH($C506,Calc_CPI_2[[Cost item]:[Cost item]],0),1),0)+
INDEX(Input_ForRateCalc[],MATCH(Calc_EnviroVEU_2[[#This Row],[Cost item]:[Cost item]],Input_ForRateCalc[[Cost item]:[Cost item]],0),MATCH($D$267,Inputs!$C$15:$AZ$15,0))),"-")</f>
        <v>0.16306999999999999</v>
      </c>
    </row>
    <row r="507" spans="1:18" hidden="1" outlineLevel="1" x14ac:dyDescent="0.25">
      <c r="C507" s="31" t="s">
        <v>398</v>
      </c>
      <c r="D507" s="31" t="s">
        <v>184</v>
      </c>
      <c r="E507" s="31" t="s">
        <v>75</v>
      </c>
      <c r="F507" s="14" t="s">
        <v>139</v>
      </c>
      <c r="G507" s="161">
        <f>IFERROR(
IFERROR(INDEX(Calc_CPI_2[[CPI uplift factor]:[CPI uplift factor]],MATCH($C507,Calc_CPI_2[[Cost item]:[Cost item]],0),1),0)+(G505*G506)/1000,"-")</f>
        <v>1.1180442421524443E-2</v>
      </c>
      <c r="H507" s="41">
        <f>IFERROR(
IFERROR(INDEX(Calc_CPI_2[[CPI uplift factor]:[CPI uplift factor]],MATCH($C507,Calc_CPI_2[[Cost item]:[Cost item]],0),1),0)+(H505*H506)/1000,"-")</f>
        <v>1.1180442421524443E-2</v>
      </c>
      <c r="I507" s="41">
        <f>IFERROR(
IFERROR(INDEX(Calc_CPI_2[[CPI uplift factor]:[CPI uplift factor]],MATCH($C507,Calc_CPI_2[[Cost item]:[Cost item]],0),1),0)+(I505*I506)/1000,"-")</f>
        <v>1.1180442421524443E-2</v>
      </c>
      <c r="J507" s="41">
        <f>IFERROR(
IFERROR(INDEX(Calc_CPI_2[[CPI uplift factor]:[CPI uplift factor]],MATCH($C507,Calc_CPI_2[[Cost item]:[Cost item]],0),1),0)+(J505*J506)/1000,"-")</f>
        <v>1.1180442421524443E-2</v>
      </c>
      <c r="K507" s="41">
        <f>IFERROR(
IFERROR(INDEX(Calc_CPI_2[[CPI uplift factor]:[CPI uplift factor]],MATCH($C507,Calc_CPI_2[[Cost item]:[Cost item]],0),1),0)+(K505*K506)/1000,"-")</f>
        <v>1.1180442421524443E-2</v>
      </c>
      <c r="M507" s="54"/>
    </row>
    <row r="508" spans="1:18" ht="15.75" hidden="1" outlineLevel="1" x14ac:dyDescent="0.25">
      <c r="C508" s="20"/>
    </row>
    <row r="509" spans="1:18" ht="15.75" hidden="1" outlineLevel="1" x14ac:dyDescent="0.25">
      <c r="C509" s="20" t="s">
        <v>399</v>
      </c>
    </row>
    <row r="510" spans="1:18" ht="15.75" hidden="1" outlineLevel="1" x14ac:dyDescent="0.25">
      <c r="C510" s="30" t="s">
        <v>51</v>
      </c>
      <c r="D510" s="30" t="s">
        <v>114</v>
      </c>
      <c r="E510" s="30" t="s">
        <v>62</v>
      </c>
      <c r="F510" s="30" t="s">
        <v>63</v>
      </c>
      <c r="G510" s="40" t="s">
        <v>65</v>
      </c>
      <c r="H510" s="40" t="s">
        <v>66</v>
      </c>
      <c r="I510" s="40" t="s">
        <v>67</v>
      </c>
      <c r="J510" s="40" t="s">
        <v>68</v>
      </c>
      <c r="K510" s="40" t="s">
        <v>69</v>
      </c>
      <c r="N510" s="54"/>
    </row>
    <row r="511" spans="1:18" hidden="1" outlineLevel="1" x14ac:dyDescent="0.25">
      <c r="C511" s="14" t="s">
        <v>207</v>
      </c>
      <c r="D511" s="14" t="s">
        <v>184</v>
      </c>
      <c r="E511" s="14" t="s">
        <v>206</v>
      </c>
      <c r="F511" s="14" t="s">
        <v>139</v>
      </c>
      <c r="G511" s="41" cm="1">
        <f t="array" ref="G511">IFERROR(
(IFERROR(INDEX(Calc_CPI_2[[CPI uplift factor]:[CPI uplift factor]],MATCH($C511,Calc_CPI_2[[Cost item]:[Cost item]],0),1),0)+
INDEX(Input_ForRateCalc[],MATCH(Calc_EnviroLRET_2[[#This Row],[Cost item]:[Cost item]],Input_ForRateCalc[[Cost item]:[Cost item]],0),MATCH($D$267,Inputs!$C$15:$AZ$15,0))),"-")</f>
        <v>54.83</v>
      </c>
      <c r="H511" s="41" cm="1">
        <f t="array" ref="H511">IFERROR(
(IFERROR(INDEX(Calc_CPI_2[[CPI uplift factor]:[CPI uplift factor]],MATCH($C511,Calc_CPI_2[[Cost item]:[Cost item]],0),1),0)+
INDEX(Input_ForRateCalc[],MATCH(Calc_EnviroLRET_2[[#This Row],[Cost item]:[Cost item]],Input_ForRateCalc[[Cost item]:[Cost item]],0),MATCH($D$267,Inputs!$C$15:$AZ$15,0))),"-")</f>
        <v>54.83</v>
      </c>
      <c r="I511" s="41" cm="1">
        <f t="array" ref="I511">IFERROR(
(IFERROR(INDEX(Calc_CPI_2[[CPI uplift factor]:[CPI uplift factor]],MATCH($C511,Calc_CPI_2[[Cost item]:[Cost item]],0),1),0)+
INDEX(Input_ForRateCalc[],MATCH(Calc_EnviroLRET_2[[#This Row],[Cost item]:[Cost item]],Input_ForRateCalc[[Cost item]:[Cost item]],0),MATCH($D$267,Inputs!$C$15:$AZ$15,0))),"-")</f>
        <v>54.83</v>
      </c>
      <c r="J511" s="41" cm="1">
        <f t="array" ref="J511">IFERROR(
(IFERROR(INDEX(Calc_CPI_2[[CPI uplift factor]:[CPI uplift factor]],MATCH($C511,Calc_CPI_2[[Cost item]:[Cost item]],0),1),0)+
INDEX(Input_ForRateCalc[],MATCH(Calc_EnviroLRET_2[[#This Row],[Cost item]:[Cost item]],Input_ForRateCalc[[Cost item]:[Cost item]],0),MATCH($D$267,Inputs!$C$15:$AZ$15,0))),"-")</f>
        <v>54.83</v>
      </c>
      <c r="K511" s="41" cm="1">
        <f t="array" ref="K511">IFERROR(
(IFERROR(INDEX(Calc_CPI_2[[CPI uplift factor]:[CPI uplift factor]],MATCH($C511,Calc_CPI_2[[Cost item]:[Cost item]],0),1),0)+
INDEX(Input_ForRateCalc[],MATCH(Calc_EnviroLRET_2[[#This Row],[Cost item]:[Cost item]],Input_ForRateCalc[[Cost item]:[Cost item]],0),MATCH($D$267,Inputs!$C$15:$AZ$15,0))),"-")</f>
        <v>54.83</v>
      </c>
    </row>
    <row r="512" spans="1:18" hidden="1" outlineLevel="1" x14ac:dyDescent="0.25">
      <c r="C512" s="14" t="s">
        <v>211</v>
      </c>
      <c r="D512" s="14" t="s">
        <v>184</v>
      </c>
      <c r="E512" s="14" t="s">
        <v>210</v>
      </c>
      <c r="F512" s="14" t="s">
        <v>139</v>
      </c>
      <c r="G512" s="41" cm="1">
        <f t="array" ref="G512">IFERROR(
(IFERROR(INDEX(Calc_CPI_2[[CPI uplift factor]:[CPI uplift factor]],MATCH($C512,Calc_CPI_2[[Cost item]:[Cost item]],0),1),0)+
INDEX(Input_ForRateCalc[],MATCH(Calc_EnviroLRET_2[[#This Row],[Cost item]:[Cost item]],Input_ForRateCalc[[Cost item]:[Cost item]],0),MATCH($D$267,Inputs!$C$15:$AZ$15,0))),"-")</f>
        <v>0.18959999999999999</v>
      </c>
      <c r="H512" s="41" cm="1">
        <f t="array" ref="H512">IFERROR(
(IFERROR(INDEX(Calc_CPI_2[[CPI uplift factor]:[CPI uplift factor]],MATCH($C512,Calc_CPI_2[[Cost item]:[Cost item]],0),1),0)+
INDEX(Input_ForRateCalc[],MATCH(Calc_EnviroLRET_2[[#This Row],[Cost item]:[Cost item]],Input_ForRateCalc[[Cost item]:[Cost item]],0),MATCH($D$267,Inputs!$C$15:$AZ$15,0))),"-")</f>
        <v>0.18959999999999999</v>
      </c>
      <c r="I512" s="41" cm="1">
        <f t="array" ref="I512">IFERROR(
(IFERROR(INDEX(Calc_CPI_2[[CPI uplift factor]:[CPI uplift factor]],MATCH($C512,Calc_CPI_2[[Cost item]:[Cost item]],0),1),0)+
INDEX(Input_ForRateCalc[],MATCH(Calc_EnviroLRET_2[[#This Row],[Cost item]:[Cost item]],Input_ForRateCalc[[Cost item]:[Cost item]],0),MATCH($D$267,Inputs!$C$15:$AZ$15,0))),"-")</f>
        <v>0.18959999999999999</v>
      </c>
      <c r="J512" s="41" cm="1">
        <f t="array" ref="J512">IFERROR(
(IFERROR(INDEX(Calc_CPI_2[[CPI uplift factor]:[CPI uplift factor]],MATCH($C512,Calc_CPI_2[[Cost item]:[Cost item]],0),1),0)+
INDEX(Input_ForRateCalc[],MATCH(Calc_EnviroLRET_2[[#This Row],[Cost item]:[Cost item]],Input_ForRateCalc[[Cost item]:[Cost item]],0),MATCH($D$267,Inputs!$C$15:$AZ$15,0))),"-")</f>
        <v>0.18959999999999999</v>
      </c>
      <c r="K512" s="41" cm="1">
        <f t="array" ref="K512">IFERROR(
(IFERROR(INDEX(Calc_CPI_2[[CPI uplift factor]:[CPI uplift factor]],MATCH($C512,Calc_CPI_2[[Cost item]:[Cost item]],0),1),0)+
INDEX(Input_ForRateCalc[],MATCH(Calc_EnviroLRET_2[[#This Row],[Cost item]:[Cost item]],Input_ForRateCalc[[Cost item]:[Cost item]],0),MATCH($D$267,Inputs!$C$15:$AZ$15,0))),"-")</f>
        <v>0.18959999999999999</v>
      </c>
    </row>
    <row r="513" spans="3:13" hidden="1" outlineLevel="1" x14ac:dyDescent="0.25">
      <c r="C513" s="31" t="s">
        <v>400</v>
      </c>
      <c r="D513" s="31" t="s">
        <v>184</v>
      </c>
      <c r="E513" s="31" t="s">
        <v>75</v>
      </c>
      <c r="F513" s="14" t="s">
        <v>139</v>
      </c>
      <c r="G513" s="49">
        <f>IFERROR(
IFERROR(INDEX(Calc_CPI_2[[CPI uplift factor]:[CPI uplift factor]],MATCH($C513,Calc_CPI_2[[Cost item]:[Cost item]],0),1),0)+(G511*G512)/1000,"-")</f>
        <v>1.0395767999999998E-2</v>
      </c>
      <c r="H513" s="49">
        <f>IFERROR(
IFERROR(INDEX(Calc_CPI_2[[CPI uplift factor]:[CPI uplift factor]],MATCH($C513,Calc_CPI_2[[Cost item]:[Cost item]],0),1),0)+(H511*H512)/1000,"-")</f>
        <v>1.0395767999999998E-2</v>
      </c>
      <c r="I513" s="49">
        <f>IFERROR(
IFERROR(INDEX(Calc_CPI_2[[CPI uplift factor]:[CPI uplift factor]],MATCH($C513,Calc_CPI_2[[Cost item]:[Cost item]],0),1),0)+(I511*I512)/1000,"-")</f>
        <v>1.0395767999999998E-2</v>
      </c>
      <c r="J513" s="49">
        <f>IFERROR(
IFERROR(INDEX(Calc_CPI_2[[CPI uplift factor]:[CPI uplift factor]],MATCH($C513,Calc_CPI_2[[Cost item]:[Cost item]],0),1),0)+(J511*J512)/1000,"-")</f>
        <v>1.0395767999999998E-2</v>
      </c>
      <c r="K513" s="49">
        <f>IFERROR(
IFERROR(INDEX(Calc_CPI_2[[CPI uplift factor]:[CPI uplift factor]],MATCH($C513,Calc_CPI_2[[Cost item]:[Cost item]],0),1),0)+(K511*K512)/1000,"-")</f>
        <v>1.0395767999999998E-2</v>
      </c>
    </row>
    <row r="514" spans="3:13" hidden="1" outlineLevel="1" x14ac:dyDescent="0.25">
      <c r="M514" s="54"/>
    </row>
    <row r="515" spans="3:13" ht="15.75" hidden="1" outlineLevel="1" x14ac:dyDescent="0.25">
      <c r="C515" s="20" t="s">
        <v>401</v>
      </c>
    </row>
    <row r="516" spans="3:13" ht="15.75" hidden="1" outlineLevel="1" x14ac:dyDescent="0.25">
      <c r="C516" s="30" t="s">
        <v>51</v>
      </c>
      <c r="D516" s="30" t="s">
        <v>114</v>
      </c>
      <c r="E516" s="30" t="s">
        <v>62</v>
      </c>
      <c r="F516" s="30" t="s">
        <v>63</v>
      </c>
      <c r="G516" s="40" t="s">
        <v>65</v>
      </c>
      <c r="H516" s="40" t="s">
        <v>66</v>
      </c>
      <c r="I516" s="40" t="s">
        <v>67</v>
      </c>
      <c r="J516" s="40" t="s">
        <v>68</v>
      </c>
      <c r="K516" s="40" t="s">
        <v>69</v>
      </c>
    </row>
    <row r="517" spans="3:13" hidden="1" outlineLevel="1" x14ac:dyDescent="0.25">
      <c r="C517" s="14" t="s">
        <v>208</v>
      </c>
      <c r="D517" s="14" t="s">
        <v>184</v>
      </c>
      <c r="E517" s="14" t="s">
        <v>206</v>
      </c>
      <c r="F517" s="14" t="s">
        <v>139</v>
      </c>
      <c r="G517" s="41" cm="1">
        <f t="array" ref="G517">IFERROR(
(IFERROR(INDEX(Calc_CPI_2[[CPI uplift factor]:[CPI uplift factor]],MATCH($C517,Calc_CPI_2[[Cost item]:[Cost item]],0),1),0)+
INDEX(Input_ForRateCalc[],MATCH(Calc_EnviroSRES_2[[#This Row],[Cost item]:[Cost item]],Input_ForRateCalc[[Cost item]:[Cost item]],0),MATCH($D$267,Inputs!$C$15:$AZ$15,0))),"-")</f>
        <v>40</v>
      </c>
      <c r="H517" s="41" cm="1">
        <f t="array" ref="H517">IFERROR(
(IFERROR(INDEX(Calc_CPI_2[[CPI uplift factor]:[CPI uplift factor]],MATCH($C517,Calc_CPI_2[[Cost item]:[Cost item]],0),1),0)+
INDEX(Input_ForRateCalc[],MATCH(Calc_EnviroSRES_2[[#This Row],[Cost item]:[Cost item]],Input_ForRateCalc[[Cost item]:[Cost item]],0),MATCH($D$267,Inputs!$C$15:$AZ$15,0))),"-")</f>
        <v>40</v>
      </c>
      <c r="I517" s="41" cm="1">
        <f t="array" ref="I517">IFERROR(
(IFERROR(INDEX(Calc_CPI_2[[CPI uplift factor]:[CPI uplift factor]],MATCH($C517,Calc_CPI_2[[Cost item]:[Cost item]],0),1),0)+
INDEX(Input_ForRateCalc[],MATCH(Calc_EnviroSRES_2[[#This Row],[Cost item]:[Cost item]],Input_ForRateCalc[[Cost item]:[Cost item]],0),MATCH($D$267,Inputs!$C$15:$AZ$15,0))),"-")</f>
        <v>40</v>
      </c>
      <c r="J517" s="41" cm="1">
        <f t="array" ref="J517">IFERROR(
(IFERROR(INDEX(Calc_CPI_2[[CPI uplift factor]:[CPI uplift factor]],MATCH($C517,Calc_CPI_2[[Cost item]:[Cost item]],0),1),0)+
INDEX(Input_ForRateCalc[],MATCH(Calc_EnviroSRES_2[[#This Row],[Cost item]:[Cost item]],Input_ForRateCalc[[Cost item]:[Cost item]],0),MATCH($D$267,Inputs!$C$15:$AZ$15,0))),"-")</f>
        <v>40</v>
      </c>
      <c r="K517" s="41" cm="1">
        <f t="array" ref="K517">IFERROR(
(IFERROR(INDEX(Calc_CPI_2[[CPI uplift factor]:[CPI uplift factor]],MATCH($C517,Calc_CPI_2[[Cost item]:[Cost item]],0),1),0)+
INDEX(Input_ForRateCalc[],MATCH(Calc_EnviroSRES_2[[#This Row],[Cost item]:[Cost item]],Input_ForRateCalc[[Cost item]:[Cost item]],0),MATCH($D$267,Inputs!$C$15:$AZ$15,0))),"-")</f>
        <v>40</v>
      </c>
    </row>
    <row r="518" spans="3:13" hidden="1" outlineLevel="1" x14ac:dyDescent="0.25">
      <c r="C518" s="14" t="s">
        <v>213</v>
      </c>
      <c r="D518" s="14" t="s">
        <v>184</v>
      </c>
      <c r="E518" s="14" t="s">
        <v>210</v>
      </c>
      <c r="F518" s="14" t="s">
        <v>139</v>
      </c>
      <c r="G518" s="41" cm="1">
        <f t="array" ref="G518">IFERROR(
(IFERROR(INDEX(Calc_CPI_2[[CPI uplift factor]:[CPI uplift factor]],MATCH($C518,Calc_CPI_2[[Cost item]:[Cost item]],0),1),0)+
INDEX(Input_ForRateCalc[],MATCH(Calc_EnviroSRES_2[[#This Row],[Cost item]:[Cost item]],Input_ForRateCalc[[Cost item]:[Cost item]],0),MATCH($D$267,Inputs!$C$15:$AZ$15,0))),"-")</f>
        <v>0.1714</v>
      </c>
      <c r="H518" s="41" cm="1">
        <f t="array" ref="H518">IFERROR(
(IFERROR(INDEX(Calc_CPI_2[[CPI uplift factor]:[CPI uplift factor]],MATCH($C518,Calc_CPI_2[[Cost item]:[Cost item]],0),1),0)+
INDEX(Input_ForRateCalc[],MATCH(Calc_EnviroSRES_2[[#This Row],[Cost item]:[Cost item]],Input_ForRateCalc[[Cost item]:[Cost item]],0),MATCH($D$267,Inputs!$C$15:$AZ$15,0))),"-")</f>
        <v>0.1714</v>
      </c>
      <c r="I518" s="41" cm="1">
        <f t="array" ref="I518">IFERROR(
(IFERROR(INDEX(Calc_CPI_2[[CPI uplift factor]:[CPI uplift factor]],MATCH($C518,Calc_CPI_2[[Cost item]:[Cost item]],0),1),0)+
INDEX(Input_ForRateCalc[],MATCH(Calc_EnviroSRES_2[[#This Row],[Cost item]:[Cost item]],Input_ForRateCalc[[Cost item]:[Cost item]],0),MATCH($D$267,Inputs!$C$15:$AZ$15,0))),"-")</f>
        <v>0.1714</v>
      </c>
      <c r="J518" s="41" cm="1">
        <f t="array" ref="J518">IFERROR(
(IFERROR(INDEX(Calc_CPI_2[[CPI uplift factor]:[CPI uplift factor]],MATCH($C518,Calc_CPI_2[[Cost item]:[Cost item]],0),1),0)+
INDEX(Input_ForRateCalc[],MATCH(Calc_EnviroSRES_2[[#This Row],[Cost item]:[Cost item]],Input_ForRateCalc[[Cost item]:[Cost item]],0),MATCH($D$267,Inputs!$C$15:$AZ$15,0))),"-")</f>
        <v>0.1714</v>
      </c>
      <c r="K518" s="41" cm="1">
        <f t="array" ref="K518">IFERROR(
(IFERROR(INDEX(Calc_CPI_2[[CPI uplift factor]:[CPI uplift factor]],MATCH($C518,Calc_CPI_2[[Cost item]:[Cost item]],0),1),0)+
INDEX(Input_ForRateCalc[],MATCH(Calc_EnviroSRES_2[[#This Row],[Cost item]:[Cost item]],Input_ForRateCalc[[Cost item]:[Cost item]],0),MATCH($D$267,Inputs!$C$15:$AZ$15,0))),"-")</f>
        <v>0.1714</v>
      </c>
    </row>
    <row r="519" spans="3:13" hidden="1" outlineLevel="1" x14ac:dyDescent="0.25">
      <c r="C519" s="31" t="s">
        <v>402</v>
      </c>
      <c r="D519" s="31" t="s">
        <v>184</v>
      </c>
      <c r="E519" s="31" t="s">
        <v>75</v>
      </c>
      <c r="F519" s="14" t="s">
        <v>139</v>
      </c>
      <c r="G519" s="160">
        <f>IFERROR(
IFERROR(INDEX(Calc_CPI_2[[CPI uplift factor]:[CPI uplift factor]],MATCH($C519,Calc_CPI_2[[Cost item]:[Cost item]],0),1),0)+(G517*G518)/1000,"-")</f>
        <v>6.8560000000000001E-3</v>
      </c>
      <c r="H519" s="49">
        <f>IFERROR(
IFERROR(INDEX(Calc_CPI_2[[CPI uplift factor]:[CPI uplift factor]],MATCH($C519,Calc_CPI_2[[Cost item]:[Cost item]],0),1),0)+(H517*H518)/1000,"-")</f>
        <v>6.8560000000000001E-3</v>
      </c>
      <c r="I519" s="49">
        <f>IFERROR(
IFERROR(INDEX(Calc_CPI_2[[CPI uplift factor]:[CPI uplift factor]],MATCH($C519,Calc_CPI_2[[Cost item]:[Cost item]],0),1),0)+(I517*I518)/1000,"-")</f>
        <v>6.8560000000000001E-3</v>
      </c>
      <c r="J519" s="49">
        <f>IFERROR(
IFERROR(INDEX(Calc_CPI_2[[CPI uplift factor]:[CPI uplift factor]],MATCH($C519,Calc_CPI_2[[Cost item]:[Cost item]],0),1),0)+(J517*J518)/1000,"-")</f>
        <v>6.8560000000000001E-3</v>
      </c>
      <c r="K519" s="49">
        <f>IFERROR(
IFERROR(INDEX(Calc_CPI_2[[CPI uplift factor]:[CPI uplift factor]],MATCH($C519,Calc_CPI_2[[Cost item]:[Cost item]],0),1),0)+(K517*K518)/1000,"-")</f>
        <v>6.8560000000000001E-3</v>
      </c>
    </row>
    <row r="520" spans="3:13" hidden="1" outlineLevel="1" x14ac:dyDescent="0.25">
      <c r="M520" s="54"/>
    </row>
    <row r="521" spans="3:13" ht="15.75" hidden="1" outlineLevel="1" x14ac:dyDescent="0.25">
      <c r="C521" s="20" t="s">
        <v>403</v>
      </c>
    </row>
    <row r="522" spans="3:13" ht="15.75" hidden="1" outlineLevel="1" collapsed="1" x14ac:dyDescent="0.25">
      <c r="C522" s="30" t="s">
        <v>51</v>
      </c>
      <c r="D522" s="30" t="s">
        <v>114</v>
      </c>
      <c r="E522" s="30" t="s">
        <v>62</v>
      </c>
      <c r="F522" s="30" t="s">
        <v>63</v>
      </c>
      <c r="G522" s="40" t="s">
        <v>65</v>
      </c>
      <c r="H522" s="40" t="s">
        <v>66</v>
      </c>
      <c r="I522" s="40" t="s">
        <v>67</v>
      </c>
      <c r="J522" s="40" t="s">
        <v>68</v>
      </c>
      <c r="K522" s="40" t="s">
        <v>69</v>
      </c>
    </row>
    <row r="523" spans="3:13" hidden="1" outlineLevel="1" x14ac:dyDescent="0.25">
      <c r="C523" s="31" t="s">
        <v>146</v>
      </c>
      <c r="D523" s="31" t="s">
        <v>138</v>
      </c>
      <c r="E523" s="14" t="s">
        <v>71</v>
      </c>
      <c r="F523" s="14" t="s">
        <v>139</v>
      </c>
      <c r="G523" s="41" cm="1">
        <f t="array" ref="G523">IFERROR(
(IFERROR(INDEX(Calc_CPI_2[[CPI uplift factor]:[CPI uplift factor]],MATCH($C523,Calc_CPI_2[[Cost item]:[Cost item]],0),1),0)+
INDEX(Input_ForRateCalc[],MATCH(Calc_FiT_2[[#This Row],[Cost item]:[Cost item]],Input_ForRateCalc[[Cost item]:[Cost item]],0),MATCH($D$267,Inputs!$C$15:$AZ$15,0))),"-")</f>
        <v>16.945572514842485</v>
      </c>
      <c r="H523" s="41" cm="1">
        <f t="array" ref="H523">IFERROR(
(IFERROR(INDEX(Calc_CPI_2[[CPI uplift factor]:[CPI uplift factor]],MATCH($C523,Calc_CPI_2[[Cost item]:[Cost item]],0),1),0)+
INDEX(Input_ForRateCalc[],MATCH(Calc_FiT_2[[#This Row],[Cost item]:[Cost item]],Input_ForRateCalc[[Cost item]:[Cost item]],0),MATCH($D$267,Inputs!$C$15:$AZ$15,0))),"-")</f>
        <v>16.945572514842485</v>
      </c>
      <c r="I523" s="41" cm="1">
        <f t="array" ref="I523">IFERROR(
(IFERROR(INDEX(Calc_CPI_2[[CPI uplift factor]:[CPI uplift factor]],MATCH($C523,Calc_CPI_2[[Cost item]:[Cost item]],0),1),0)+
INDEX(Input_ForRateCalc[],MATCH(Calc_FiT_2[[#This Row],[Cost item]:[Cost item]],Input_ForRateCalc[[Cost item]:[Cost item]],0),MATCH($D$267,Inputs!$C$15:$AZ$15,0))),"-")</f>
        <v>16.945572514842485</v>
      </c>
      <c r="J523" s="41" cm="1">
        <f t="array" ref="J523">IFERROR(
(IFERROR(INDEX(Calc_CPI_2[[CPI uplift factor]:[CPI uplift factor]],MATCH($C523,Calc_CPI_2[[Cost item]:[Cost item]],0),1),0)+
INDEX(Input_ForRateCalc[],MATCH(Calc_FiT_2[[#This Row],[Cost item]:[Cost item]],Input_ForRateCalc[[Cost item]:[Cost item]],0),MATCH($D$267,Inputs!$C$15:$AZ$15,0))),"-")</f>
        <v>16.945572514842485</v>
      </c>
      <c r="K523" s="41" cm="1">
        <f t="array" ref="K523">IFERROR(
(IFERROR(INDEX(Calc_CPI_2[[CPI uplift factor]:[CPI uplift factor]],MATCH($C523,Calc_CPI_2[[Cost item]:[Cost item]],0),1),0)+
INDEX(Input_ForRateCalc[],MATCH(Calc_FiT_2[[#This Row],[Cost item]:[Cost item]],Input_ForRateCalc[[Cost item]:[Cost item]],0),MATCH($D$267,Inputs!$C$15:$AZ$15,0))),"-")</f>
        <v>16.945572514842485</v>
      </c>
    </row>
    <row r="524" spans="3:13" hidden="1" outlineLevel="1" x14ac:dyDescent="0.25"/>
    <row r="525" spans="3:13" hidden="1" x14ac:dyDescent="0.25"/>
    <row r="526" spans="3:13" hidden="1" x14ac:dyDescent="0.25"/>
    <row r="527" spans="3:13" hidden="1" x14ac:dyDescent="0.25">
      <c r="G527" s="61"/>
      <c r="H527" s="61"/>
      <c r="I527" s="61"/>
      <c r="J527" s="61"/>
      <c r="K527" s="61"/>
    </row>
    <row r="528" spans="3:13" x14ac:dyDescent="0.25">
      <c r="G528" s="61"/>
      <c r="H528" s="61"/>
      <c r="I528" s="61"/>
      <c r="J528" s="61"/>
      <c r="K528" s="61"/>
    </row>
    <row r="529" spans="4:11" x14ac:dyDescent="0.25">
      <c r="G529" s="61"/>
      <c r="H529" s="61"/>
      <c r="I529" s="61"/>
      <c r="J529" s="61"/>
      <c r="K529" s="61"/>
    </row>
    <row r="530" spans="4:11" x14ac:dyDescent="0.25">
      <c r="G530" s="61"/>
      <c r="H530" s="61"/>
      <c r="I530" s="61"/>
      <c r="J530" s="61"/>
      <c r="K530" s="61"/>
    </row>
    <row r="531" spans="4:11" x14ac:dyDescent="0.25">
      <c r="G531" s="61"/>
      <c r="H531" s="61"/>
      <c r="I531" s="61"/>
      <c r="J531" s="61"/>
      <c r="K531" s="61"/>
    </row>
    <row r="532" spans="4:11" x14ac:dyDescent="0.25">
      <c r="D532" s="92"/>
      <c r="G532" s="61"/>
      <c r="H532" s="61"/>
      <c r="I532" s="61"/>
      <c r="J532" s="61"/>
      <c r="K532" s="61"/>
    </row>
    <row r="533" spans="4:11" x14ac:dyDescent="0.25">
      <c r="G533" s="61"/>
      <c r="H533" s="61"/>
      <c r="I533" s="61"/>
      <c r="J533" s="61"/>
      <c r="K533" s="61"/>
    </row>
    <row r="534" spans="4:11" x14ac:dyDescent="0.25">
      <c r="G534" s="61"/>
      <c r="H534" s="61"/>
      <c r="I534" s="61"/>
      <c r="J534" s="61"/>
      <c r="K534" s="61"/>
    </row>
    <row r="535" spans="4:11" x14ac:dyDescent="0.25">
      <c r="G535" s="61"/>
      <c r="H535" s="61"/>
      <c r="I535" s="61"/>
      <c r="J535" s="61"/>
      <c r="K535" s="61"/>
    </row>
  </sheetData>
  <sheetProtection algorithmName="SHA-512" hashValue="bpCRX72+N/DEtU/DRKthPzKuSK/Qn8l6aLKQ6P1c1MbQ2R0KrMf8iitd5UlhGKC19tlWwyRvqdEgRVfe/SI82A==" saltValue="kpuvVM+YGnXwBTGyIIP2Vw==" spinCount="100000" sheet="1" objects="1" scenarios="1"/>
  <mergeCells count="1">
    <mergeCell ref="A2:A3"/>
  </mergeCells>
  <phoneticPr fontId="30" type="noConversion"/>
  <hyperlinks>
    <hyperlink ref="B1" location="Contents!A1" display="&lt;&lt; Back to Contents" xr:uid="{9EBE31A7-A60F-41B8-B2E9-208E4B9E76BA}"/>
  </hyperlinks>
  <pageMargins left="0.7" right="0.7" top="0.75" bottom="0.75" header="0.3" footer="0.3"/>
  <pageSetup paperSize="9" orientation="portrait" r:id="rId1"/>
  <headerFooter>
    <oddHeader>&amp;C&amp;B&amp;"Arial"&amp;12&amp;Kff0000​‌OFFICIAL‌​</oddHeader>
  </headerFooter>
  <ignoredErrors>
    <ignoredError sqref="E160 G53:K55 G181:K181 G207:K210 G214:K224 G313:K316 H410:I425 G441:K441 G467:K471 G475:K485 G447:K461 G186:K186 H149:I152 G318:K318 H317:K317 H442:K442 G206:H206 J206:K206 H51:K51 H180:K180 H154:I164 G188:K197 H187:K187 G199:K200 H198:K198 G57:K57 H56:K56" calculatedColumn="1"/>
  </ignoredErrors>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extLst>
    <ext xmlns:x14="http://schemas.microsoft.com/office/spreadsheetml/2009/9/main" uri="{CCE6A557-97BC-4b89-ADB6-D9C93CAAB3DF}">
      <x14:dataValidations xmlns:xm="http://schemas.microsoft.com/office/excel/2006/main" count="3">
        <x14:dataValidation type="list" allowBlank="1" showInputMessage="1" showErrorMessage="1" xr:uid="{C269C7C9-C23E-4503-AA68-2E4DCB6653BB}">
          <x14:formula1>
            <xm:f>'Lookup refs'!$C$8:$C$10</xm:f>
          </x14:formula1>
          <xm:sqref>D180:D181 D149:D155 D230:D232 D214:D225 E225 D174 D83:D88 E239 D236:D239 D262 D24:D30 D59:D66 D168:D170 D68:D73 D90:D95 D97:D102 D104:D111 D113:D118 D120:D125 D128:D133 D75:D80 D441:D442 D491:D493 D475:D486 E486 D256:D258 D344:D349 E500 D497:D500 D41:D47 D523 D467:D473 D286:D292 D320:D327 D410:D416 D313:D318 D429:D431 D329:D334 D351:D356 D358:D363 D365:D372 D374:D379 D381:D386 D389:D394 D336:D341 D135:D140 D396:D401 D186:D200 D32:D39 D272:D284 D294:D301 D303:D309 D51:D57 D244:D248 D250:D254 D435:D437 D176 D517:D519 D511:D515 D447:D461 D10:D22 D505:D509 D206:D212</xm:sqref>
        </x14:dataValidation>
        <x14:dataValidation type="list" allowBlank="1" showInputMessage="1" showErrorMessage="1" xr:uid="{33FF5899-A62D-484E-AA27-47145712B4A0}">
          <x14:formula1>
            <xm:f>'Lookup refs'!$E$8:$E$20</xm:f>
          </x14:formula1>
          <xm:sqref>E262 E396:E401 E168:E170 E174 E180:E181 E230:E232 E68:E73 E447:E461 E24:E30 E381:E386 E214:E224 E236:E238 E75:E80 E83:E88 E90:E95 E97:E102 E104:E111 E113:E118 E59:E66 E120:E125 E41:E47 E320:E327 E523 E389:E394 E429:E431 E441:E442 E491:E493 E329:E334 E10:E22 E286:E292 E467:E473 E128:E133 E475:E485 E313:E318 E497:E499 E135:E140 E336:E341 E344:E349 E351:E356 E358:E363 E365:E372 E374:E379 E511:E515 E517:E519 E244:E248 E250:E254 E256:E258 E206:E212 E32:E39 E272:E284 E294:E301 E303:E309 E51:E57 E435:E437 E176 E505:E509 E186:E200</xm:sqref>
        </x14:dataValidation>
        <x14:dataValidation type="list" allowBlank="1" showInputMessage="1" showErrorMessage="1" xr:uid="{DAD79D20-6C02-417F-980C-C7F87801265D}">
          <x14:formula1>
            <xm:f>'Lookup refs'!$G$8:$G$10</xm:f>
          </x14:formula1>
          <xm:sqref>F186:F200 F168:F170 F174 F180:F181 F214:F224 F262 F230:F232 F24:F30 F236:F238 F329:F334 F365:F372 F75:F80 F59:F66 F83:F88 F104:F111 F90:F95 F120:F125 F128:F133 F113:F118 F68:F73 F97:F102 F10:F22 F429:F431 F256:F258 F441:F442 F475:F485 F523 F491:F493 F41:F47 F286:F292 F497:F499 F467:F471 F135:F140 F358:F363 F313:F318 F336:F341 F320:F327 F344:F349 F374:F379 F351:F356 F389:F394 F381:F386 F396:F401 F206:F210 F32:F39 F272:F284 F294:F301 F303:F309 F51:F57 F244:F246 F250:F252 F435:F437 F176 F517:F519 F511:F513 F505:F507 F447:F461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8B75-F4F5-4252-87E0-2C383E67EA33}">
  <sheetPr>
    <tabColor rgb="FF236192"/>
    <outlinePr summaryBelow="0"/>
    <pageSetUpPr autoPageBreaks="0"/>
  </sheetPr>
  <dimension ref="A1:T448"/>
  <sheetViews>
    <sheetView showGridLines="0" topLeftCell="B1" zoomScale="50" zoomScaleNormal="50" workbookViewId="0">
      <pane ySplit="3" topLeftCell="A4" activePane="bottomLeft" state="frozen"/>
      <selection activeCell="B33" sqref="B33"/>
      <selection pane="bottomLeft" activeCell="H453" sqref="H453"/>
    </sheetView>
  </sheetViews>
  <sheetFormatPr defaultColWidth="9.42578125" defaultRowHeight="15" outlineLevelRow="1" outlineLevelCol="1" x14ac:dyDescent="0.25"/>
  <cols>
    <col min="1" max="1" width="100.5703125" hidden="1" customWidth="1" outlineLevel="1"/>
    <col min="2" max="2" width="10.5703125" style="5" customWidth="1" collapsed="1"/>
    <col min="3" max="3" width="48.140625" customWidth="1"/>
    <col min="4" max="4" width="20.5703125" customWidth="1"/>
    <col min="5" max="5" width="13" customWidth="1"/>
    <col min="6" max="17" width="20.5703125" customWidth="1"/>
  </cols>
  <sheetData>
    <row r="1" spans="1:17" ht="15" customHeight="1" x14ac:dyDescent="0.25">
      <c r="A1" s="1" t="s">
        <v>33</v>
      </c>
      <c r="B1" s="249" t="s">
        <v>576</v>
      </c>
      <c r="C1" s="13"/>
      <c r="D1" s="13"/>
      <c r="E1" s="13"/>
      <c r="F1" s="13"/>
      <c r="G1" s="13"/>
      <c r="H1" s="13"/>
      <c r="I1" s="13"/>
      <c r="J1" s="13"/>
      <c r="K1" s="13"/>
      <c r="L1" s="13"/>
      <c r="M1" s="13"/>
      <c r="N1" s="13"/>
      <c r="O1" s="13"/>
      <c r="P1" s="13"/>
      <c r="Q1" s="13"/>
    </row>
    <row r="2" spans="1:17" s="3" customFormat="1" ht="50.1" customHeight="1" x14ac:dyDescent="0.25">
      <c r="A2" s="253" t="s">
        <v>34</v>
      </c>
      <c r="B2" s="16"/>
      <c r="C2" s="16" t="str">
        <f>Disclaimer!$B$1</f>
        <v>VDO calculation model</v>
      </c>
      <c r="D2" s="16"/>
      <c r="E2" s="16"/>
      <c r="F2" s="16"/>
      <c r="G2" s="16"/>
      <c r="H2" s="16"/>
      <c r="I2" s="16"/>
      <c r="J2" s="16"/>
      <c r="K2" s="16"/>
      <c r="L2" s="16"/>
      <c r="M2" s="16"/>
      <c r="N2" s="16"/>
      <c r="O2" s="16"/>
      <c r="P2" s="16"/>
      <c r="Q2" s="16"/>
    </row>
    <row r="3" spans="1:17" s="3" customFormat="1" ht="30" customHeight="1" x14ac:dyDescent="0.25">
      <c r="A3" s="253"/>
      <c r="B3" s="18">
        <f ca="1">_xlfn.SHEET()</f>
        <v>14</v>
      </c>
      <c r="C3" s="17" t="s">
        <v>404</v>
      </c>
      <c r="D3" s="17"/>
      <c r="E3" s="17"/>
      <c r="F3" s="17"/>
      <c r="G3" s="17"/>
      <c r="H3" s="17"/>
      <c r="I3" s="17"/>
      <c r="J3" s="17"/>
      <c r="K3" s="17"/>
      <c r="L3" s="17"/>
      <c r="M3" s="17"/>
      <c r="N3" s="17"/>
      <c r="O3" s="17"/>
      <c r="P3" s="17"/>
      <c r="Q3" s="17"/>
    </row>
    <row r="4" spans="1:17" x14ac:dyDescent="0.25">
      <c r="B4"/>
    </row>
    <row r="5" spans="1:17" ht="15.75" x14ac:dyDescent="0.25">
      <c r="B5"/>
      <c r="C5" s="36" t="s">
        <v>49</v>
      </c>
      <c r="D5" s="28" t="str">
        <f>Calc_Rates!$D$5</f>
        <v>VDO 2024-25 - Final</v>
      </c>
      <c r="G5" s="158"/>
    </row>
    <row r="6" spans="1:17" x14ac:dyDescent="0.25">
      <c r="B6"/>
    </row>
    <row r="7" spans="1:17" ht="16.5" thickBot="1" x14ac:dyDescent="0.3">
      <c r="B7" s="155">
        <f ca="1">MAX(B$3:B6)+0.01</f>
        <v>14.01</v>
      </c>
      <c r="C7" s="19" t="s">
        <v>405</v>
      </c>
      <c r="D7" s="19"/>
      <c r="E7" s="19"/>
      <c r="F7" s="19"/>
      <c r="G7" s="19"/>
      <c r="H7" s="19"/>
      <c r="I7" s="19"/>
      <c r="J7" s="19"/>
      <c r="K7" s="19"/>
      <c r="L7" s="19"/>
      <c r="M7" s="19"/>
      <c r="N7" s="19"/>
      <c r="O7" s="19"/>
      <c r="P7" s="19"/>
      <c r="Q7" s="19"/>
    </row>
    <row r="9" spans="1:17" ht="15.75" outlineLevel="1" x14ac:dyDescent="0.25">
      <c r="C9" s="36" t="s">
        <v>406</v>
      </c>
      <c r="D9" s="100">
        <v>12</v>
      </c>
      <c r="H9" s="29" t="s">
        <v>51</v>
      </c>
      <c r="I9" s="29" t="s">
        <v>62</v>
      </c>
      <c r="J9" s="29" t="s">
        <v>63</v>
      </c>
      <c r="K9" s="32" t="s">
        <v>65</v>
      </c>
      <c r="L9" s="32" t="s">
        <v>66</v>
      </c>
      <c r="M9" s="32" t="s">
        <v>67</v>
      </c>
      <c r="N9" s="32" t="s">
        <v>68</v>
      </c>
      <c r="O9" s="32" t="s">
        <v>69</v>
      </c>
      <c r="P9" s="32" t="s">
        <v>407</v>
      </c>
    </row>
    <row r="10" spans="1:17" ht="15.75" outlineLevel="1" x14ac:dyDescent="0.25">
      <c r="C10" s="36" t="s">
        <v>408</v>
      </c>
      <c r="D10" s="101">
        <f>D9/MiY</f>
        <v>1</v>
      </c>
      <c r="H10" s="39" t="s">
        <v>409</v>
      </c>
      <c r="I10" s="14" t="s">
        <v>185</v>
      </c>
      <c r="J10" s="39" t="s">
        <v>139</v>
      </c>
      <c r="K10" s="91">
        <f>INDEX(Calc_TUV_Env_1[[Ausnet]:[United Energy]],MATCH($H10,Calc_TUV_Env_1[[Cost item]:[Cost item]],0),MATCH(K$9,Calc_TUV_Env_1[[#Headers],[Ausnet]:[United Energy]],0))*1000</f>
        <v>-0.16591428732548733</v>
      </c>
      <c r="L10" s="91">
        <f>INDEX(Calc_TUV_Env_1[[Ausnet]:[United Energy]],MATCH($H10,Calc_TUV_Env_1[[Cost item]:[Cost item]],0),MATCH(L$9,Calc_TUV_Env_1[[#Headers],[Ausnet]:[United Energy]],0))*1000</f>
        <v>-0.15973424686555543</v>
      </c>
      <c r="M10" s="91">
        <f>INDEX(Calc_TUV_Env_1[[Ausnet]:[United Energy]],MATCH($H10,Calc_TUV_Env_1[[Cost item]:[Cost item]],0),MATCH(M$9,Calc_TUV_Env_1[[#Headers],[Ausnet]:[United Energy]],0))*1000</f>
        <v>-0.15978979328574008</v>
      </c>
      <c r="N10" s="91">
        <f>INDEX(Calc_TUV_Env_1[[Ausnet]:[United Energy]],MATCH($H10,Calc_TUV_Env_1[[Cost item]:[Cost item]],0),MATCH(N$9,Calc_TUV_Env_1[[#Headers],[Ausnet]:[United Energy]],0))*1000</f>
        <v>-0.16377603685831232</v>
      </c>
      <c r="O10" s="91">
        <f>INDEX(Calc_TUV_Env_1[[Ausnet]:[United Energy]],MATCH($H10,Calc_TUV_Env_1[[Cost item]:[Cost item]],0),MATCH(O$9,Calc_TUV_Env_1[[#Headers],[Ausnet]:[United Energy]],0))*1000</f>
        <v>-0.16003341758034664</v>
      </c>
      <c r="P10" s="91">
        <f>IFERROR(AVERAGE(K10:O10),"-")</f>
        <v>-0.16184955638308834</v>
      </c>
    </row>
    <row r="11" spans="1:17" outlineLevel="1" x14ac:dyDescent="0.25">
      <c r="C11" s="5"/>
      <c r="D11" s="5"/>
      <c r="E11" s="5"/>
      <c r="H11" s="39" t="s">
        <v>411</v>
      </c>
      <c r="I11" s="14" t="s">
        <v>185</v>
      </c>
      <c r="J11" s="39" t="s">
        <v>139</v>
      </c>
      <c r="K11" s="91">
        <f>INDEX(Calc_TUV_Env_1[[Ausnet]:[United Energy]],MATCH($H11,Calc_TUV_Env_1[[Cost item]:[Cost item]],0),MATCH(K$9,Calc_TUV_Env_1[[#Headers],[Ausnet]:[United Energy]],0))*1000</f>
        <v>0.8245785755279218</v>
      </c>
      <c r="L11" s="91">
        <f>INDEX(Calc_TUV_Env_1[[Ausnet]:[United Energy]],MATCH($H11,Calc_TUV_Env_1[[Cost item]:[Cost item]],0),MATCH(L$9,Calc_TUV_Env_1[[#Headers],[Ausnet]:[United Energy]],0))*1000</f>
        <v>0.79386434927711991</v>
      </c>
      <c r="M11" s="91">
        <f>INDEX(Calc_TUV_Env_1[[Ausnet]:[United Energy]],MATCH($H11,Calc_TUV_Env_1[[Cost item]:[Cost item]],0),MATCH(M$9,Calc_TUV_Env_1[[#Headers],[Ausnet]:[United Energy]],0))*1000</f>
        <v>0.79414040981880007</v>
      </c>
      <c r="N11" s="91">
        <f>INDEX(Calc_TUV_Env_1[[Ausnet]:[United Energy]],MATCH($H11,Calc_TUV_Env_1[[Cost item]:[Cost item]],0),MATCH(N$9,Calc_TUV_Env_1[[#Headers],[Ausnet]:[United Energy]],0))*1000</f>
        <v>0.81395166959494358</v>
      </c>
      <c r="O11" s="91">
        <f>INDEX(Calc_TUV_Env_1[[Ausnet]:[United Energy]],MATCH($H11,Calc_TUV_Env_1[[Cost item]:[Cost item]],0),MATCH(O$9,Calc_TUV_Env_1[[#Headers],[Ausnet]:[United Energy]],0))*1000</f>
        <v>0.79535119990233616</v>
      </c>
      <c r="P11" s="91">
        <f>IFERROR(AVERAGE(K11:O11),"-")</f>
        <v>0.80437724082422446</v>
      </c>
    </row>
    <row r="12" spans="1:17" outlineLevel="1" x14ac:dyDescent="0.25">
      <c r="H12" s="39" t="s">
        <v>412</v>
      </c>
      <c r="I12" s="14" t="s">
        <v>185</v>
      </c>
      <c r="J12" s="39" t="s">
        <v>139</v>
      </c>
      <c r="K12" s="91">
        <f>INDEX(Calc_TUV_Env_1[[Ausnet]:[United Energy]],MATCH($H12,Calc_TUV_Env_1[[Cost item]:[Cost item]],0),MATCH(K$9,Calc_TUV_Env_1[[#Headers],[Ausnet]:[United Energy]],0))*1000</f>
        <v>-5.6327598483954116E-6</v>
      </c>
      <c r="L12" s="91">
        <f>INDEX(Calc_TUV_Env_1[[Ausnet]:[United Energy]],MATCH($H12,Calc_TUV_Env_1[[Cost item]:[Cost item]],0),MATCH(L$9,Calc_TUV_Env_1[[#Headers],[Ausnet]:[United Energy]],0))*1000</f>
        <v>-5.4229485999170173E-6</v>
      </c>
      <c r="M12" s="91">
        <f>INDEX(Calc_TUV_Env_1[[Ausnet]:[United Energy]],MATCH($H12,Calc_TUV_Env_1[[Cost item]:[Cost item]],0),MATCH(M$9,Calc_TUV_Env_1[[#Headers],[Ausnet]:[United Energy]],0))*1000</f>
        <v>-5.4248343907695215E-6</v>
      </c>
      <c r="N12" s="91">
        <f>INDEX(Calc_TUV_Env_1[[Ausnet]:[United Energy]],MATCH($H12,Calc_TUV_Env_1[[Cost item]:[Cost item]],0),MATCH(N$9,Calc_TUV_Env_1[[#Headers],[Ausnet]:[United Energy]],0))*1000</f>
        <v>-5.5601666343240515E-6</v>
      </c>
      <c r="O12" s="91">
        <f>INDEX(Calc_TUV_Env_1[[Ausnet]:[United Energy]],MATCH($H12,Calc_TUV_Env_1[[Cost item]:[Cost item]],0),MATCH(O$9,Calc_TUV_Env_1[[#Headers],[Ausnet]:[United Energy]],0))*1000</f>
        <v>-5.433105391217249E-6</v>
      </c>
      <c r="P12" s="91">
        <f>IFERROR(AVERAGE(K12:O12),"-")</f>
        <v>-5.4947629729246502E-6</v>
      </c>
    </row>
    <row r="13" spans="1:17" ht="15.75" outlineLevel="1" x14ac:dyDescent="0.25">
      <c r="C13" s="20"/>
      <c r="K13" s="138"/>
    </row>
    <row r="14" spans="1:17" ht="15.75" outlineLevel="1" x14ac:dyDescent="0.25">
      <c r="C14" s="20" t="s">
        <v>413</v>
      </c>
    </row>
    <row r="15" spans="1:17" ht="15.75" outlineLevel="1" x14ac:dyDescent="0.25">
      <c r="C15" s="30" t="s">
        <v>51</v>
      </c>
      <c r="D15" s="30" t="s">
        <v>49</v>
      </c>
      <c r="E15" s="30" t="s">
        <v>414</v>
      </c>
      <c r="F15" s="30" t="s">
        <v>415</v>
      </c>
      <c r="G15" s="30" t="s">
        <v>416</v>
      </c>
      <c r="H15" s="30" t="s">
        <v>114</v>
      </c>
      <c r="I15" s="30" t="s">
        <v>62</v>
      </c>
      <c r="J15" s="29" t="s">
        <v>63</v>
      </c>
      <c r="K15" s="40" t="s">
        <v>65</v>
      </c>
      <c r="L15" s="40" t="s">
        <v>66</v>
      </c>
      <c r="M15" s="40" t="s">
        <v>67</v>
      </c>
      <c r="N15" s="40" t="s">
        <v>68</v>
      </c>
      <c r="O15" s="40" t="s">
        <v>69</v>
      </c>
    </row>
    <row r="16" spans="1:17" outlineLevel="1" x14ac:dyDescent="0.25">
      <c r="C16" s="14"/>
      <c r="D16" s="14"/>
      <c r="E16" s="14"/>
      <c r="F16" s="14"/>
      <c r="G16" s="14"/>
      <c r="H16" s="14"/>
      <c r="I16" s="14"/>
      <c r="J16" s="14"/>
      <c r="K16" s="14"/>
      <c r="L16" s="14"/>
      <c r="M16" s="14"/>
      <c r="N16" s="14"/>
      <c r="O16" s="14"/>
    </row>
    <row r="17" spans="3:15" outlineLevel="1" x14ac:dyDescent="0.25">
      <c r="C17" s="37" t="s">
        <v>311</v>
      </c>
      <c r="D17" s="37"/>
      <c r="E17" s="37"/>
      <c r="F17" s="37"/>
      <c r="G17" s="28" t="str">
        <f>INDEX(Input_TU_YesNo[],MATCH(Calc_TUV_Env_1[[#This Row],[Cost item]],Input_TU_YesNo[Component],0),MATCH($D$5,Inputs!$C$210:$BM$210,0))</f>
        <v>Yes</v>
      </c>
      <c r="H17" s="47"/>
      <c r="I17" s="14"/>
      <c r="J17" s="14"/>
      <c r="L17" s="14"/>
      <c r="M17" s="14"/>
      <c r="N17" s="14"/>
      <c r="O17" s="14"/>
    </row>
    <row r="18" spans="3:15" outlineLevel="1" x14ac:dyDescent="0.25">
      <c r="C18" s="14" t="s">
        <v>207</v>
      </c>
      <c r="D18" s="58" t="str">
        <f>$D$5</f>
        <v>VDO 2024-25 - Final</v>
      </c>
      <c r="E18" s="14" t="s">
        <v>322</v>
      </c>
      <c r="F18" s="58" t="str">
        <f>INDEX(Inputs!$C$17:$AZ$17,1,MATCH($D18,Inputs!$C$15:$AZ$15,0))</f>
        <v>F-NextVDO_Input</v>
      </c>
      <c r="G18" s="38"/>
      <c r="H18" s="14" t="s">
        <v>184</v>
      </c>
      <c r="I18" s="14" t="s">
        <v>206</v>
      </c>
      <c r="J18" s="39" t="s">
        <v>139</v>
      </c>
      <c r="K18" s="44">
        <f>IFERROR(INDEX(Input_TUEnv_Actual[],MATCH($C18,Input_TUEnv_Actual[Cost item],0),MATCH($F18,Input_TUEnv_Actual[#Headers],0)),"-")</f>
        <v>54.83</v>
      </c>
      <c r="L18" s="44">
        <f>IFERROR(INDEX(Input_TUEnv_Actual[],MATCH($C18,Input_TUEnv_Actual[Cost item],0),MATCH($F18,Input_TUEnv_Actual[#Headers],0)),"-")</f>
        <v>54.83</v>
      </c>
      <c r="M18" s="44">
        <f>IFERROR(INDEX(Input_TUEnv_Actual[],MATCH($C18,Input_TUEnv_Actual[Cost item],0),MATCH($F18,Input_TUEnv_Actual[#Headers],0)),"-")</f>
        <v>54.83</v>
      </c>
      <c r="N18" s="44">
        <f>IFERROR(INDEX(Input_TUEnv_Actual[],MATCH($C18,Input_TUEnv_Actual[Cost item],0),MATCH($F18,Input_TUEnv_Actual[#Headers],0)),"-")</f>
        <v>54.83</v>
      </c>
      <c r="O18" s="44">
        <f>IFERROR(INDEX(Input_TUEnv_Actual[],MATCH($C18,Input_TUEnv_Actual[Cost item],0),MATCH($F18,Input_TUEnv_Actual[#Headers],0)),"-")</f>
        <v>54.83</v>
      </c>
    </row>
    <row r="19" spans="3:15" outlineLevel="1" x14ac:dyDescent="0.25">
      <c r="C19" s="14" t="s">
        <v>211</v>
      </c>
      <c r="D19" s="58" t="str">
        <f>$D$5</f>
        <v>VDO 2024-25 - Final</v>
      </c>
      <c r="E19" s="14" t="s">
        <v>322</v>
      </c>
      <c r="F19" s="58" t="str">
        <f>INDEX(Inputs!$C$17:$AZ$17,1,MATCH($D19,Inputs!$C$15:$AZ$15,0))</f>
        <v>F-NextVDO_Input</v>
      </c>
      <c r="G19" s="38"/>
      <c r="H19" s="14" t="s">
        <v>184</v>
      </c>
      <c r="I19" s="14" t="s">
        <v>210</v>
      </c>
      <c r="J19" s="39" t="s">
        <v>139</v>
      </c>
      <c r="K19" s="46">
        <f>IFERROR(INDEX(Input_TUEnv_Actual[],MATCH($C19,Input_TUEnv_Actual[Cost item],0),MATCH($F19,Input_TUEnv_Actual[#Headers],0)),"-")</f>
        <v>0.18719999999999998</v>
      </c>
      <c r="L19" s="46">
        <f>IFERROR(INDEX(Input_TUEnv_Actual[],MATCH($C19,Input_TUEnv_Actual[Cost item],0),MATCH($F19,Input_TUEnv_Actual[#Headers],0)),"-")</f>
        <v>0.18719999999999998</v>
      </c>
      <c r="M19" s="46">
        <f>IFERROR(INDEX(Input_TUEnv_Actual[],MATCH($C19,Input_TUEnv_Actual[Cost item],0),MATCH($F19,Input_TUEnv_Actual[#Headers],0)),"-")</f>
        <v>0.18719999999999998</v>
      </c>
      <c r="N19" s="46">
        <f>IFERROR(INDEX(Input_TUEnv_Actual[],MATCH($C19,Input_TUEnv_Actual[Cost item],0),MATCH($F19,Input_TUEnv_Actual[#Headers],0)),"-")</f>
        <v>0.18719999999999998</v>
      </c>
      <c r="O19" s="46">
        <f>IFERROR(INDEX(Input_TUEnv_Actual[],MATCH($C19,Input_TUEnv_Actual[Cost item],0),MATCH($F19,Input_TUEnv_Actual[#Headers],0)),"-")</f>
        <v>0.18719999999999998</v>
      </c>
    </row>
    <row r="20" spans="3:15" outlineLevel="1" x14ac:dyDescent="0.25">
      <c r="C20" s="14" t="s">
        <v>417</v>
      </c>
      <c r="D20" s="58" t="str">
        <f>$D$5</f>
        <v>VDO 2024-25 - Final</v>
      </c>
      <c r="E20" s="14" t="s">
        <v>322</v>
      </c>
      <c r="F20" s="58" t="str">
        <f>INDEX(Inputs!$C$17:$AZ$17,1,MATCH($D20,Inputs!$C$15:$AZ$15,0))</f>
        <v>F-NextVDO_Input</v>
      </c>
      <c r="G20" s="38"/>
      <c r="H20" s="14" t="s">
        <v>184</v>
      </c>
      <c r="I20" s="14" t="s">
        <v>75</v>
      </c>
      <c r="J20" s="39" t="s">
        <v>139</v>
      </c>
      <c r="K20" s="43">
        <f>K18*K19/1000</f>
        <v>1.0264176E-2</v>
      </c>
      <c r="L20" s="43">
        <f>L18*L19/1000</f>
        <v>1.0264176E-2</v>
      </c>
      <c r="M20" s="43">
        <f>M18*M19/1000</f>
        <v>1.0264176E-2</v>
      </c>
      <c r="N20" s="43">
        <f>N18*N19/1000</f>
        <v>1.0264176E-2</v>
      </c>
      <c r="O20" s="43">
        <f>O18*O19/1000</f>
        <v>1.0264176E-2</v>
      </c>
    </row>
    <row r="21" spans="3:15" outlineLevel="1" x14ac:dyDescent="0.25">
      <c r="C21" s="14" t="s">
        <v>207</v>
      </c>
      <c r="D21" s="58" t="str">
        <f>INDEX(Input_DecisionActual[[Decision]:[Decision]],MATCH($D$5,Input_DecisionActual[[VDO period]:[VDO period]],0),1)</f>
        <v>VDO 2023-24 - Final</v>
      </c>
      <c r="E21" s="14" t="s">
        <v>102</v>
      </c>
      <c r="F21" s="58" t="str">
        <f>IF($D21="-","-",INDEX(Inputs!$C$17:$AZ$17,1,MATCH($D21,Inputs!$C$15:$AZ$15,0)))</f>
        <v>F-CurrentVDO_Input</v>
      </c>
      <c r="G21" s="38"/>
      <c r="H21" s="14" t="s">
        <v>184</v>
      </c>
      <c r="I21" s="14" t="s">
        <v>206</v>
      </c>
      <c r="J21" s="39" t="s">
        <v>139</v>
      </c>
      <c r="K21" s="45">
        <f>IFERROR(INDEX(Inputs!$C$18:$AZ$141,MATCH($C21,Input_ForRateCalc[Cost item],0),MATCH($F21,Inputs!$C$17:$AZ$17,0)),"-")</f>
        <v>54.83</v>
      </c>
      <c r="L21" s="45">
        <f>IFERROR(INDEX(Inputs!$C$18:$AZ$141,MATCH($C21,Input_ForRateCalc[Cost item],0),MATCH($F21,Inputs!$C$17:$AZ$17,0)),"-")</f>
        <v>54.83</v>
      </c>
      <c r="M21" s="45">
        <f>IFERROR(INDEX(Inputs!$C$18:$AZ$141,MATCH($C21,Input_ForRateCalc[Cost item],0),MATCH($F21,Inputs!$C$17:$AZ$17,0)),"-")</f>
        <v>54.83</v>
      </c>
      <c r="N21" s="45">
        <f>IFERROR(INDEX(Inputs!$C$18:$AZ$141,MATCH($C21,Input_ForRateCalc[Cost item],0),MATCH($F21,Inputs!$C$17:$AZ$17,0)),"-")</f>
        <v>54.83</v>
      </c>
      <c r="O21" s="45">
        <f>IFERROR(INDEX(Inputs!$C$18:$AZ$141,MATCH($C21,Input_ForRateCalc[Cost item],0),MATCH($F21,Inputs!$C$17:$AZ$17,0)),"-")</f>
        <v>54.83</v>
      </c>
    </row>
    <row r="22" spans="3:15" outlineLevel="1" x14ac:dyDescent="0.25">
      <c r="C22" s="14" t="s">
        <v>211</v>
      </c>
      <c r="D22" s="58" t="str">
        <f>INDEX(Input_DecisionActual[[Decision]:[Decision]],MATCH($D$5,Input_DecisionActual[[VDO period]:[VDO period]],0),1)</f>
        <v>VDO 2023-24 - Final</v>
      </c>
      <c r="E22" s="14" t="s">
        <v>102</v>
      </c>
      <c r="F22" s="58" t="str">
        <f>IF($D22="-","-",INDEX(Inputs!$C$17:$AZ$17,1,MATCH($D22,Inputs!$C$15:$AZ$15,0)))</f>
        <v>F-CurrentVDO_Input</v>
      </c>
      <c r="G22" s="38"/>
      <c r="H22" s="14" t="s">
        <v>184</v>
      </c>
      <c r="I22" s="14" t="s">
        <v>210</v>
      </c>
      <c r="J22" s="39" t="s">
        <v>139</v>
      </c>
      <c r="K22" s="46">
        <f>IFERROR(INDEX(Inputs!$C$18:$AZ$141,MATCH($C22,Input_ForRateCalc[Cost item],0),MATCH($F22,Inputs!$C$17:$AZ$17,0)),"-")</f>
        <v>0.18959999999999999</v>
      </c>
      <c r="L22" s="46">
        <f>IFERROR(INDEX(Inputs!$C$18:$AZ$141,MATCH($C22,Input_ForRateCalc[Cost item],0),MATCH($F22,Inputs!$C$17:$AZ$17,0)),"-")</f>
        <v>0.18959999999999999</v>
      </c>
      <c r="M22" s="46">
        <f>IFERROR(INDEX(Inputs!$C$18:$AZ$141,MATCH($C22,Input_ForRateCalc[Cost item],0),MATCH($F22,Inputs!$C$17:$AZ$17,0)),"-")</f>
        <v>0.18959999999999999</v>
      </c>
      <c r="N22" s="46">
        <f>IFERROR(INDEX(Inputs!$C$18:$AZ$141,MATCH($C22,Input_ForRateCalc[Cost item],0),MATCH($F22,Inputs!$C$17:$AZ$17,0)),"-")</f>
        <v>0.18959999999999999</v>
      </c>
      <c r="O22" s="46">
        <f>IFERROR(INDEX(Inputs!$C$18:$AZ$141,MATCH($C22,Input_ForRateCalc[Cost item],0),MATCH($F22,Inputs!$C$17:$AZ$17,0)),"-")</f>
        <v>0.18959999999999999</v>
      </c>
    </row>
    <row r="23" spans="3:15" outlineLevel="1" x14ac:dyDescent="0.25">
      <c r="C23" s="14" t="s">
        <v>417</v>
      </c>
      <c r="D23" s="58" t="str">
        <f>INDEX(Input_DecisionActual[[Decision]:[Decision]],MATCH($D$5,Input_DecisionActual[[VDO period]:[VDO period]],0),1)</f>
        <v>VDO 2023-24 - Final</v>
      </c>
      <c r="E23" s="14" t="s">
        <v>102</v>
      </c>
      <c r="F23" s="58" t="str">
        <f>IF($D23="-","-",INDEX(Inputs!$C$17:$AZ$17,1,MATCH($D23,Inputs!$C$15:$AZ$15,0)))</f>
        <v>F-CurrentVDO_Input</v>
      </c>
      <c r="G23" s="38"/>
      <c r="H23" s="14" t="s">
        <v>184</v>
      </c>
      <c r="I23" s="14" t="s">
        <v>75</v>
      </c>
      <c r="J23" s="39" t="s">
        <v>139</v>
      </c>
      <c r="K23" s="43">
        <f>IFERROR(K21*K22/1000,"-")</f>
        <v>1.0395767999999998E-2</v>
      </c>
      <c r="L23" s="43">
        <f>IFERROR(L21*L22/1000,"-")</f>
        <v>1.0395767999999998E-2</v>
      </c>
      <c r="M23" s="43">
        <f>IFERROR(M21*M22/1000,"-")</f>
        <v>1.0395767999999998E-2</v>
      </c>
      <c r="N23" s="43">
        <f>IFERROR(N21*N22/1000,"-")</f>
        <v>1.0395767999999998E-2</v>
      </c>
      <c r="O23" s="43">
        <f>IFERROR(O21*O22/1000,"-")</f>
        <v>1.0395767999999998E-2</v>
      </c>
    </row>
    <row r="24" spans="3:15" outlineLevel="1" x14ac:dyDescent="0.25">
      <c r="C24" s="14" t="s">
        <v>418</v>
      </c>
      <c r="D24" s="14"/>
      <c r="E24" s="14"/>
      <c r="F24" s="14"/>
      <c r="G24" s="14"/>
      <c r="H24" s="14" t="s">
        <v>184</v>
      </c>
      <c r="I24" s="14" t="s">
        <v>75</v>
      </c>
      <c r="J24" s="14" t="s">
        <v>139</v>
      </c>
      <c r="K24" s="246">
        <f>IFERROR(K20-K23,"-")</f>
        <v>-1.3159199999999809E-4</v>
      </c>
      <c r="L24" s="246">
        <f>IFERROR(L20-L23,"-")</f>
        <v>-1.3159199999999809E-4</v>
      </c>
      <c r="M24" s="246">
        <f>IFERROR(M20-M23,"-")</f>
        <v>-1.3159199999999809E-4</v>
      </c>
      <c r="N24" s="246">
        <f>IFERROR(N20-N23,"-")</f>
        <v>-1.3159199999999809E-4</v>
      </c>
      <c r="O24" s="246">
        <f>IFERROR(O20-O23,"-")</f>
        <v>-1.3159199999999809E-4</v>
      </c>
    </row>
    <row r="25" spans="3:15" outlineLevel="1" x14ac:dyDescent="0.25">
      <c r="C25" s="14" t="s">
        <v>419</v>
      </c>
      <c r="D25" s="58" t="str">
        <f>INDEX(Input_DecisionActual[[Decision]:[Decision]],MATCH($D$5,Input_DecisionActual[[VDO period]:[VDO period]],0),1)</f>
        <v>VDO 2023-24 - Final</v>
      </c>
      <c r="E25" s="14" t="s">
        <v>102</v>
      </c>
      <c r="F25" s="58" t="str">
        <f>IF($D25="-","-",INDEX(Inputs!$C$17:$AZ$17,1,MATCH($D25,Inputs!$C$15:$AZ$15,0)))</f>
        <v>F-CurrentVDO_Input</v>
      </c>
      <c r="G25" s="14"/>
      <c r="H25" s="14" t="s">
        <v>184</v>
      </c>
      <c r="I25" s="14" t="s">
        <v>75</v>
      </c>
      <c r="J25" s="14" t="s">
        <v>139</v>
      </c>
      <c r="K25" s="162">
        <f>IFERROR(K24*(INDEX(Inputs!$C$18:$AZ$141,MATCH("Marginal loss factor - "&amp;K$15,Input_ForRateCalc[Cost item],0),MATCH($F25,Inputs!$C$17:$AZ$17,0))*INDEX(Inputs!$C$18:$AZ$141,MATCH("Distribution loss factor - "&amp;K$15,Input_ForRateCalc[Cost item],0),MATCH($F25,Inputs!$C$17:$AZ$17,0))-1),"-")</f>
        <v>-1.124054762869277E-5</v>
      </c>
      <c r="L25" s="162">
        <f>IFERROR(L24*(INDEX(Inputs!$C$18:$AZ$141,MATCH("Marginal loss factor - "&amp;L$15,Input_ForRateCalc[Cost item],0),MATCH($F25,Inputs!$C$17:$AZ$17,0))*INDEX(Inputs!$C$18:$AZ$141,MATCH("Distribution loss factor - "&amp;L$15,Input_ForRateCalc[Cost item],0),MATCH($F25,Inputs!$C$17:$AZ$17,0))-1),"-")</f>
        <v>-5.9202648635999052E-6</v>
      </c>
      <c r="M25" s="162">
        <f>IFERROR(M24*(INDEX(Inputs!$C$18:$AZ$141,MATCH("Marginal loss factor - "&amp;M$15,Input_ForRateCalc[Cost item],0),MATCH($F25,Inputs!$C$17:$AZ$17,0))*INDEX(Inputs!$C$18:$AZ$141,MATCH("Distribution loss factor - "&amp;M$15,Input_ForRateCalc[Cost item],0),MATCH($F25,Inputs!$C$17:$AZ$17,0))-1),"-")</f>
        <v>-5.9680837514999016E-6</v>
      </c>
      <c r="N25" s="162">
        <f>IFERROR(N24*(INDEX(Inputs!$C$18:$AZ$141,MATCH("Marginal loss factor - "&amp;N$15,Input_ForRateCalc[Cost item],0),MATCH($F25,Inputs!$C$17:$AZ$17,0))*INDEX(Inputs!$C$18:$AZ$141,MATCH("Distribution loss factor - "&amp;N$15,Input_ForRateCalc[Cost item],0),MATCH($F25,Inputs!$C$17:$AZ$17,0))-1),"-")</f>
        <v>-9.399767267832747E-6</v>
      </c>
      <c r="O25" s="162">
        <f>IFERROR(O24*(INDEX(Inputs!$C$18:$AZ$141,MATCH("Marginal loss factor - "&amp;O$15,Input_ForRateCalc[Cost item],0),MATCH($F25,Inputs!$C$17:$AZ$17,0))*INDEX(Inputs!$C$18:$AZ$141,MATCH("Distribution loss factor - "&amp;O$15,Input_ForRateCalc[Cost item],0),MATCH($F25,Inputs!$C$17:$AZ$17,0))-1),"-")</f>
        <v>-6.1778154100799228E-6</v>
      </c>
    </row>
    <row r="26" spans="3:15" outlineLevel="1" x14ac:dyDescent="0.25">
      <c r="C26" s="14" t="s">
        <v>420</v>
      </c>
      <c r="D26" s="58" t="str">
        <f>INDEX(Input_DecisionActual[[Decision]:[Decision]],MATCH($D$5,Input_DecisionActual[[VDO period]:[VDO period]],0),1)</f>
        <v>VDO 2023-24 - Final</v>
      </c>
      <c r="E26" s="14" t="s">
        <v>102</v>
      </c>
      <c r="F26" s="58" t="str">
        <f>IF($D26="-","-",INDEX(Inputs!$C$17:$AZ$17,1,MATCH($D26,Inputs!$C$15:$AZ$15,0)))</f>
        <v>F-CurrentVDO_Input</v>
      </c>
      <c r="G26" s="14"/>
      <c r="H26" s="14" t="s">
        <v>184</v>
      </c>
      <c r="I26" s="14" t="s">
        <v>75</v>
      </c>
      <c r="J26" s="14" t="s">
        <v>139</v>
      </c>
      <c r="K26" s="162">
        <f>IFERROR(SUM(K24:K25)*(INDEX(Inputs!$C$18:$AZ$141,MATCH("Retail operating margin",Input_ForRateCalc[Cost item],0),MATCH($F26,Inputs!$C$17:$AZ$17,0))),"-")</f>
        <v>-7.9986226672066889E-6</v>
      </c>
      <c r="L26" s="162">
        <f>IFERROR(SUM(L24:L25)*(INDEX(Inputs!$C$18:$AZ$141,MATCH("Retail operating margin",Input_ForRateCalc[Cost item],0),MATCH($F26,Inputs!$C$17:$AZ$17,0))),"-")</f>
        <v>-7.7006868323614886E-6</v>
      </c>
      <c r="M26" s="162">
        <f>IFERROR(SUM(M24:M25)*(INDEX(Inputs!$C$18:$AZ$141,MATCH("Retail operating margin",Input_ForRateCalc[Cost item],0),MATCH($F26,Inputs!$C$17:$AZ$17,0))),"-")</f>
        <v>-7.7033646900838879E-6</v>
      </c>
      <c r="N26" s="162">
        <f>IFERROR(SUM(N24:N25)*(INDEX(Inputs!$C$18:$AZ$141,MATCH("Retail operating margin",Input_ForRateCalc[Cost item],0),MATCH($F26,Inputs!$C$17:$AZ$17,0))),"-")</f>
        <v>-7.8955389669985283E-6</v>
      </c>
      <c r="O26" s="162">
        <f>IFERROR(SUM(O24:O25)*(INDEX(Inputs!$C$18:$AZ$141,MATCH("Retail operating margin",Input_ForRateCalc[Cost item],0),MATCH($F26,Inputs!$C$17:$AZ$17,0))),"-")</f>
        <v>-7.7151096629643696E-6</v>
      </c>
    </row>
    <row r="27" spans="3:15" outlineLevel="1" x14ac:dyDescent="0.25">
      <c r="C27" s="14" t="s">
        <v>421</v>
      </c>
      <c r="D27" s="14"/>
      <c r="E27" s="14"/>
      <c r="F27" s="14"/>
      <c r="G27" s="14"/>
      <c r="H27" s="14" t="s">
        <v>184</v>
      </c>
      <c r="I27" s="14" t="s">
        <v>75</v>
      </c>
      <c r="J27" s="14" t="s">
        <v>139</v>
      </c>
      <c r="K27" s="162">
        <f>SUM(K24:K26)*GST</f>
        <v>-1.5083117029589757E-5</v>
      </c>
      <c r="L27" s="162">
        <f>SUM(L24:L26)*GST</f>
        <v>-1.4521295169595949E-5</v>
      </c>
      <c r="M27" s="162">
        <f>SUM(M24:M26)*GST</f>
        <v>-1.4526344844158189E-5</v>
      </c>
      <c r="N27" s="162">
        <f>SUM(N24:N26)*GST</f>
        <v>-1.4888730623482938E-5</v>
      </c>
      <c r="O27" s="162">
        <f>SUM(O24:O26)*GST</f>
        <v>-1.454849250730424E-5</v>
      </c>
    </row>
    <row r="28" spans="3:15" outlineLevel="1" x14ac:dyDescent="0.25">
      <c r="C28" s="39" t="s">
        <v>409</v>
      </c>
      <c r="D28" s="39"/>
      <c r="E28" s="39"/>
      <c r="F28" s="39"/>
      <c r="H28" s="39" t="s">
        <v>184</v>
      </c>
      <c r="I28" s="39" t="s">
        <v>75</v>
      </c>
      <c r="J28" s="39" t="s">
        <v>139</v>
      </c>
      <c r="K28" s="162">
        <f>SUM(K24:K27)</f>
        <v>-1.6591428732548732E-4</v>
      </c>
      <c r="L28" s="162">
        <f>SUM(L24:L27)</f>
        <v>-1.5973424686555542E-4</v>
      </c>
      <c r="M28" s="162">
        <f>SUM(M24:M27)</f>
        <v>-1.5978979328574007E-4</v>
      </c>
      <c r="N28" s="162">
        <f>SUM(N24:N27)</f>
        <v>-1.6377603685831233E-4</v>
      </c>
      <c r="O28" s="162">
        <f>SUM(O24:O27)</f>
        <v>-1.6003341758034665E-4</v>
      </c>
    </row>
    <row r="29" spans="3:15" outlineLevel="1" x14ac:dyDescent="0.25">
      <c r="C29" s="14"/>
      <c r="D29" s="14"/>
      <c r="E29" s="14"/>
      <c r="F29" s="14"/>
      <c r="G29" s="14"/>
      <c r="H29" s="14"/>
      <c r="I29" s="14"/>
      <c r="J29" s="14"/>
      <c r="K29" s="163"/>
      <c r="L29" s="87"/>
      <c r="M29" s="87"/>
      <c r="N29" s="87"/>
      <c r="O29" s="87"/>
    </row>
    <row r="30" spans="3:15" outlineLevel="1" x14ac:dyDescent="0.25">
      <c r="C30" s="37" t="s">
        <v>314</v>
      </c>
      <c r="D30" s="37"/>
      <c r="E30" s="37"/>
      <c r="F30" s="37"/>
      <c r="G30" s="28" t="str">
        <f>INDEX(Input_TU_YesNo[],MATCH(Calc_TUV_Env_1[[#This Row],[Cost item]],Input_TU_YesNo[Component],0),MATCH($D$5,Inputs!$C$210:$BM$210,0))</f>
        <v>Yes</v>
      </c>
      <c r="H30" s="47"/>
      <c r="I30" s="14"/>
      <c r="J30" s="14"/>
      <c r="K30" s="14"/>
      <c r="L30" s="14"/>
      <c r="M30" s="14"/>
      <c r="N30" s="14"/>
      <c r="O30" s="14"/>
    </row>
    <row r="31" spans="3:15" outlineLevel="1" x14ac:dyDescent="0.25">
      <c r="C31" s="14" t="s">
        <v>208</v>
      </c>
      <c r="D31" s="58" t="str">
        <f>$D$5</f>
        <v>VDO 2024-25 - Final</v>
      </c>
      <c r="E31" s="14" t="s">
        <v>322</v>
      </c>
      <c r="F31" s="58" t="str">
        <f>INDEX(Inputs!$C$17:$AZ$17,1,MATCH($D31,Inputs!$C$15:$AZ$15,0))</f>
        <v>F-NextVDO_Input</v>
      </c>
      <c r="G31" s="38"/>
      <c r="H31" s="14" t="s">
        <v>184</v>
      </c>
      <c r="I31" s="14" t="s">
        <v>206</v>
      </c>
      <c r="J31" s="39" t="s">
        <v>139</v>
      </c>
      <c r="K31" s="44">
        <f>IFERROR(INDEX(Input_TUEnv_Actual[],MATCH($C31,Input_TUEnv_Actual[Cost item],0),MATCH($F31,Input_TUEnv_Actual[#Headers],0)),"-")</f>
        <v>40</v>
      </c>
      <c r="L31" s="44">
        <f>IFERROR(INDEX(Input_TUEnv_Actual[],MATCH($C31,Input_TUEnv_Actual[Cost item],0),MATCH($F31,Input_TUEnv_Actual[#Headers],0)),"-")</f>
        <v>40</v>
      </c>
      <c r="M31" s="44">
        <f>IFERROR(INDEX(Input_TUEnv_Actual[],MATCH($C31,Input_TUEnv_Actual[Cost item],0),MATCH($F31,Input_TUEnv_Actual[#Headers],0)),"-")</f>
        <v>40</v>
      </c>
      <c r="N31" s="44">
        <f>IFERROR(INDEX(Input_TUEnv_Actual[],MATCH($C31,Input_TUEnv_Actual[Cost item],0),MATCH($F31,Input_TUEnv_Actual[#Headers],0)),"-")</f>
        <v>40</v>
      </c>
      <c r="O31" s="44">
        <f>IFERROR(INDEX(Input_TUEnv_Actual[],MATCH($C31,Input_TUEnv_Actual[Cost item],0),MATCH($F31,Input_TUEnv_Actual[#Headers],0)),"-")</f>
        <v>40</v>
      </c>
    </row>
    <row r="32" spans="3:15" outlineLevel="1" x14ac:dyDescent="0.25">
      <c r="C32" s="39" t="s">
        <v>213</v>
      </c>
      <c r="D32" s="58" t="str">
        <f>$D$5</f>
        <v>VDO 2024-25 - Final</v>
      </c>
      <c r="E32" s="14" t="s">
        <v>322</v>
      </c>
      <c r="F32" s="58" t="str">
        <f>INDEX(Inputs!$C$17:$AZ$17,1,MATCH($D32,Inputs!$C$15:$AZ$15,0))</f>
        <v>F-NextVDO_Input</v>
      </c>
      <c r="G32" s="38"/>
      <c r="H32" s="14" t="s">
        <v>184</v>
      </c>
      <c r="I32" s="14" t="s">
        <v>210</v>
      </c>
      <c r="J32" s="39" t="s">
        <v>139</v>
      </c>
      <c r="K32" s="46">
        <f>IFERROR(INDEX(Input_TUEnv_Actual[],MATCH($C32,Input_TUEnv_Actual[Cost item],0),MATCH($F32,Input_TUEnv_Actual[#Headers],0)),"-")</f>
        <v>0.18775</v>
      </c>
      <c r="L32" s="46">
        <f>IFERROR(INDEX(Input_TUEnv_Actual[],MATCH($C32,Input_TUEnv_Actual[Cost item],0),MATCH($F32,Input_TUEnv_Actual[#Headers],0)),"-")</f>
        <v>0.18775</v>
      </c>
      <c r="M32" s="46">
        <f>IFERROR(INDEX(Input_TUEnv_Actual[],MATCH($C32,Input_TUEnv_Actual[Cost item],0),MATCH($F32,Input_TUEnv_Actual[#Headers],0)),"-")</f>
        <v>0.18775</v>
      </c>
      <c r="N32" s="46">
        <f>IFERROR(INDEX(Input_TUEnv_Actual[],MATCH($C32,Input_TUEnv_Actual[Cost item],0),MATCH($F32,Input_TUEnv_Actual[#Headers],0)),"-")</f>
        <v>0.18775</v>
      </c>
      <c r="O32" s="46">
        <f>IFERROR(INDEX(Input_TUEnv_Actual[],MATCH($C32,Input_TUEnv_Actual[Cost item],0),MATCH($F32,Input_TUEnv_Actual[#Headers],0)),"-")</f>
        <v>0.18775</v>
      </c>
    </row>
    <row r="33" spans="3:15" outlineLevel="1" x14ac:dyDescent="0.25">
      <c r="C33" s="14" t="s">
        <v>417</v>
      </c>
      <c r="D33" s="58" t="str">
        <f>$D$5</f>
        <v>VDO 2024-25 - Final</v>
      </c>
      <c r="E33" s="14" t="s">
        <v>322</v>
      </c>
      <c r="F33" s="58" t="str">
        <f>INDEX(Inputs!$C$17:$AZ$17,1,MATCH($D33,Inputs!$C$15:$AZ$15,0))</f>
        <v>F-NextVDO_Input</v>
      </c>
      <c r="G33" s="38"/>
      <c r="H33" s="14" t="s">
        <v>184</v>
      </c>
      <c r="I33" s="14" t="s">
        <v>75</v>
      </c>
      <c r="J33" s="39" t="s">
        <v>139</v>
      </c>
      <c r="K33" s="43">
        <f>K31*K32/1000</f>
        <v>7.5100000000000002E-3</v>
      </c>
      <c r="L33" s="43">
        <f>L31*L32/1000</f>
        <v>7.5100000000000002E-3</v>
      </c>
      <c r="M33" s="43">
        <f>M31*M32/1000</f>
        <v>7.5100000000000002E-3</v>
      </c>
      <c r="N33" s="43">
        <f>N31*N32/1000</f>
        <v>7.5100000000000002E-3</v>
      </c>
      <c r="O33" s="43">
        <f>O31*O32/1000</f>
        <v>7.5100000000000002E-3</v>
      </c>
    </row>
    <row r="34" spans="3:15" outlineLevel="1" x14ac:dyDescent="0.25">
      <c r="C34" s="14" t="s">
        <v>208</v>
      </c>
      <c r="D34" s="58" t="str">
        <f>INDEX(Input_DecisionActual[[Decision]:[Decision]],MATCH($D$5,Input_DecisionActual[[VDO period]:[VDO period]],0),1)</f>
        <v>VDO 2023-24 - Final</v>
      </c>
      <c r="E34" s="14" t="s">
        <v>102</v>
      </c>
      <c r="F34" s="58" t="str">
        <f>IF($D34="-","-",INDEX(Inputs!$C$17:$AZ$17,1,MATCH($D34,Inputs!$C$15:$AZ$15,0)))</f>
        <v>F-CurrentVDO_Input</v>
      </c>
      <c r="G34" s="38"/>
      <c r="H34" s="14" t="s">
        <v>184</v>
      </c>
      <c r="I34" s="14" t="s">
        <v>206</v>
      </c>
      <c r="J34" s="39" t="s">
        <v>139</v>
      </c>
      <c r="K34" s="45">
        <f>IFERROR(INDEX(Inputs!$C$18:$AZ$141,MATCH($C34,Input_ForRateCalc[Cost item],0),MATCH($F34,Inputs!$C$17:$AZ$17,0)),"-")</f>
        <v>40</v>
      </c>
      <c r="L34" s="45">
        <f>IFERROR(INDEX(Inputs!$C$18:$AZ$141,MATCH($C34,Input_ForRateCalc[Cost item],0),MATCH($F34,Inputs!$C$17:$AZ$17,0)),"-")</f>
        <v>40</v>
      </c>
      <c r="M34" s="45">
        <f>IFERROR(INDEX(Inputs!$C$18:$AZ$141,MATCH($C34,Input_ForRateCalc[Cost item],0),MATCH($F34,Inputs!$C$17:$AZ$17,0)),"-")</f>
        <v>40</v>
      </c>
      <c r="N34" s="45">
        <f>IFERROR(INDEX(Inputs!$C$18:$AZ$141,MATCH($C34,Input_ForRateCalc[Cost item],0),MATCH($F34,Inputs!$C$17:$AZ$17,0)),"-")</f>
        <v>40</v>
      </c>
      <c r="O34" s="45">
        <f>IFERROR(INDEX(Inputs!$C$18:$AZ$141,MATCH($C34,Input_ForRateCalc[Cost item],0),MATCH($F34,Inputs!$C$17:$AZ$17,0)),"-")</f>
        <v>40</v>
      </c>
    </row>
    <row r="35" spans="3:15" outlineLevel="1" x14ac:dyDescent="0.25">
      <c r="C35" s="39" t="s">
        <v>213</v>
      </c>
      <c r="D35" s="58" t="str">
        <f>INDEX(Input_DecisionActual[[Decision]:[Decision]],MATCH($D$5,Input_DecisionActual[[VDO period]:[VDO period]],0),1)</f>
        <v>VDO 2023-24 - Final</v>
      </c>
      <c r="E35" s="14" t="s">
        <v>102</v>
      </c>
      <c r="F35" s="58" t="str">
        <f>IF($D35="-","-",INDEX(Inputs!$C$17:$AZ$17,1,MATCH($D35,Inputs!$C$15:$AZ$15,0)))</f>
        <v>F-CurrentVDO_Input</v>
      </c>
      <c r="G35" s="38"/>
      <c r="H35" s="14" t="s">
        <v>184</v>
      </c>
      <c r="I35" s="14" t="s">
        <v>210</v>
      </c>
      <c r="J35" s="39" t="s">
        <v>139</v>
      </c>
      <c r="K35" s="46">
        <f>IFERROR(INDEX(Inputs!$C$18:$AZ$141,MATCH($C35,Input_ForRateCalc[Cost item],0),MATCH($F35,Inputs!$C$17:$AZ$17,0)),"-")</f>
        <v>0.1714</v>
      </c>
      <c r="L35" s="46">
        <f>IFERROR(INDEX(Inputs!$C$18:$AZ$141,MATCH($C35,Input_ForRateCalc[Cost item],0),MATCH($F35,Inputs!$C$17:$AZ$17,0)),"-")</f>
        <v>0.1714</v>
      </c>
      <c r="M35" s="46">
        <f>IFERROR(INDEX(Inputs!$C$18:$AZ$141,MATCH($C35,Input_ForRateCalc[Cost item],0),MATCH($F35,Inputs!$C$17:$AZ$17,0)),"-")</f>
        <v>0.1714</v>
      </c>
      <c r="N35" s="46">
        <f>IFERROR(INDEX(Inputs!$C$18:$AZ$141,MATCH($C35,Input_ForRateCalc[Cost item],0),MATCH($F35,Inputs!$C$17:$AZ$17,0)),"-")</f>
        <v>0.1714</v>
      </c>
      <c r="O35" s="46">
        <f>IFERROR(INDEX(Inputs!$C$18:$AZ$141,MATCH($C35,Input_ForRateCalc[Cost item],0),MATCH($F35,Inputs!$C$17:$AZ$17,0)),"-")</f>
        <v>0.1714</v>
      </c>
    </row>
    <row r="36" spans="3:15" outlineLevel="1" x14ac:dyDescent="0.25">
      <c r="C36" s="14" t="s">
        <v>417</v>
      </c>
      <c r="D36" s="58" t="str">
        <f>INDEX(Input_DecisionActual[[Decision]:[Decision]],MATCH($D$5,Input_DecisionActual[[VDO period]:[VDO period]],0),1)</f>
        <v>VDO 2023-24 - Final</v>
      </c>
      <c r="E36" s="14" t="s">
        <v>102</v>
      </c>
      <c r="F36" s="58" t="str">
        <f>IF($D36="-","-",INDEX(Inputs!$C$17:$AZ$17,1,MATCH($D36,Inputs!$C$15:$AZ$15,0)))</f>
        <v>F-CurrentVDO_Input</v>
      </c>
      <c r="G36" s="38"/>
      <c r="H36" s="14" t="s">
        <v>184</v>
      </c>
      <c r="I36" s="14" t="s">
        <v>75</v>
      </c>
      <c r="J36" s="39" t="s">
        <v>139</v>
      </c>
      <c r="K36" s="246">
        <f>IFERROR(K34*K35/1000,"-")</f>
        <v>6.8560000000000001E-3</v>
      </c>
      <c r="L36" s="246">
        <f>IFERROR(L34*L35/1000,"-")</f>
        <v>6.8560000000000001E-3</v>
      </c>
      <c r="M36" s="246">
        <f>IFERROR(M34*M35/1000,"-")</f>
        <v>6.8560000000000001E-3</v>
      </c>
      <c r="N36" s="246">
        <f>IFERROR(N34*N35/1000,"-")</f>
        <v>6.8560000000000001E-3</v>
      </c>
      <c r="O36" s="246">
        <f>IFERROR(O34*O35/1000,"-")</f>
        <v>6.8560000000000001E-3</v>
      </c>
    </row>
    <row r="37" spans="3:15" outlineLevel="1" x14ac:dyDescent="0.25">
      <c r="C37" s="14" t="s">
        <v>418</v>
      </c>
      <c r="D37" s="14"/>
      <c r="E37" s="14"/>
      <c r="F37" s="14"/>
      <c r="G37" s="14"/>
      <c r="H37" s="14" t="s">
        <v>184</v>
      </c>
      <c r="I37" s="14" t="s">
        <v>75</v>
      </c>
      <c r="J37" s="14" t="s">
        <v>139</v>
      </c>
      <c r="K37" s="246">
        <f>IFERROR(K33-K36,"-")</f>
        <v>6.5400000000000007E-4</v>
      </c>
      <c r="L37" s="246">
        <f>IFERROR(L33-L36,"-")</f>
        <v>6.5400000000000007E-4</v>
      </c>
      <c r="M37" s="246">
        <f>IFERROR(M33-M36,"-")</f>
        <v>6.5400000000000007E-4</v>
      </c>
      <c r="N37" s="246">
        <f>IFERROR(N33-N36,"-")</f>
        <v>6.5400000000000007E-4</v>
      </c>
      <c r="O37" s="246">
        <f>IFERROR(O33-O36,"-")</f>
        <v>6.5400000000000007E-4</v>
      </c>
    </row>
    <row r="38" spans="3:15" outlineLevel="1" x14ac:dyDescent="0.25">
      <c r="C38" s="14" t="s">
        <v>419</v>
      </c>
      <c r="D38" s="58" t="str">
        <f>INDEX(Input_DecisionActual[[Decision]:[Decision]],MATCH($D$5,Input_DecisionActual[[VDO period]:[VDO period]],0),1)</f>
        <v>VDO 2023-24 - Final</v>
      </c>
      <c r="E38" s="14" t="s">
        <v>102</v>
      </c>
      <c r="F38" s="58" t="str">
        <f>IF($D38="-","-",INDEX(Inputs!$C$17:$AZ$17,1,MATCH($D38,Inputs!$C$15:$AZ$15,0)))</f>
        <v>F-CurrentVDO_Input</v>
      </c>
      <c r="G38" s="14"/>
      <c r="H38" s="14" t="s">
        <v>184</v>
      </c>
      <c r="I38" s="14" t="s">
        <v>75</v>
      </c>
      <c r="J38" s="14" t="s">
        <v>139</v>
      </c>
      <c r="K38" s="162">
        <f>IFERROR(K37*(INDEX(Inputs!$C$18:$AZ$141,MATCH("Marginal loss factor - "&amp;K$15,Input_ForRateCalc[Cost item],0),MATCH($F38,Inputs!$C$17:$AZ$17,0))*INDEX(Inputs!$C$18:$AZ$141,MATCH("Distribution loss factor - "&amp;K$15,Input_ForRateCalc[Cost item],0),MATCH($F38,Inputs!$C$17:$AZ$17,0))-1),"-")</f>
        <v>5.5864476177618548E-5</v>
      </c>
      <c r="L38" s="162">
        <f>IFERROR(L37*(INDEX(Inputs!$C$18:$AZ$141,MATCH("Marginal loss factor - "&amp;L$15,Input_ForRateCalc[Cost item],0),MATCH($F38,Inputs!$C$17:$AZ$17,0))*INDEX(Inputs!$C$18:$AZ$141,MATCH("Distribution loss factor - "&amp;L$15,Input_ForRateCalc[Cost item],0),MATCH($F38,Inputs!$C$17:$AZ$17,0))-1),"-")</f>
        <v>2.9423165699999961E-5</v>
      </c>
      <c r="M38" s="162">
        <f>IFERROR(M37*(INDEX(Inputs!$C$18:$AZ$141,MATCH("Marginal loss factor - "&amp;M$15,Input_ForRateCalc[Cost item],0),MATCH($F38,Inputs!$C$17:$AZ$17,0))*INDEX(Inputs!$C$18:$AZ$141,MATCH("Distribution loss factor - "&amp;M$15,Input_ForRateCalc[Cost item],0),MATCH($F38,Inputs!$C$17:$AZ$17,0))-1),"-")</f>
        <v>2.9660821124999945E-5</v>
      </c>
      <c r="N38" s="162">
        <f>IFERROR(N37*(INDEX(Inputs!$C$18:$AZ$141,MATCH("Marginal loss factor - "&amp;N$15,Input_ForRateCalc[Cost item],0),MATCH($F38,Inputs!$C$17:$AZ$17,0))*INDEX(Inputs!$C$18:$AZ$141,MATCH("Distribution loss factor - "&amp;N$15,Input_ForRateCalc[Cost item],0),MATCH($F38,Inputs!$C$17:$AZ$17,0))-1),"-")</f>
        <v>4.6715969003911381E-5</v>
      </c>
      <c r="O38" s="162">
        <f>IFERROR(O37*(INDEX(Inputs!$C$18:$AZ$141,MATCH("Marginal loss factor - "&amp;O$15,Input_ForRateCalc[Cost item],0),MATCH($F38,Inputs!$C$17:$AZ$17,0))*INDEX(Inputs!$C$18:$AZ$141,MATCH("Distribution loss factor - "&amp;O$15,Input_ForRateCalc[Cost item],0),MATCH($F38,Inputs!$C$17:$AZ$17,0))-1),"-")</f>
        <v>3.0703167960000069E-5</v>
      </c>
    </row>
    <row r="39" spans="3:15" outlineLevel="1" x14ac:dyDescent="0.25">
      <c r="C39" s="14" t="s">
        <v>420</v>
      </c>
      <c r="D39" s="58" t="str">
        <f>INDEX(Input_DecisionActual[[Decision]:[Decision]],MATCH($D$5,Input_DecisionActual[[VDO period]:[VDO period]],0),1)</f>
        <v>VDO 2023-24 - Final</v>
      </c>
      <c r="E39" s="14" t="s">
        <v>102</v>
      </c>
      <c r="F39" s="58" t="str">
        <f>IF($D39="-","-",INDEX(Inputs!$C$17:$AZ$17,1,MATCH($D39,Inputs!$C$15:$AZ$15,0)))</f>
        <v>F-CurrentVDO_Input</v>
      </c>
      <c r="G39" s="14"/>
      <c r="H39" s="14" t="s">
        <v>184</v>
      </c>
      <c r="I39" s="14" t="s">
        <v>75</v>
      </c>
      <c r="J39" s="14" t="s">
        <v>139</v>
      </c>
      <c r="K39" s="162">
        <f>IFERROR(SUM(K37:K38)*(INDEX(Inputs!$C$18:$AZ$141,MATCH("Retail operating margin",Input_ForRateCalc[Cost item],0),MATCH($F39,Inputs!$C$17:$AZ$17,0))),"-")</f>
        <v>3.9752410665946644E-5</v>
      </c>
      <c r="L39" s="162">
        <f>IFERROR(SUM(L37:L38)*(INDEX(Inputs!$C$18:$AZ$141,MATCH("Retail operating margin",Input_ForRateCalc[Cost item],0),MATCH($F39,Inputs!$C$17:$AZ$17,0))),"-")</f>
        <v>3.8271697279200003E-5</v>
      </c>
      <c r="M39" s="162">
        <f>IFERROR(SUM(M37:M38)*(INDEX(Inputs!$C$18:$AZ$141,MATCH("Retail operating margin",Input_ForRateCalc[Cost item],0),MATCH($F39,Inputs!$C$17:$AZ$17,0))),"-")</f>
        <v>3.8285005983000001E-5</v>
      </c>
      <c r="N39" s="162">
        <f>IFERROR(SUM(N37:N38)*(INDEX(Inputs!$C$18:$AZ$141,MATCH("Retail operating margin",Input_ForRateCalc[Cost item],0),MATCH($F39,Inputs!$C$17:$AZ$17,0))),"-")</f>
        <v>3.9240094264219047E-5</v>
      </c>
      <c r="O39" s="162">
        <f>IFERROR(SUM(O37:O38)*(INDEX(Inputs!$C$18:$AZ$141,MATCH("Retail operating margin",Input_ForRateCalc[Cost item],0),MATCH($F39,Inputs!$C$17:$AZ$17,0))),"-")</f>
        <v>3.8343377405760007E-5</v>
      </c>
    </row>
    <row r="40" spans="3:15" outlineLevel="1" x14ac:dyDescent="0.25">
      <c r="C40" s="14" t="s">
        <v>421</v>
      </c>
      <c r="D40" s="14"/>
      <c r="E40" s="14"/>
      <c r="F40" s="14"/>
      <c r="G40" s="14"/>
      <c r="H40" s="14" t="s">
        <v>184</v>
      </c>
      <c r="I40" s="14" t="s">
        <v>75</v>
      </c>
      <c r="J40" s="14" t="s">
        <v>139</v>
      </c>
      <c r="K40" s="162">
        <f>SUM(K37:K39)*GST</f>
        <v>7.4961688684356534E-5</v>
      </c>
      <c r="L40" s="162">
        <f>SUM(L37:L39)*GST</f>
        <v>7.2169486297920003E-5</v>
      </c>
      <c r="M40" s="162">
        <f>SUM(M37:M39)*GST</f>
        <v>7.2194582710800002E-5</v>
      </c>
      <c r="N40" s="162">
        <f>SUM(N37:N39)*GST</f>
        <v>7.3995606326813056E-5</v>
      </c>
      <c r="O40" s="162">
        <f>SUM(O37:O39)*GST</f>
        <v>7.2304654536576012E-5</v>
      </c>
    </row>
    <row r="41" spans="3:15" outlineLevel="1" x14ac:dyDescent="0.25">
      <c r="C41" s="39" t="s">
        <v>411</v>
      </c>
      <c r="D41" s="39"/>
      <c r="E41" s="39"/>
      <c r="F41" s="39"/>
      <c r="H41" s="39" t="s">
        <v>184</v>
      </c>
      <c r="I41" s="39" t="s">
        <v>75</v>
      </c>
      <c r="J41" s="39" t="s">
        <v>139</v>
      </c>
      <c r="K41" s="162">
        <f>SUM(K37:K40)</f>
        <v>8.2457857552792183E-4</v>
      </c>
      <c r="L41" s="162">
        <f>SUM(L37:L40)</f>
        <v>7.9386434927711995E-4</v>
      </c>
      <c r="M41" s="162">
        <f>SUM(M37:M40)</f>
        <v>7.9414040981880003E-4</v>
      </c>
      <c r="N41" s="162">
        <f>SUM(N37:N40)</f>
        <v>8.1395166959494355E-4</v>
      </c>
      <c r="O41" s="162">
        <f>SUM(O37:O40)</f>
        <v>7.9535119990233613E-4</v>
      </c>
    </row>
    <row r="42" spans="3:15" outlineLevel="1" x14ac:dyDescent="0.25">
      <c r="C42" s="14"/>
      <c r="D42" s="14"/>
      <c r="E42" s="14"/>
      <c r="F42" s="14"/>
      <c r="G42" s="14"/>
      <c r="H42" s="14"/>
      <c r="I42" s="14"/>
      <c r="J42" s="14"/>
      <c r="K42" s="44"/>
      <c r="L42" s="44"/>
      <c r="M42" s="44"/>
      <c r="N42" s="44"/>
      <c r="O42" s="44"/>
    </row>
    <row r="43" spans="3:15" outlineLevel="1" x14ac:dyDescent="0.25">
      <c r="C43" s="37" t="s">
        <v>315</v>
      </c>
      <c r="D43" s="37"/>
      <c r="E43" s="37"/>
      <c r="F43" s="37"/>
      <c r="G43" s="28" t="str">
        <f>INDEX(Input_TU_YesNo[],MATCH(Calc_TUV_Env_1[[#This Row],[Cost item]],Input_TU_YesNo[Component],0),MATCH($D$5,Inputs!$C$210:$BM$210,0))</f>
        <v>No</v>
      </c>
      <c r="H43" s="47"/>
      <c r="I43" s="14"/>
      <c r="J43" s="14"/>
      <c r="K43" s="14"/>
      <c r="L43" s="14"/>
      <c r="M43" s="14"/>
      <c r="N43" s="14"/>
      <c r="O43" s="14"/>
    </row>
    <row r="44" spans="3:15" outlineLevel="1" x14ac:dyDescent="0.25">
      <c r="C44" s="14" t="s">
        <v>205</v>
      </c>
      <c r="D44" s="58" t="str">
        <f>$D$5</f>
        <v>VDO 2024-25 - Final</v>
      </c>
      <c r="E44" s="14" t="s">
        <v>322</v>
      </c>
      <c r="F44" s="58" t="str">
        <f>INDEX(Inputs!$C$17:$AZ$17,1,MATCH($D44,Inputs!$C$15:$AZ$15,0))</f>
        <v>F-NextVDO_Input</v>
      </c>
      <c r="G44" s="38"/>
      <c r="H44" s="14" t="s">
        <v>184</v>
      </c>
      <c r="I44" s="14" t="s">
        <v>206</v>
      </c>
      <c r="J44" s="39" t="s">
        <v>139</v>
      </c>
      <c r="K44" s="44">
        <f>IFERROR(INDEX(Input_TUEnv_Actual[],MATCH($C44,Input_TUEnv_Actual[Cost item],0),MATCH($F44,Input_TUEnv_Actual[#Headers],0)),"-")</f>
        <v>68.562200000000004</v>
      </c>
      <c r="L44" s="44">
        <f>IFERROR(INDEX(Input_TUEnv_Actual[],MATCH($C44,Input_TUEnv_Actual[Cost item],0),MATCH($F44,Input_TUEnv_Actual[#Headers],0)),"-")</f>
        <v>68.562200000000004</v>
      </c>
      <c r="M44" s="44">
        <f>IFERROR(INDEX(Input_TUEnv_Actual[],MATCH($C44,Input_TUEnv_Actual[Cost item],0),MATCH($F44,Input_TUEnv_Actual[#Headers],0)),"-")</f>
        <v>68.562200000000004</v>
      </c>
      <c r="N44" s="44">
        <f>IFERROR(INDEX(Input_TUEnv_Actual[],MATCH($C44,Input_TUEnv_Actual[Cost item],0),MATCH($F44,Input_TUEnv_Actual[#Headers],0)),"-")</f>
        <v>68.562200000000004</v>
      </c>
      <c r="O44" s="44">
        <f>IFERROR(INDEX(Input_TUEnv_Actual[],MATCH($C44,Input_TUEnv_Actual[Cost item],0),MATCH($F44,Input_TUEnv_Actual[#Headers],0)),"-")</f>
        <v>68.562200000000004</v>
      </c>
    </row>
    <row r="45" spans="3:15" outlineLevel="1" x14ac:dyDescent="0.25">
      <c r="C45" s="14" t="s">
        <v>209</v>
      </c>
      <c r="D45" s="58" t="str">
        <f>$D$5</f>
        <v>VDO 2024-25 - Final</v>
      </c>
      <c r="E45" s="14" t="s">
        <v>322</v>
      </c>
      <c r="F45" s="58" t="str">
        <f>INDEX(Inputs!$C$17:$AZ$17,1,MATCH($D45,Inputs!$C$15:$AZ$15,0))</f>
        <v>F-NextVDO_Input</v>
      </c>
      <c r="G45" s="38"/>
      <c r="H45" s="14" t="s">
        <v>184</v>
      </c>
      <c r="I45" s="14" t="s">
        <v>210</v>
      </c>
      <c r="J45" s="39" t="s">
        <v>139</v>
      </c>
      <c r="K45" s="46">
        <f>IFERROR(INDEX(Input_TUEnv_Actual[],MATCH($C45,Input_TUEnv_Actual[Cost item],0),MATCH($F45,Input_TUEnv_Actual[#Headers],0)),"-")</f>
        <v>0.16306999999999999</v>
      </c>
      <c r="L45" s="46">
        <f>IFERROR(INDEX(Input_TUEnv_Actual[],MATCH($C45,Input_TUEnv_Actual[Cost item],0),MATCH($F45,Input_TUEnv_Actual[#Headers],0)),"-")</f>
        <v>0.16306999999999999</v>
      </c>
      <c r="M45" s="46">
        <f>IFERROR(INDEX(Input_TUEnv_Actual[],MATCH($C45,Input_TUEnv_Actual[Cost item],0),MATCH($F45,Input_TUEnv_Actual[#Headers],0)),"-")</f>
        <v>0.16306999999999999</v>
      </c>
      <c r="N45" s="46">
        <f>IFERROR(INDEX(Input_TUEnv_Actual[],MATCH($C45,Input_TUEnv_Actual[Cost item],0),MATCH($F45,Input_TUEnv_Actual[#Headers],0)),"-")</f>
        <v>0.16306999999999999</v>
      </c>
      <c r="O45" s="46">
        <f>IFERROR(INDEX(Input_TUEnv_Actual[],MATCH($C45,Input_TUEnv_Actual[Cost item],0),MATCH($F45,Input_TUEnv_Actual[#Headers],0)),"-")</f>
        <v>0.16306999999999999</v>
      </c>
    </row>
    <row r="46" spans="3:15" outlineLevel="1" x14ac:dyDescent="0.25">
      <c r="C46" s="14" t="s">
        <v>417</v>
      </c>
      <c r="D46" s="58" t="str">
        <f>$D$5</f>
        <v>VDO 2024-25 - Final</v>
      </c>
      <c r="E46" s="14" t="s">
        <v>322</v>
      </c>
      <c r="F46" s="58" t="str">
        <f>INDEX(Inputs!$C$17:$AZ$17,1,MATCH($D46,Inputs!$C$15:$AZ$15,0))</f>
        <v>F-NextVDO_Input</v>
      </c>
      <c r="G46" s="38"/>
      <c r="H46" s="14" t="s">
        <v>184</v>
      </c>
      <c r="I46" s="14" t="s">
        <v>75</v>
      </c>
      <c r="J46" s="39" t="s">
        <v>139</v>
      </c>
      <c r="K46" s="43">
        <f>K44*K45/1000</f>
        <v>1.1180437954E-2</v>
      </c>
      <c r="L46" s="43">
        <f>L44*L45/1000</f>
        <v>1.1180437954E-2</v>
      </c>
      <c r="M46" s="43">
        <f>M44*M45/1000</f>
        <v>1.1180437954E-2</v>
      </c>
      <c r="N46" s="43">
        <f>N44*N45/1000</f>
        <v>1.1180437954E-2</v>
      </c>
      <c r="O46" s="43">
        <f>O44*O45/1000</f>
        <v>1.1180437954E-2</v>
      </c>
    </row>
    <row r="47" spans="3:15" outlineLevel="1" x14ac:dyDescent="0.25">
      <c r="C47" s="14" t="s">
        <v>205</v>
      </c>
      <c r="D47" s="58" t="str">
        <f>INDEX(Input_DecisionActual[[Decision]:[Decision]],MATCH($D$5,Input_DecisionActual[[VDO period]:[VDO period]],0),1)</f>
        <v>VDO 2023-24 - Final</v>
      </c>
      <c r="E47" s="14" t="s">
        <v>102</v>
      </c>
      <c r="F47" s="58" t="str">
        <f>IF($D47="-","-",INDEX(Inputs!$C$17:$AZ$17,1,MATCH($D47,Inputs!$C$15:$AZ$15,0)))</f>
        <v>F-CurrentVDO_Input</v>
      </c>
      <c r="G47" s="38"/>
      <c r="H47" s="14" t="s">
        <v>184</v>
      </c>
      <c r="I47" s="14" t="s">
        <v>206</v>
      </c>
      <c r="J47" s="39" t="s">
        <v>139</v>
      </c>
      <c r="K47" s="45">
        <f>IFERROR(INDEX(Inputs!$C$18:$AZ$141,MATCH($C47,Input_ForRateCalc[Cost item],0),MATCH($F47,Inputs!$C$17:$AZ$17,0)),"-")</f>
        <v>68.562227396360115</v>
      </c>
      <c r="L47" s="45">
        <f>IFERROR(INDEX(Inputs!$C$18:$AZ$141,MATCH($C47,Input_ForRateCalc[Cost item],0),MATCH($F47,Inputs!$C$17:$AZ$17,0)),"-")</f>
        <v>68.562227396360115</v>
      </c>
      <c r="M47" s="45">
        <f>IFERROR(INDEX(Inputs!$C$18:$AZ$141,MATCH($C47,Input_ForRateCalc[Cost item],0),MATCH($F47,Inputs!$C$17:$AZ$17,0)),"-")</f>
        <v>68.562227396360115</v>
      </c>
      <c r="N47" s="45">
        <f>IFERROR(INDEX(Inputs!$C$18:$AZ$141,MATCH($C47,Input_ForRateCalc[Cost item],0),MATCH($F47,Inputs!$C$17:$AZ$17,0)),"-")</f>
        <v>68.562227396360115</v>
      </c>
      <c r="O47" s="45">
        <f>IFERROR(INDEX(Inputs!$C$18:$AZ$141,MATCH($C47,Input_ForRateCalc[Cost item],0),MATCH($F47,Inputs!$C$17:$AZ$17,0)),"-")</f>
        <v>68.562227396360115</v>
      </c>
    </row>
    <row r="48" spans="3:15" outlineLevel="1" x14ac:dyDescent="0.25">
      <c r="C48" s="14" t="s">
        <v>209</v>
      </c>
      <c r="D48" s="58" t="str">
        <f>INDEX(Input_DecisionActual[[Decision]:[Decision]],MATCH($D$5,Input_DecisionActual[[VDO period]:[VDO period]],0),1)</f>
        <v>VDO 2023-24 - Final</v>
      </c>
      <c r="E48" s="14" t="s">
        <v>102</v>
      </c>
      <c r="F48" s="58" t="str">
        <f>IF($D48="-","-",INDEX(Inputs!$C$17:$AZ$17,1,MATCH($D48,Inputs!$C$15:$AZ$15,0)))</f>
        <v>F-CurrentVDO_Input</v>
      </c>
      <c r="G48" s="38"/>
      <c r="H48" s="14" t="s">
        <v>184</v>
      </c>
      <c r="I48" s="14" t="s">
        <v>210</v>
      </c>
      <c r="J48" s="39" t="s">
        <v>139</v>
      </c>
      <c r="K48" s="46">
        <f>IFERROR(INDEX(Inputs!$C$18:$AZ$141,MATCH($C48,Input_ForRateCalc[Cost item],0),MATCH($F48,Inputs!$C$17:$AZ$17,0)),"-")</f>
        <v>0.16306999999999999</v>
      </c>
      <c r="L48" s="46">
        <f>IFERROR(INDEX(Inputs!$C$18:$AZ$141,MATCH($C48,Input_ForRateCalc[Cost item],0),MATCH($F48,Inputs!$C$17:$AZ$17,0)),"-")</f>
        <v>0.16306999999999999</v>
      </c>
      <c r="M48" s="46">
        <f>IFERROR(INDEX(Inputs!$C$18:$AZ$141,MATCH($C48,Input_ForRateCalc[Cost item],0),MATCH($F48,Inputs!$C$17:$AZ$17,0)),"-")</f>
        <v>0.16306999999999999</v>
      </c>
      <c r="N48" s="46">
        <f>IFERROR(INDEX(Inputs!$C$18:$AZ$141,MATCH($C48,Input_ForRateCalc[Cost item],0),MATCH($F48,Inputs!$C$17:$AZ$17,0)),"-")</f>
        <v>0.16306999999999999</v>
      </c>
      <c r="O48" s="46">
        <f>IFERROR(INDEX(Inputs!$C$18:$AZ$141,MATCH($C48,Input_ForRateCalc[Cost item],0),MATCH($F48,Inputs!$C$17:$AZ$17,0)),"-")</f>
        <v>0.16306999999999999</v>
      </c>
    </row>
    <row r="49" spans="2:17" outlineLevel="1" x14ac:dyDescent="0.25">
      <c r="C49" s="14" t="s">
        <v>417</v>
      </c>
      <c r="D49" s="58" t="str">
        <f>INDEX(Input_DecisionActual[[Decision]:[Decision]],MATCH($D$5,Input_DecisionActual[[VDO period]:[VDO period]],0),1)</f>
        <v>VDO 2023-24 - Final</v>
      </c>
      <c r="E49" s="14" t="s">
        <v>102</v>
      </c>
      <c r="F49" s="58" t="str">
        <f>IF($D49="-","-",INDEX(Inputs!$C$17:$AZ$17,1,MATCH($D49,Inputs!$C$15:$AZ$15,0)))</f>
        <v>F-CurrentVDO_Input</v>
      </c>
      <c r="G49" s="38"/>
      <c r="H49" s="14" t="s">
        <v>184</v>
      </c>
      <c r="I49" s="14" t="s">
        <v>75</v>
      </c>
      <c r="J49" s="39" t="s">
        <v>139</v>
      </c>
      <c r="K49" s="43">
        <f>IFERROR(K47*K48/1000,"-")</f>
        <v>1.1180442421524443E-2</v>
      </c>
      <c r="L49" s="43">
        <f>IFERROR(L47*L48/1000,"-")</f>
        <v>1.1180442421524443E-2</v>
      </c>
      <c r="M49" s="43">
        <f>IFERROR(M47*M48/1000,"-")</f>
        <v>1.1180442421524443E-2</v>
      </c>
      <c r="N49" s="43">
        <f>IFERROR(N47*N48/1000,"-")</f>
        <v>1.1180442421524443E-2</v>
      </c>
      <c r="O49" s="43">
        <f>IFERROR(O47*O48/1000,"-")</f>
        <v>1.1180442421524443E-2</v>
      </c>
    </row>
    <row r="50" spans="2:17" outlineLevel="1" x14ac:dyDescent="0.25">
      <c r="C50" s="14" t="s">
        <v>418</v>
      </c>
      <c r="D50" s="14"/>
      <c r="E50" s="14"/>
      <c r="F50" s="14"/>
      <c r="G50" s="14"/>
      <c r="H50" s="14" t="s">
        <v>184</v>
      </c>
      <c r="I50" s="14" t="s">
        <v>75</v>
      </c>
      <c r="J50" s="14" t="s">
        <v>139</v>
      </c>
      <c r="K50" s="86">
        <f>IFERROR(K46-K49,"-")</f>
        <v>-4.4675244424002836E-9</v>
      </c>
      <c r="L50" s="86">
        <f>IFERROR(L46-L49,"-")</f>
        <v>-4.4675244424002836E-9</v>
      </c>
      <c r="M50" s="86">
        <f>IFERROR(M46-M49,"-")</f>
        <v>-4.4675244424002836E-9</v>
      </c>
      <c r="N50" s="86">
        <f>IFERROR(N46-N49,"-")</f>
        <v>-4.4675244424002836E-9</v>
      </c>
      <c r="O50" s="86">
        <f>IFERROR(O46-O49,"-")</f>
        <v>-4.4675244424002836E-9</v>
      </c>
    </row>
    <row r="51" spans="2:17" outlineLevel="1" x14ac:dyDescent="0.25">
      <c r="C51" s="14" t="s">
        <v>419</v>
      </c>
      <c r="D51" s="58" t="str">
        <f>INDEX(Input_DecisionActual[[Decision]:[Decision]],MATCH($D$5,Input_DecisionActual[[VDO period]:[VDO period]],0),1)</f>
        <v>VDO 2023-24 - Final</v>
      </c>
      <c r="E51" s="14" t="s">
        <v>102</v>
      </c>
      <c r="F51" s="58" t="str">
        <f>IF($D51="-","-",INDEX(Inputs!$C$17:$AZ$17,1,MATCH($D51,Inputs!$C$15:$AZ$15,0)))</f>
        <v>F-CurrentVDO_Input</v>
      </c>
      <c r="G51" s="14"/>
      <c r="H51" s="14" t="s">
        <v>184</v>
      </c>
      <c r="I51" s="14" t="s">
        <v>75</v>
      </c>
      <c r="J51" s="14" t="s">
        <v>139</v>
      </c>
      <c r="K51" s="87">
        <f>IFERROR(K50*(INDEX(Inputs!$C$18:$AZ$141,MATCH("Marginal loss factor - "&amp;K$15,Input_ForRateCalc[Cost item],0),MATCH($F51,Inputs!$C$17:$AZ$17,0))*INDEX(Inputs!$C$18:$AZ$141,MATCH("Distribution loss factor - "&amp;K$15,Input_ForRateCalc[Cost item],0),MATCH($F51,Inputs!$C$17:$AZ$17,0))-1),"-")</f>
        <v>-3.8161454554342387E-10</v>
      </c>
      <c r="L51" s="87">
        <f>IFERROR(L50*(INDEX(Inputs!$C$18:$AZ$141,MATCH("Marginal loss factor - "&amp;L$15,Input_ForRateCalc[Cost item],0),MATCH($F51,Inputs!$C$17:$AZ$17,0))*INDEX(Inputs!$C$18:$AZ$141,MATCH("Distribution loss factor - "&amp;L$15,Input_ForRateCalc[Cost item],0),MATCH($F51,Inputs!$C$17:$AZ$17,0))-1),"-")</f>
        <v>-2.0099191427758938E-10</v>
      </c>
      <c r="M51" s="87">
        <f>IFERROR(M50*(INDEX(Inputs!$C$18:$AZ$141,MATCH("Marginal loss factor - "&amp;M$15,Input_ForRateCalc[Cost item],0),MATCH($F51,Inputs!$C$17:$AZ$17,0))*INDEX(Inputs!$C$18:$AZ$141,MATCH("Distribution loss factor - "&amp;M$15,Input_ForRateCalc[Cost item],0),MATCH($F51,Inputs!$C$17:$AZ$17,0))-1),"-")</f>
        <v>-2.0261535681590201E-10</v>
      </c>
      <c r="N51" s="87">
        <f>IFERROR(N50*(INDEX(Inputs!$C$18:$AZ$141,MATCH("Marginal loss factor - "&amp;N$15,Input_ForRateCalc[Cost item],0),MATCH($F51,Inputs!$C$17:$AZ$17,0))*INDEX(Inputs!$C$18:$AZ$141,MATCH("Distribution loss factor - "&amp;N$15,Input_ForRateCalc[Cost item],0),MATCH($F51,Inputs!$C$17:$AZ$17,0))-1),"-")</f>
        <v>-3.1912038742414082E-10</v>
      </c>
      <c r="O51" s="87">
        <f>IFERROR(O50*(INDEX(Inputs!$C$18:$AZ$141,MATCH("Marginal loss factor - "&amp;O$15,Input_ForRateCalc[Cost item],0),MATCH($F51,Inputs!$C$17:$AZ$17,0))*INDEX(Inputs!$C$18:$AZ$141,MATCH("Distribution loss factor - "&amp;O$15,Input_ForRateCalc[Cost item],0),MATCH($F51,Inputs!$C$17:$AZ$17,0))-1),"-")</f>
        <v>-2.0973570844101152E-10</v>
      </c>
    </row>
    <row r="52" spans="2:17" outlineLevel="1" x14ac:dyDescent="0.25">
      <c r="C52" s="14" t="s">
        <v>420</v>
      </c>
      <c r="D52" s="58" t="str">
        <f>INDEX(Input_DecisionActual[[Decision]:[Decision]],MATCH($D$5,Input_DecisionActual[[VDO period]:[VDO period]],0),1)</f>
        <v>VDO 2023-24 - Final</v>
      </c>
      <c r="E52" s="14" t="s">
        <v>102</v>
      </c>
      <c r="F52" s="58" t="str">
        <f>IF($D52="-","-",INDEX(Inputs!$C$17:$AZ$17,1,MATCH($D52,Inputs!$C$15:$AZ$15,0)))</f>
        <v>F-CurrentVDO_Input</v>
      </c>
      <c r="G52" s="14"/>
      <c r="H52" s="14" t="s">
        <v>184</v>
      </c>
      <c r="I52" s="14" t="s">
        <v>75</v>
      </c>
      <c r="J52" s="14" t="s">
        <v>139</v>
      </c>
      <c r="K52" s="87">
        <f>IFERROR(SUM(K50:K51)*(INDEX(Inputs!$C$18:$AZ$141,MATCH("Retail operating margin",Input_ForRateCalc[Cost item],0),MATCH($F52,Inputs!$C$17:$AZ$17,0))),"-")</f>
        <v>-2.7155178332484764E-10</v>
      </c>
      <c r="L52" s="87">
        <f>IFERROR(SUM(L50:L51)*(INDEX(Inputs!$C$18:$AZ$141,MATCH("Retail operating margin",Input_ForRateCalc[Cost item],0),MATCH($F52,Inputs!$C$17:$AZ$17,0))),"-")</f>
        <v>-2.614369159739609E-10</v>
      </c>
      <c r="M52" s="87">
        <f>IFERROR(SUM(M50:M51)*(INDEX(Inputs!$C$18:$AZ$141,MATCH("Retail operating margin",Input_ForRateCalc[Cost item],0),MATCH($F52,Inputs!$C$17:$AZ$17,0))),"-")</f>
        <v>-2.615278287561064E-10</v>
      </c>
      <c r="N52" s="87">
        <f>IFERROR(SUM(N50:N51)*(INDEX(Inputs!$C$18:$AZ$141,MATCH("Retail operating margin",Input_ForRateCalc[Cost item],0),MATCH($F52,Inputs!$C$17:$AZ$17,0))),"-")</f>
        <v>-2.6805211047016776E-10</v>
      </c>
      <c r="O52" s="87">
        <f>IFERROR(SUM(O50:O51)*(INDEX(Inputs!$C$18:$AZ$141,MATCH("Retail operating margin",Input_ForRateCalc[Cost item],0),MATCH($F52,Inputs!$C$17:$AZ$17,0))),"-")</f>
        <v>-2.6192656844711255E-10</v>
      </c>
    </row>
    <row r="53" spans="2:17" outlineLevel="1" x14ac:dyDescent="0.25">
      <c r="B53"/>
      <c r="C53" s="14" t="s">
        <v>421</v>
      </c>
      <c r="D53" s="14"/>
      <c r="E53" s="14"/>
      <c r="F53" s="14"/>
      <c r="G53" s="14"/>
      <c r="H53" s="14" t="s">
        <v>184</v>
      </c>
      <c r="I53" s="14" t="s">
        <v>75</v>
      </c>
      <c r="J53" s="14" t="s">
        <v>139</v>
      </c>
      <c r="K53" s="87">
        <f>SUM(K50:K52)*GST</f>
        <v>-5.1206907712685556E-10</v>
      </c>
      <c r="L53" s="87">
        <f>SUM(L50:L52)*GST</f>
        <v>-4.9299532726518346E-10</v>
      </c>
      <c r="M53" s="87">
        <f>SUM(M50:M52)*GST</f>
        <v>-4.9316676279722922E-10</v>
      </c>
      <c r="N53" s="87">
        <f>SUM(N50:N52)*GST</f>
        <v>-5.0546969402945927E-10</v>
      </c>
      <c r="O53" s="87">
        <f>SUM(O50:O52)*GST</f>
        <v>-4.939186719288408E-10</v>
      </c>
    </row>
    <row r="54" spans="2:17" outlineLevel="1" x14ac:dyDescent="0.25">
      <c r="B54"/>
      <c r="C54" s="31" t="s">
        <v>412</v>
      </c>
      <c r="D54" s="31"/>
      <c r="E54" s="31"/>
      <c r="F54" s="31"/>
      <c r="G54" s="48"/>
      <c r="H54" s="14" t="s">
        <v>184</v>
      </c>
      <c r="I54" s="14" t="s">
        <v>75</v>
      </c>
      <c r="J54" s="39" t="s">
        <v>139</v>
      </c>
      <c r="K54" s="87">
        <f>SUM(K50:K53)</f>
        <v>-5.6327598483954113E-9</v>
      </c>
      <c r="L54" s="87">
        <f>SUM(L50:L53)</f>
        <v>-5.4229485999170174E-9</v>
      </c>
      <c r="M54" s="87">
        <f>SUM(M50:M53)</f>
        <v>-5.4248343907695212E-9</v>
      </c>
      <c r="N54" s="87">
        <f>SUM(N50:N53)</f>
        <v>-5.5601666343240514E-9</v>
      </c>
      <c r="O54" s="87">
        <f>SUM(O50:O53)</f>
        <v>-5.4331053912172488E-9</v>
      </c>
    </row>
    <row r="55" spans="2:17" outlineLevel="1" x14ac:dyDescent="0.25"/>
    <row r="56" spans="2:17" ht="16.5" thickBot="1" x14ac:dyDescent="0.3">
      <c r="B56" s="155">
        <f ca="1">MAX(B$3:B55)+0.01</f>
        <v>14.02</v>
      </c>
      <c r="C56" s="19" t="s">
        <v>422</v>
      </c>
      <c r="D56" s="19"/>
      <c r="E56" s="19"/>
      <c r="F56" s="19"/>
      <c r="G56" s="19"/>
      <c r="H56" s="19"/>
      <c r="I56" s="19"/>
      <c r="J56" s="19"/>
      <c r="K56" s="19"/>
      <c r="L56" s="19"/>
      <c r="M56" s="19"/>
      <c r="N56" s="19"/>
      <c r="O56" s="19"/>
      <c r="P56" s="19"/>
      <c r="Q56" s="19"/>
    </row>
    <row r="57" spans="2:17" collapsed="1" x14ac:dyDescent="0.25"/>
    <row r="58" spans="2:17" ht="15.75" hidden="1" outlineLevel="1" x14ac:dyDescent="0.25">
      <c r="C58" s="29" t="s">
        <v>51</v>
      </c>
      <c r="D58" s="29" t="s">
        <v>423</v>
      </c>
      <c r="G58" s="29" t="s">
        <v>416</v>
      </c>
      <c r="H58" s="29" t="s">
        <v>114</v>
      </c>
      <c r="I58" s="29" t="s">
        <v>62</v>
      </c>
      <c r="J58" s="29" t="s">
        <v>63</v>
      </c>
      <c r="K58" s="32" t="s">
        <v>65</v>
      </c>
      <c r="L58" s="32" t="s">
        <v>66</v>
      </c>
      <c r="M58" s="32" t="s">
        <v>67</v>
      </c>
      <c r="N58" s="32" t="s">
        <v>68</v>
      </c>
      <c r="O58" s="32" t="s">
        <v>69</v>
      </c>
      <c r="P58" s="32" t="s">
        <v>407</v>
      </c>
      <c r="Q58" s="29" t="s">
        <v>424</v>
      </c>
    </row>
    <row r="59" spans="2:17" hidden="1" outlineLevel="1" x14ac:dyDescent="0.25">
      <c r="C59" s="37" t="s">
        <v>316</v>
      </c>
      <c r="D59" s="37"/>
      <c r="G59" s="37"/>
      <c r="H59" s="37"/>
      <c r="I59" s="37"/>
      <c r="J59" s="37"/>
      <c r="K59" s="110">
        <f>SUM(K60:K61)</f>
        <v>0</v>
      </c>
      <c r="L59" s="110">
        <f>SUM(L60:L61)</f>
        <v>0</v>
      </c>
      <c r="M59" s="110">
        <f>SUM(M60:M61)</f>
        <v>0</v>
      </c>
      <c r="N59" s="110">
        <f>SUM(N60:N61)</f>
        <v>0</v>
      </c>
      <c r="O59" s="110">
        <f>SUM(O60:O61)</f>
        <v>0</v>
      </c>
      <c r="P59" s="109">
        <f>IFERROR(AVERAGE(K59:O59),"-")</f>
        <v>0</v>
      </c>
      <c r="Q59" s="136" t="str">
        <f>IFERROR(P59/ROUND($D$75/30,0),"-")</f>
        <v>-</v>
      </c>
    </row>
    <row r="60" spans="2:17" hidden="1" outlineLevel="1" x14ac:dyDescent="0.25">
      <c r="C60" s="95" t="s">
        <v>138</v>
      </c>
      <c r="D60" s="39"/>
      <c r="G60" s="39"/>
      <c r="H60" s="39"/>
      <c r="I60" s="39"/>
      <c r="J60" s="39"/>
      <c r="K60" s="111" t="str">
        <f>K113</f>
        <v>-</v>
      </c>
      <c r="L60" s="111" t="str">
        <f>L113</f>
        <v>-</v>
      </c>
      <c r="M60" s="111" t="str">
        <f>M113</f>
        <v>-</v>
      </c>
      <c r="N60" s="111" t="str">
        <f>N113</f>
        <v>-</v>
      </c>
      <c r="O60" s="111" t="str">
        <f>O113</f>
        <v>-</v>
      </c>
      <c r="P60" s="91" t="str">
        <f t="shared" ref="P60:P70" si="0">IFERROR(AVERAGE(K60:O60),"-")</f>
        <v>-</v>
      </c>
      <c r="Q60" s="136" t="str">
        <f t="shared" ref="Q60:Q70" si="1">IFERROR(P60/ROUND($D$75/30,0),"-")</f>
        <v>-</v>
      </c>
    </row>
    <row r="61" spans="2:17" hidden="1" outlineLevel="1" x14ac:dyDescent="0.25">
      <c r="C61" s="95" t="s">
        <v>184</v>
      </c>
      <c r="D61" s="39"/>
      <c r="G61" s="39"/>
      <c r="H61" s="39"/>
      <c r="I61" s="39"/>
      <c r="J61" s="39"/>
      <c r="K61" s="111" t="str">
        <f>K127</f>
        <v>-</v>
      </c>
      <c r="L61" s="111" t="str">
        <f>L127</f>
        <v>-</v>
      </c>
      <c r="M61" s="111" t="str">
        <f>M127</f>
        <v>-</v>
      </c>
      <c r="N61" s="111" t="str">
        <f>N127</f>
        <v>-</v>
      </c>
      <c r="O61" s="111" t="str">
        <f>O127</f>
        <v>-</v>
      </c>
      <c r="P61" s="91" t="str">
        <f t="shared" si="0"/>
        <v>-</v>
      </c>
      <c r="Q61" s="136" t="str">
        <f t="shared" si="1"/>
        <v>-</v>
      </c>
    </row>
    <row r="62" spans="2:17" hidden="1" outlineLevel="1" x14ac:dyDescent="0.25">
      <c r="C62" s="37" t="s">
        <v>317</v>
      </c>
      <c r="D62" s="37"/>
      <c r="G62" s="37"/>
      <c r="H62" s="37"/>
      <c r="I62" s="37"/>
      <c r="J62" s="37"/>
      <c r="K62" s="110">
        <f>SUM(K63:K64)</f>
        <v>0</v>
      </c>
      <c r="L62" s="110">
        <f>SUM(L63:L64)</f>
        <v>0</v>
      </c>
      <c r="M62" s="110">
        <f>SUM(M63:M64)</f>
        <v>0</v>
      </c>
      <c r="N62" s="110">
        <f>SUM(N63:N64)</f>
        <v>0</v>
      </c>
      <c r="O62" s="110">
        <f>SUM(O63:O64)</f>
        <v>0</v>
      </c>
      <c r="P62" s="109">
        <f t="shared" si="0"/>
        <v>0</v>
      </c>
      <c r="Q62" s="136" t="str">
        <f t="shared" si="1"/>
        <v>-</v>
      </c>
    </row>
    <row r="63" spans="2:17" hidden="1" outlineLevel="1" x14ac:dyDescent="0.25">
      <c r="C63" s="95" t="s">
        <v>138</v>
      </c>
      <c r="D63" s="39"/>
      <c r="G63" s="39"/>
      <c r="H63" s="39"/>
      <c r="I63" s="39"/>
      <c r="J63" s="39"/>
      <c r="K63" s="111" t="str">
        <f>K151</f>
        <v>-</v>
      </c>
      <c r="L63" s="111" t="str">
        <f>L151</f>
        <v>-</v>
      </c>
      <c r="M63" s="111" t="str">
        <f>M151</f>
        <v>-</v>
      </c>
      <c r="N63" s="111" t="str">
        <f>N151</f>
        <v>-</v>
      </c>
      <c r="O63" s="111" t="str">
        <f>O151</f>
        <v>-</v>
      </c>
      <c r="P63" s="91" t="str">
        <f t="shared" si="0"/>
        <v>-</v>
      </c>
      <c r="Q63" s="136" t="str">
        <f t="shared" si="1"/>
        <v>-</v>
      </c>
    </row>
    <row r="64" spans="2:17" hidden="1" outlineLevel="1" x14ac:dyDescent="0.25">
      <c r="C64" s="95" t="s">
        <v>184</v>
      </c>
      <c r="D64" s="39"/>
      <c r="G64" s="39"/>
      <c r="H64" s="39"/>
      <c r="I64" s="39"/>
      <c r="J64" s="39"/>
      <c r="K64" s="111" t="str">
        <f>K165</f>
        <v>-</v>
      </c>
      <c r="L64" s="111" t="str">
        <f>L165</f>
        <v>-</v>
      </c>
      <c r="M64" s="111" t="str">
        <f>M165</f>
        <v>-</v>
      </c>
      <c r="N64" s="111" t="str">
        <f>N165</f>
        <v>-</v>
      </c>
      <c r="O64" s="111" t="str">
        <f>O165</f>
        <v>-</v>
      </c>
      <c r="P64" s="91" t="str">
        <f t="shared" si="0"/>
        <v>-</v>
      </c>
      <c r="Q64" s="136" t="str">
        <f t="shared" si="1"/>
        <v>-</v>
      </c>
    </row>
    <row r="65" spans="2:17" hidden="1" outlineLevel="1" x14ac:dyDescent="0.25">
      <c r="C65" s="37" t="s">
        <v>318</v>
      </c>
      <c r="D65" s="37"/>
      <c r="G65" s="37"/>
      <c r="H65" s="37"/>
      <c r="I65" s="37"/>
      <c r="J65" s="37"/>
      <c r="K65" s="110">
        <f>SUM(K66:K67)</f>
        <v>0</v>
      </c>
      <c r="L65" s="110">
        <f>SUM(L66:L67)</f>
        <v>0</v>
      </c>
      <c r="M65" s="110">
        <f>SUM(M66:M67)</f>
        <v>0</v>
      </c>
      <c r="N65" s="110">
        <f>SUM(N66:N67)</f>
        <v>0</v>
      </c>
      <c r="O65" s="110">
        <f>SUM(O66:O67)</f>
        <v>0</v>
      </c>
      <c r="P65" s="109">
        <f t="shared" si="0"/>
        <v>0</v>
      </c>
      <c r="Q65" s="136" t="str">
        <f t="shared" si="1"/>
        <v>-</v>
      </c>
    </row>
    <row r="66" spans="2:17" hidden="1" outlineLevel="1" x14ac:dyDescent="0.25">
      <c r="C66" s="95" t="s">
        <v>138</v>
      </c>
      <c r="D66" s="39"/>
      <c r="G66" s="39"/>
      <c r="H66" s="39"/>
      <c r="I66" s="39"/>
      <c r="J66" s="39"/>
      <c r="K66" s="111" t="str">
        <f>K179</f>
        <v>-</v>
      </c>
      <c r="L66" s="111" t="str">
        <f>L179</f>
        <v>-</v>
      </c>
      <c r="M66" s="111" t="str">
        <f>M179</f>
        <v>-</v>
      </c>
      <c r="N66" s="111" t="str">
        <f>N179</f>
        <v>-</v>
      </c>
      <c r="O66" s="111" t="str">
        <f>O179</f>
        <v>-</v>
      </c>
      <c r="P66" s="91" t="str">
        <f t="shared" si="0"/>
        <v>-</v>
      </c>
      <c r="Q66" s="136" t="str">
        <f t="shared" si="1"/>
        <v>-</v>
      </c>
    </row>
    <row r="67" spans="2:17" hidden="1" outlineLevel="1" x14ac:dyDescent="0.25">
      <c r="C67" s="95" t="s">
        <v>184</v>
      </c>
      <c r="D67" s="39"/>
      <c r="G67" s="39"/>
      <c r="H67" s="39"/>
      <c r="I67" s="39"/>
      <c r="J67" s="39"/>
      <c r="K67" s="111" t="str">
        <f>K192</f>
        <v>-</v>
      </c>
      <c r="L67" s="111" t="str">
        <f>L192</f>
        <v>-</v>
      </c>
      <c r="M67" s="111" t="str">
        <f>M192</f>
        <v>-</v>
      </c>
      <c r="N67" s="111" t="str">
        <f>N192</f>
        <v>-</v>
      </c>
      <c r="O67" s="111" t="str">
        <f>O192</f>
        <v>-</v>
      </c>
      <c r="P67" s="91" t="str">
        <f t="shared" si="0"/>
        <v>-</v>
      </c>
      <c r="Q67" s="136" t="str">
        <f t="shared" si="1"/>
        <v>-</v>
      </c>
    </row>
    <row r="68" spans="2:17" hidden="1" outlineLevel="1" x14ac:dyDescent="0.25">
      <c r="C68" s="37" t="s">
        <v>319</v>
      </c>
      <c r="D68" s="37"/>
      <c r="G68" s="37"/>
      <c r="H68" s="37"/>
      <c r="I68" s="37"/>
      <c r="J68" s="37"/>
      <c r="K68" s="110">
        <f>SUM(K69:K70)</f>
        <v>0</v>
      </c>
      <c r="L68" s="110">
        <f>SUM(L69:L70)</f>
        <v>0</v>
      </c>
      <c r="M68" s="110">
        <f>SUM(M69:M70)</f>
        <v>0</v>
      </c>
      <c r="N68" s="110">
        <f>SUM(N69:N70)</f>
        <v>0</v>
      </c>
      <c r="O68" s="110">
        <f>SUM(O69:O70)</f>
        <v>0</v>
      </c>
      <c r="P68" s="109">
        <f t="shared" si="0"/>
        <v>0</v>
      </c>
      <c r="Q68" s="136" t="str">
        <f t="shared" si="1"/>
        <v>-</v>
      </c>
    </row>
    <row r="69" spans="2:17" hidden="1" outlineLevel="1" x14ac:dyDescent="0.25">
      <c r="C69" s="95" t="s">
        <v>138</v>
      </c>
      <c r="D69" s="39"/>
      <c r="G69" s="39"/>
      <c r="H69" s="39"/>
      <c r="I69" s="39"/>
      <c r="J69" s="39"/>
      <c r="K69" s="111" t="str">
        <f>K205</f>
        <v>-</v>
      </c>
      <c r="L69" s="111" t="str">
        <f>L205</f>
        <v>-</v>
      </c>
      <c r="M69" s="111" t="str">
        <f>M205</f>
        <v>-</v>
      </c>
      <c r="N69" s="111" t="str">
        <f>N205</f>
        <v>-</v>
      </c>
      <c r="O69" s="111" t="str">
        <f>O205</f>
        <v>-</v>
      </c>
      <c r="P69" s="91" t="str">
        <f t="shared" si="0"/>
        <v>-</v>
      </c>
      <c r="Q69" s="136" t="str">
        <f t="shared" si="1"/>
        <v>-</v>
      </c>
    </row>
    <row r="70" spans="2:17" hidden="1" outlineLevel="1" x14ac:dyDescent="0.25">
      <c r="C70" s="95" t="s">
        <v>184</v>
      </c>
      <c r="D70" s="39"/>
      <c r="G70" s="39"/>
      <c r="H70" s="39"/>
      <c r="I70" s="39"/>
      <c r="J70" s="39"/>
      <c r="K70" s="111" t="str">
        <f>K218</f>
        <v>-</v>
      </c>
      <c r="L70" s="111" t="str">
        <f>L218</f>
        <v>-</v>
      </c>
      <c r="M70" s="111" t="str">
        <f>M218</f>
        <v>-</v>
      </c>
      <c r="N70" s="111" t="str">
        <f>N218</f>
        <v>-</v>
      </c>
      <c r="O70" s="111" t="str">
        <f>O218</f>
        <v>-</v>
      </c>
      <c r="P70" s="91" t="str">
        <f t="shared" si="0"/>
        <v>-</v>
      </c>
      <c r="Q70" s="136" t="str">
        <f t="shared" si="1"/>
        <v>-</v>
      </c>
    </row>
    <row r="71" spans="2:17" hidden="1" outlineLevel="1" x14ac:dyDescent="0.25"/>
    <row r="72" spans="2:17" hidden="1" outlineLevel="1" x14ac:dyDescent="0.25">
      <c r="I72" t="s">
        <v>425</v>
      </c>
      <c r="J72" s="39" t="s">
        <v>72</v>
      </c>
      <c r="K72" t="str">
        <f>IFERROR(K65/ROUND($D$75/30,0),"-")</f>
        <v>-</v>
      </c>
      <c r="L72" t="str">
        <f>IFERROR(L65/ROUND($D$75/30,0),"-")</f>
        <v>-</v>
      </c>
      <c r="M72" t="str">
        <f>IFERROR(M65/ROUND($D$75/30,0),"-")</f>
        <v>-</v>
      </c>
      <c r="N72" t="str">
        <f>IFERROR(N65/ROUND($D$75/30,0),"-")</f>
        <v>-</v>
      </c>
      <c r="O72" t="str">
        <f>IFERROR(O65/ROUND($D$75/30,0),"-")</f>
        <v>-</v>
      </c>
    </row>
    <row r="73" spans="2:17" ht="15.75" hidden="1" outlineLevel="1" x14ac:dyDescent="0.25">
      <c r="B73"/>
      <c r="C73" s="36" t="s">
        <v>426</v>
      </c>
      <c r="D73" s="58" t="str">
        <f>IFERROR(INDEX(Inputs!$H$17:$U$17,1,MATCH($D$5,Inputs!$H$15:$U$15,0)),"-")</f>
        <v>-</v>
      </c>
      <c r="E73" s="119" t="str">
        <f>IFERROR(INDEX(#REF!,MATCH($C73,#REF!,0),MATCH($D73,#REF!,0)),"-")</f>
        <v>-</v>
      </c>
      <c r="I73" t="s">
        <v>425</v>
      </c>
      <c r="J73" s="39" t="s">
        <v>73</v>
      </c>
      <c r="K73" t="str">
        <f>IFERROR(K68/ROUND($D$75/30,0),"-")</f>
        <v>-</v>
      </c>
      <c r="L73" t="str">
        <f>IFERROR(L68/ROUND($D$75/30,0),"-")</f>
        <v>-</v>
      </c>
      <c r="M73" t="str">
        <f>IFERROR(M68/ROUND($D$75/30,0),"-")</f>
        <v>-</v>
      </c>
      <c r="N73" t="str">
        <f>IFERROR(N68/ROUND($D$75/30,0),"-")</f>
        <v>-</v>
      </c>
      <c r="O73" t="str">
        <f>IFERROR(O68/ROUND($D$75/30,0),"-")</f>
        <v>-</v>
      </c>
    </row>
    <row r="74" spans="2:17" ht="15.75" hidden="1" outlineLevel="1" x14ac:dyDescent="0.25">
      <c r="B74"/>
      <c r="C74" s="36" t="s">
        <v>427</v>
      </c>
      <c r="D74" s="58" t="str">
        <f>IFERROR(INDEX(Inputs!$H$17:$U$17,1,MATCH($D$5,Inputs!$H$15:$U$15,0)),"-")</f>
        <v>-</v>
      </c>
      <c r="E74" s="119" t="str">
        <f>IFERROR(INDEX(#REF!,MATCH($C74,#REF!,0),MATCH($D74,#REF!,0)),"-")</f>
        <v>-</v>
      </c>
      <c r="K74" s="83"/>
      <c r="L74" s="83"/>
      <c r="M74" s="83"/>
      <c r="N74" s="83"/>
      <c r="O74" s="83"/>
    </row>
    <row r="75" spans="2:17" ht="15.75" hidden="1" outlineLevel="1" x14ac:dyDescent="0.25">
      <c r="B75"/>
      <c r="C75" s="36" t="s">
        <v>428</v>
      </c>
      <c r="D75" t="str">
        <f>IFERROR(_xlfn.DAYS(E74,E73)+1,"-")</f>
        <v>-</v>
      </c>
      <c r="K75" s="83"/>
      <c r="L75" s="83"/>
      <c r="M75" s="83"/>
      <c r="N75" s="83"/>
      <c r="O75" s="83"/>
    </row>
    <row r="76" spans="2:17" ht="15.75" hidden="1" outlineLevel="1" x14ac:dyDescent="0.25">
      <c r="B76"/>
      <c r="C76" s="36" t="s">
        <v>408</v>
      </c>
      <c r="D76" s="101">
        <f>IFERROR(D75/DiY,0)</f>
        <v>0</v>
      </c>
    </row>
    <row r="77" spans="2:17" hidden="1" outlineLevel="1" x14ac:dyDescent="0.25">
      <c r="B77"/>
    </row>
    <row r="78" spans="2:17" hidden="1" outlineLevel="1" x14ac:dyDescent="0.25">
      <c r="B78"/>
    </row>
    <row r="79" spans="2:17" hidden="1" outlineLevel="1" x14ac:dyDescent="0.25">
      <c r="B79"/>
    </row>
    <row r="80" spans="2:17" ht="15.75" hidden="1" outlineLevel="1" x14ac:dyDescent="0.25">
      <c r="B80"/>
      <c r="C80" s="20" t="s">
        <v>429</v>
      </c>
    </row>
    <row r="81" spans="2:10" ht="15.75" hidden="1" outlineLevel="1" x14ac:dyDescent="0.25">
      <c r="B81"/>
      <c r="C81" s="30" t="s">
        <v>10</v>
      </c>
      <c r="D81" s="30" t="s">
        <v>49</v>
      </c>
      <c r="E81" s="30" t="s">
        <v>63</v>
      </c>
      <c r="F81" s="30" t="s">
        <v>336</v>
      </c>
    </row>
    <row r="82" spans="2:10" hidden="1" outlineLevel="1" x14ac:dyDescent="0.25">
      <c r="B82"/>
      <c r="C82" s="39" t="s">
        <v>430</v>
      </c>
      <c r="D82" s="58" t="str">
        <f>INDEX(Inputs!$C$17:$AZ$17,1,MATCH($D$5,Inputs!$C$15:$AZ$15,0))</f>
        <v>F-NextVDO_Input</v>
      </c>
      <c r="E82" s="39" t="s">
        <v>72</v>
      </c>
      <c r="F82" s="114" t="str">
        <f>IFERROR(SUMIFS(
INDEX(#REF!,0,MATCH(TUNet_Usage_Actual_1[[#This Row],[VDO decision]],#REF!,0)),#REF!,
Calc_TU_values!E82,#REF!,Calc_TU_values!C82),"-")</f>
        <v>-</v>
      </c>
    </row>
    <row r="83" spans="2:10" hidden="1" outlineLevel="1" x14ac:dyDescent="0.25">
      <c r="B83"/>
      <c r="C83" s="14" t="s">
        <v>431</v>
      </c>
      <c r="D83" s="58" t="str">
        <f>INDEX(Inputs!$C$17:$AZ$17,1,MATCH($D$5,Inputs!$C$15:$AZ$15,0))</f>
        <v>F-NextVDO_Input</v>
      </c>
      <c r="E83" s="39" t="s">
        <v>72</v>
      </c>
      <c r="F83" s="114" t="str">
        <f>IFERROR(SUMIFS(
INDEX(#REF!,0,MATCH(TUNet_Usage_Actual_1[[#This Row],[VDO decision]],#REF!,0)),#REF!,
Calc_TU_values!E83,#REF!,Calc_TU_values!C83),"-")</f>
        <v>-</v>
      </c>
    </row>
    <row r="84" spans="2:10" hidden="1" outlineLevel="1" x14ac:dyDescent="0.25">
      <c r="B84"/>
      <c r="C84" s="39" t="s">
        <v>432</v>
      </c>
      <c r="D84" s="58" t="str">
        <f>INDEX(Inputs!$C$17:$AZ$17,1,MATCH($D$5,Inputs!$C$15:$AZ$15,0))</f>
        <v>F-NextVDO_Input</v>
      </c>
      <c r="E84" s="39" t="s">
        <v>72</v>
      </c>
      <c r="F84" s="115" t="str">
        <f>IFERROR(F82/F83,"-")</f>
        <v>-</v>
      </c>
    </row>
    <row r="85" spans="2:10" hidden="1" outlineLevel="1" x14ac:dyDescent="0.25">
      <c r="B85"/>
      <c r="C85" s="39" t="s">
        <v>430</v>
      </c>
      <c r="D85" s="58" t="str">
        <f>INDEX(Inputs!$C$17:$AZ$17,1,MATCH($D$5,Inputs!$C$15:$AZ$15,0))</f>
        <v>F-NextVDO_Input</v>
      </c>
      <c r="E85" s="39" t="s">
        <v>73</v>
      </c>
      <c r="F85" s="114" t="str">
        <f>IFERROR(SUMIFS(
INDEX(#REF!,0,MATCH(TUNet_Usage_Actual_1[[#This Row],[VDO decision]],#REF!,0)),#REF!,
Calc_TU_values!E85,#REF!,Calc_TU_values!C85),"-")</f>
        <v>-</v>
      </c>
    </row>
    <row r="86" spans="2:10" hidden="1" outlineLevel="1" x14ac:dyDescent="0.25">
      <c r="B86"/>
      <c r="C86" s="14" t="s">
        <v>431</v>
      </c>
      <c r="D86" s="58" t="str">
        <f>INDEX(Inputs!$C$17:$AZ$17,1,MATCH($D$5,Inputs!$C$15:$AZ$15,0))</f>
        <v>F-NextVDO_Input</v>
      </c>
      <c r="E86" s="39" t="s">
        <v>73</v>
      </c>
      <c r="F86" s="114" t="str">
        <f>IFERROR(SUMIFS(
INDEX(#REF!,0,MATCH(TUNet_Usage_Actual_1[[#This Row],[VDO decision]],#REF!,0)),#REF!,
Calc_TU_values!E86,#REF!,Calc_TU_values!C86),"-")</f>
        <v>-</v>
      </c>
    </row>
    <row r="87" spans="2:10" hidden="1" outlineLevel="1" x14ac:dyDescent="0.25">
      <c r="B87"/>
      <c r="C87" s="116" t="s">
        <v>432</v>
      </c>
      <c r="D87" s="58" t="str">
        <f>INDEX(Inputs!$C$17:$AZ$17,1,MATCH($D$5,Inputs!$C$15:$AZ$15,0))</f>
        <v>F-NextVDO_Input</v>
      </c>
      <c r="E87" s="116" t="s">
        <v>73</v>
      </c>
      <c r="F87" s="115" t="str">
        <f>IFERROR(F85/F86,"-")</f>
        <v>-</v>
      </c>
    </row>
    <row r="88" spans="2:10" hidden="1" outlineLevel="1" x14ac:dyDescent="0.25">
      <c r="B88"/>
      <c r="C88" s="116" t="s">
        <v>433</v>
      </c>
      <c r="D88" s="117" t="str">
        <f>INDEX(Inputs!$C$17:$AZ$17,1,MATCH($D$5,Inputs!$C$15:$AZ$15,0))</f>
        <v>F-NextVDO_Input</v>
      </c>
      <c r="E88" s="39" t="s">
        <v>72</v>
      </c>
      <c r="F88" s="145" t="str">
        <f>IFERROR(SUMIFS(
INDEX(#REF!,0,MATCH(TUNet_Usage_Actual_1[[#This Row],[VDO decision]],#REF!,0)),#REF!,
"Total usage - Controlled load",#REF!,TUNet_Usage_Actual_1[[#This Row],[Customer type]],#REF!,"July 2020 to August 2020")
/SUMIFS(
INDEX(#REF!,0,MATCH(TUNet_Usage_Actual_1[[#This Row],[VDO decision]],#REF!,0)),#REF!,
"Total usage - Controlled load",#REF!,TUNet_Usage_Actual_1[[#This Row],[Customer type]],#REF!,"July 2020 to June 2021"),"-")</f>
        <v>-</v>
      </c>
    </row>
    <row r="89" spans="2:10" hidden="1" outlineLevel="1" x14ac:dyDescent="0.25">
      <c r="B89"/>
    </row>
    <row r="90" spans="2:10" ht="15.75" hidden="1" outlineLevel="1" x14ac:dyDescent="0.25">
      <c r="B90"/>
      <c r="C90" s="20" t="s">
        <v>434</v>
      </c>
    </row>
    <row r="91" spans="2:10" ht="15.75" hidden="1" outlineLevel="1" x14ac:dyDescent="0.25">
      <c r="B91"/>
      <c r="C91" s="30" t="s">
        <v>10</v>
      </c>
      <c r="D91" s="30" t="s">
        <v>49</v>
      </c>
      <c r="E91" s="30" t="s">
        <v>63</v>
      </c>
      <c r="F91" s="30" t="s">
        <v>65</v>
      </c>
      <c r="G91" s="40" t="s">
        <v>66</v>
      </c>
      <c r="H91" s="40" t="s">
        <v>67</v>
      </c>
      <c r="I91" s="40" t="s">
        <v>68</v>
      </c>
      <c r="J91" s="40" t="s">
        <v>69</v>
      </c>
    </row>
    <row r="92" spans="2:10" hidden="1" outlineLevel="1" x14ac:dyDescent="0.25">
      <c r="B92"/>
      <c r="C92" s="39" t="s">
        <v>435</v>
      </c>
      <c r="D92" s="58" t="str">
        <f>INDEX(Inputs!$C$17:$AZ$17,1,MATCH($D$5,Inputs!$C$15:$AZ$15,0))</f>
        <v>F-NextVDO_Input</v>
      </c>
      <c r="E92" s="39" t="s">
        <v>72</v>
      </c>
      <c r="F92" s="118" t="str">
        <f>IFERROR(IF(SUMIFS(
INDEX(#REF!,0,MATCH(TUNet_Usage_PerRate_1[[#This Row],[VDO decision]],#REF!,0)),#REF!,
$E92,#REF!,$C92&amp;" - "&amp;F$91)=0,"-",MIN(SUMIFS(TUNet_Usage_Actual_1[Value],TUNet_Usage_Actual_1[Customer type],$E92,TUNet_Usage_Actual_1[Description],"Usage per customer"),SUMIFS(
INDEX(#REF!,0,MATCH(TUNet_Usage_PerRate_1[[#This Row],[VDO decision]],#REF!,0)),#REF!,
$E92,#REF!,$C92&amp;" - "&amp;F$91))),"-")</f>
        <v>-</v>
      </c>
      <c r="G92" s="118" t="str">
        <f>IFERROR(IF(SUMIFS(
INDEX(#REF!,0,MATCH(TUNet_Usage_PerRate_1[[#This Row],[Customer type]],#REF!,0)),#REF!,
$E92,#REF!,$C92&amp;" - "&amp;G$91)=0,"-",MIN(SUMIFS(TUNet_Usage_Actual_1[Description],TUNet_Usage_Actual_1[Value],$E92,TUNet_Usage_Actual_1[VDO decision],"Usage per customer"),SUMIFS(
INDEX(#REF!,0,MATCH(TUNet_Usage_PerRate_1[[#This Row],[Customer type]],#REF!,0)),#REF!,
$E92,#REF!,$C92&amp;" - "&amp;G$91))),"-")</f>
        <v>-</v>
      </c>
      <c r="H92" s="118" t="str">
        <f>IFERROR(IF(SUMIFS(
INDEX(#REF!,0,MATCH(TUNet_Usage_PerRate_1[[#This Row],[Ausnet]],#REF!,0)),#REF!,
$E92,#REF!,$C92&amp;" - "&amp;H$91)=0,"-",MIN(SUMIFS(TUNet_Usage_Actual_1[VDO decision],TUNet_Usage_Actual_1[Description],$E92,TUNet_Usage_Actual_1[Customer type],"Usage per customer"),SUMIFS(
INDEX(#REF!,0,MATCH(TUNet_Usage_PerRate_1[[#This Row],[Ausnet]],#REF!,0)),#REF!,
$E92,#REF!,$C92&amp;" - "&amp;H$91))),"-")</f>
        <v>-</v>
      </c>
      <c r="I92" s="118" t="str">
        <f>IFERROR(IF(SUMIFS(
INDEX(#REF!,0,MATCH(TUNet_Usage_PerRate_1[[#This Row],[Citipower]],#REF!,0)),#REF!,
$E92,#REF!,$C92&amp;" - "&amp;I$91)=0,"-",MIN(SUMIFS(TUNet_Usage_Actual_1[Customer type],TUNet_Usage_Actual_1[VDO decision],$E92,TUNet_Usage_Actual_1[Value],"Usage per customer"),SUMIFS(
INDEX(#REF!,0,MATCH(TUNet_Usage_PerRate_1[[#This Row],[Citipower]],#REF!,0)),#REF!,
$E92,#REF!,$C92&amp;" - "&amp;I$91))),"-")</f>
        <v>-</v>
      </c>
      <c r="J92" s="118" t="str">
        <f>IFERROR(IF(SUMIFS(
INDEX(#REF!,0,MATCH(TUNet_Usage_PerRate_1[[#This Row],[Jemena]],#REF!,0)),#REF!,
$E92,#REF!,$C92&amp;" - "&amp;J$91)=0,"-",MIN(SUMIFS(TUNet_Usage_Actual_1[Value],TUNet_Usage_Actual_1[Customer type],$E92,TUNet_Usage_Actual_1[Description],"Usage per customer"),SUMIFS(
INDEX(#REF!,0,MATCH(TUNet_Usage_PerRate_1[[#This Row],[Jemena]],#REF!,0)),#REF!,
$E92,#REF!,$C92&amp;" - "&amp;J$91))),"-")</f>
        <v>-</v>
      </c>
    </row>
    <row r="93" spans="2:10" hidden="1" outlineLevel="1" x14ac:dyDescent="0.25">
      <c r="B93"/>
      <c r="C93" s="39" t="s">
        <v>435</v>
      </c>
      <c r="D93" s="58" t="str">
        <f>INDEX(Inputs!$C$17:$AZ$17,1,MATCH($D$5,Inputs!$C$15:$AZ$15,0))</f>
        <v>F-NextVDO_Input</v>
      </c>
      <c r="E93" s="39" t="s">
        <v>73</v>
      </c>
      <c r="F93" s="118" t="str">
        <f>IFERROR(IF(SUMIFS(
INDEX(#REF!,0,MATCH(TUNet_Usage_PerRate_1[[#This Row],[VDO decision]],#REF!,0)),#REF!,
$E93,#REF!,$C93&amp;" - "&amp;F$91)=0,"-",MIN(SUMIFS(TUNet_Usage_Actual_1[Value],TUNet_Usage_Actual_1[Customer type],$E93,TUNet_Usage_Actual_1[Description],"Usage per customer"),SUMIFS(
INDEX(#REF!,0,MATCH(TUNet_Usage_PerRate_1[[#This Row],[VDO decision]],#REF!,0)),#REF!,
$E93,#REF!,$C93&amp;" - "&amp;F$91))),"-")</f>
        <v>-</v>
      </c>
      <c r="G93" s="118" t="str">
        <f>IFERROR(IF(SUMIFS(
INDEX(#REF!,0,MATCH(TUNet_Usage_PerRate_1[[#This Row],[Customer type]],#REF!,0)),#REF!,
$E93,#REF!,$C93&amp;" - "&amp;G$91)=0,"-",MIN(SUMIFS(TUNet_Usage_Actual_1[Description],TUNet_Usage_Actual_1[Value],$E93,TUNet_Usage_Actual_1[VDO decision],"Usage per customer"),SUMIFS(
INDEX(#REF!,0,MATCH(TUNet_Usage_PerRate_1[[#This Row],[Customer type]],#REF!,0)),#REF!,
$E93,#REF!,$C93&amp;" - "&amp;G$91))),"-")</f>
        <v>-</v>
      </c>
      <c r="H93" s="118" t="str">
        <f>IFERROR(IF(SUMIFS(
INDEX(#REF!,0,MATCH(TUNet_Usage_PerRate_1[[#This Row],[Ausnet]],#REF!,0)),#REF!,
$E93,#REF!,$C93&amp;" - "&amp;H$91)=0,"-",MIN(SUMIFS(TUNet_Usage_Actual_1[VDO decision],TUNet_Usage_Actual_1[Description],$E93,TUNet_Usage_Actual_1[Customer type],"Usage per customer"),SUMIFS(
INDEX(#REF!,0,MATCH(TUNet_Usage_PerRate_1[[#This Row],[Ausnet]],#REF!,0)),#REF!,
$E93,#REF!,$C93&amp;" - "&amp;H$91))),"-")</f>
        <v>-</v>
      </c>
      <c r="I93" s="118" t="str">
        <f>IFERROR(IF(SUMIFS(
INDEX(#REF!,0,MATCH(TUNet_Usage_PerRate_1[[#This Row],[Citipower]],#REF!,0)),#REF!,
$E93,#REF!,$C93&amp;" - "&amp;I$91)=0,"-",MIN(SUMIFS(TUNet_Usage_Actual_1[Customer type],TUNet_Usage_Actual_1[VDO decision],$E93,TUNet_Usage_Actual_1[Value],"Usage per customer"),SUMIFS(
INDEX(#REF!,0,MATCH(TUNet_Usage_PerRate_1[[#This Row],[Citipower]],#REF!,0)),#REF!,
$E93,#REF!,$C93&amp;" - "&amp;I$91))),"-")</f>
        <v>-</v>
      </c>
      <c r="J93" s="118" t="str">
        <f>IFERROR(IF(SUMIFS(
INDEX(#REF!,0,MATCH(TUNet_Usage_PerRate_1[[#This Row],[Jemena]],#REF!,0)),#REF!,
$E93,#REF!,$C93&amp;" - "&amp;J$91)=0,"-",MIN(SUMIFS(TUNet_Usage_Actual_1[Value],TUNet_Usage_Actual_1[Customer type],$E93,TUNet_Usage_Actual_1[Description],"Usage per customer"),SUMIFS(
INDEX(#REF!,0,MATCH(TUNet_Usage_PerRate_1[[#This Row],[Jemena]],#REF!,0)),#REF!,
$E93,#REF!,$C93&amp;" - "&amp;J$91))),"-")</f>
        <v>-</v>
      </c>
    </row>
    <row r="94" spans="2:10" hidden="1" outlineLevel="1" x14ac:dyDescent="0.25">
      <c r="B94"/>
      <c r="C94" s="116" t="s">
        <v>436</v>
      </c>
      <c r="D94" s="58" t="str">
        <f>INDEX(Inputs!$C$17:$AZ$17,1,MATCH($D$5,Inputs!$C$15:$AZ$15,0))</f>
        <v>F-NextVDO_Input</v>
      </c>
      <c r="E94" s="39" t="s">
        <v>72</v>
      </c>
      <c r="F94" s="118" t="str">
        <f>IFERROR(IF(SUMIFS(F$92:F$93,$E$92:$E$93,$E94,$C$92:$C$93,"Usage per customer - Block 1")=0,"-",SUMIFS(TUNet_Usage_Actual_1[Value],TUNet_Usage_Actual_1[Customer type],$E94,TUNet_Usage_Actual_1[Description],"Usage per customer")-SUMIFS(F$92:F$93,$E$92:$E$93,$E94,$C$92:$C$93,"Usage per customer - Block 1")),"-")</f>
        <v>-</v>
      </c>
      <c r="G94" s="118" t="str">
        <f>IFERROR(IF(SUMIFS(G$92:G$93,$E$92:$E$93,$E94,$C$92:$C$93,"Usage per customer - Block 1")=0,"-",SUMIFS(TUNet_Usage_Actual_1[Description],TUNet_Usage_Actual_1[Value],$E94,TUNet_Usage_Actual_1[VDO decision],"Usage per customer")-SUMIFS(G$92:G$93,$E$92:$E$93,$E94,$C$92:$C$93,"Usage per customer - Block 1")),"-")</f>
        <v>-</v>
      </c>
      <c r="H94" s="118" t="str">
        <f>IFERROR(IF(SUMIFS(H$92:H$93,$E$92:$E$93,$E94,$C$92:$C$93,"Usage per customer - Block 1")=0,"-",SUMIFS(TUNet_Usage_Actual_1[VDO decision],TUNet_Usage_Actual_1[Description],$E94,TUNet_Usage_Actual_1[Customer type],"Usage per customer")-SUMIFS(H$92:H$93,$E$92:$E$93,$E94,$C$92:$C$93,"Usage per customer - Block 1")),"-")</f>
        <v>-</v>
      </c>
      <c r="I94" s="118" t="str">
        <f>IFERROR(IF(SUMIFS(I$92:I$93,$E$92:$E$93,$E94,$C$92:$C$93,"Usage per customer - Block 1")=0,"-",SUMIFS(TUNet_Usage_Actual_1[Customer type],TUNet_Usage_Actual_1[VDO decision],$E94,TUNet_Usage_Actual_1[Value],"Usage per customer")-SUMIFS(I$92:I$93,$E$92:$E$93,$E94,$C$92:$C$93,"Usage per customer - Block 1")),"-")</f>
        <v>-</v>
      </c>
      <c r="J94" s="118" t="str">
        <f>IFERROR(IF(SUMIFS(J$92:J$93,$E$92:$E$93,$E94,$C$92:$C$93,"Usage per customer - Block 1")=0,"-",SUMIFS(TUNet_Usage_Actual_1[Value],TUNet_Usage_Actual_1[Customer type],$E94,TUNet_Usage_Actual_1[Description],"Usage per customer")-SUMIFS(J$92:J$93,$E$92:$E$93,$E94,$C$92:$C$93,"Usage per customer - Block 1")),"-")</f>
        <v>-</v>
      </c>
    </row>
    <row r="95" spans="2:10" hidden="1" outlineLevel="1" x14ac:dyDescent="0.25">
      <c r="B95"/>
      <c r="C95" s="116" t="s">
        <v>436</v>
      </c>
      <c r="D95" s="58" t="str">
        <f>INDEX(Inputs!$C$17:$AZ$17,1,MATCH($D$5,Inputs!$C$15:$AZ$15,0))</f>
        <v>F-NextVDO_Input</v>
      </c>
      <c r="E95" s="39" t="s">
        <v>73</v>
      </c>
      <c r="F95" s="118" t="str">
        <f>IFERROR(IF(SUMIFS(F$92:F$93,$E$92:$E$93,$E95,$C$92:$C$93,"Usage per customer - Block 1")=0,"-",SUMIFS(TUNet_Usage_Actual_1[Value],TUNet_Usage_Actual_1[Customer type],$E95,TUNet_Usage_Actual_1[Description],"Usage per customer")-SUMIFS(F$92:F$93,$E$92:$E$93,$E95,$C$92:$C$93,"Usage per customer - Block 1")),"-")</f>
        <v>-</v>
      </c>
      <c r="G95" s="118" t="str">
        <f>IFERROR(IF(SUMIFS(G$92:G$93,$E$92:$E$93,$E95,$C$92:$C$93,"Usage per customer - Block 1")=0,"-",SUMIFS(TUNet_Usage_Actual_1[Description],TUNet_Usage_Actual_1[Value],$E95,TUNet_Usage_Actual_1[VDO decision],"Usage per customer")-SUMIFS(G$92:G$93,$E$92:$E$93,$E95,$C$92:$C$93,"Usage per customer - Block 1")),"-")</f>
        <v>-</v>
      </c>
      <c r="H95" s="118" t="str">
        <f>IFERROR(IF(SUMIFS(H$92:H$93,$E$92:$E$93,$E95,$C$92:$C$93,"Usage per customer - Block 1")=0,"-",SUMIFS(TUNet_Usage_Actual_1[VDO decision],TUNet_Usage_Actual_1[Description],$E95,TUNet_Usage_Actual_1[Customer type],"Usage per customer")-SUMIFS(H$92:H$93,$E$92:$E$93,$E95,$C$92:$C$93,"Usage per customer - Block 1")),"-")</f>
        <v>-</v>
      </c>
      <c r="I95" s="118" t="str">
        <f>IFERROR(IF(SUMIFS(I$92:I$93,$E$92:$E$93,$E95,$C$92:$C$93,"Usage per customer - Block 1")=0,"-",SUMIFS(TUNet_Usage_Actual_1[Customer type],TUNet_Usage_Actual_1[VDO decision],$E95,TUNet_Usage_Actual_1[Value],"Usage per customer")-SUMIFS(I$92:I$93,$E$92:$E$93,$E95,$C$92:$C$93,"Usage per customer - Block 1")),"-")</f>
        <v>-</v>
      </c>
      <c r="J95" s="118" t="str">
        <f>IFERROR(IF(SUMIFS(J$92:J$93,$E$92:$E$93,$E95,$C$92:$C$93,"Usage per customer - Block 1")=0,"-",SUMIFS(TUNet_Usage_Actual_1[Value],TUNet_Usage_Actual_1[Customer type],$E95,TUNet_Usage_Actual_1[Description],"Usage per customer")-SUMIFS(J$92:J$93,$E$92:$E$93,$E95,$C$92:$C$93,"Usage per customer - Block 1")),"-")</f>
        <v>-</v>
      </c>
    </row>
    <row r="96" spans="2:10" hidden="1" outlineLevel="1" x14ac:dyDescent="0.25">
      <c r="B96"/>
      <c r="C96" s="116" t="s">
        <v>437</v>
      </c>
      <c r="D96" s="58" t="str">
        <f>INDEX(Inputs!$C$17:$AZ$17,1,MATCH($D$5,Inputs!$C$15:$AZ$15,0))</f>
        <v>F-NextVDO_Input</v>
      </c>
      <c r="E96" s="39" t="s">
        <v>72</v>
      </c>
      <c r="F96" s="114" t="str">
        <f>IFERROR(IF(SUMIFS(
INDEX(#REF!,0,MATCH(TUNet_Usage_PerRate_1[[#This Row],[VDO decision]],#REF!,0)),#REF!,
$E96,#REF!,"Usage per customer - Block 1 - "&amp;F$91)=0,SUMIFS(TUNet_Usage_Actual_1[Value],TUNet_Usage_Actual_1[Customer type],$E96,TUNet_Usage_Actual_1[Description],"Usage per customer"),"-"),"-")</f>
        <v>-</v>
      </c>
      <c r="G96" s="114" t="str">
        <f>IFERROR(IF(SUMIFS(
INDEX(#REF!,0,MATCH(TUNet_Usage_PerRate_1[[#This Row],[Customer type]],#REF!,0)),#REF!,
$E96,#REF!,"Usage per customer - Block 1 - "&amp;G$91)=0,SUMIFS(TUNet_Usage_Actual_1[Description],TUNet_Usage_Actual_1[Value],$E96,TUNet_Usage_Actual_1[VDO decision],"Usage per customer"),"-"),"-")</f>
        <v>-</v>
      </c>
      <c r="H96" s="114" t="str">
        <f>IFERROR(IF(SUMIFS(
INDEX(#REF!,0,MATCH(TUNet_Usage_PerRate_1[[#This Row],[Ausnet]],#REF!,0)),#REF!,
$E96,#REF!,"Usage per customer - Block 1 - "&amp;H$91)=0,SUMIFS(TUNet_Usage_Actual_1[VDO decision],TUNet_Usage_Actual_1[Description],$E96,TUNet_Usage_Actual_1[Customer type],"Usage per customer"),"-"),"-")</f>
        <v>-</v>
      </c>
      <c r="I96" s="114" t="str">
        <f>IFERROR(IF(SUMIFS(
INDEX(#REF!,0,MATCH(TUNet_Usage_PerRate_1[[#This Row],[Citipower]],#REF!,0)),#REF!,
$E96,#REF!,"Usage per customer - Block 1 - "&amp;I$91)=0,SUMIFS(TUNet_Usage_Actual_1[Customer type],TUNet_Usage_Actual_1[VDO decision],$E96,TUNet_Usage_Actual_1[Value],"Usage per customer"),"-"),"-")</f>
        <v>-</v>
      </c>
      <c r="J96" s="114" t="str">
        <f>IFERROR(IF(SUMIFS(
INDEX(#REF!,0,MATCH(TUNet_Usage_PerRate_1[[#This Row],[Jemena]],#REF!,0)),#REF!,
$E96,#REF!,"Usage per customer - Block 1 - "&amp;J$91)=0,SUMIFS(TUNet_Usage_Actual_1[Value],TUNet_Usage_Actual_1[Customer type],$E96,TUNet_Usage_Actual_1[Description],"Usage per customer"),"-"),"-")</f>
        <v>-</v>
      </c>
    </row>
    <row r="97" spans="2:15" hidden="1" outlineLevel="1" x14ac:dyDescent="0.25">
      <c r="B97"/>
      <c r="C97" s="39" t="s">
        <v>437</v>
      </c>
      <c r="D97" s="58" t="str">
        <f>INDEX(Inputs!$C$17:$AZ$17,1,MATCH($D$5,Inputs!$C$15:$AZ$15,0))</f>
        <v>F-NextVDO_Input</v>
      </c>
      <c r="E97" s="39" t="s">
        <v>73</v>
      </c>
      <c r="F97" s="114" t="str">
        <f>IFERROR(IF(SUMIFS(
INDEX(#REF!,0,MATCH(TUNet_Usage_PerRate_1[[#This Row],[VDO decision]],#REF!,0)),#REF!,
$E97,#REF!,"Usage per customer - Block 1 - "&amp;F$91)=0,SUMIFS(TUNet_Usage_Actual_1[Value],TUNet_Usage_Actual_1[Customer type],$E97,TUNet_Usage_Actual_1[Description],"Usage per customer"),"-"),"-")</f>
        <v>-</v>
      </c>
      <c r="G97" s="114" t="str">
        <f>IFERROR(IF(SUMIFS(
INDEX(#REF!,0,MATCH(TUNet_Usage_PerRate_1[[#This Row],[Customer type]],#REF!,0)),#REF!,
$E97,#REF!,"Usage per customer - Block 1 - "&amp;G$91)=0,SUMIFS(TUNet_Usage_Actual_1[Description],TUNet_Usage_Actual_1[Value],$E97,TUNet_Usage_Actual_1[VDO decision],"Usage per customer"),"-"),"-")</f>
        <v>-</v>
      </c>
      <c r="H97" s="114" t="str">
        <f>IFERROR(IF(SUMIFS(
INDEX(#REF!,0,MATCH(TUNet_Usage_PerRate_1[[#This Row],[Ausnet]],#REF!,0)),#REF!,
$E97,#REF!,"Usage per customer - Block 1 - "&amp;H$91)=0,SUMIFS(TUNet_Usage_Actual_1[VDO decision],TUNet_Usage_Actual_1[Description],$E97,TUNet_Usage_Actual_1[Customer type],"Usage per customer"),"-"),"-")</f>
        <v>-</v>
      </c>
      <c r="I97" s="114" t="str">
        <f>IFERROR(IF(SUMIFS(
INDEX(#REF!,0,MATCH(TUNet_Usage_PerRate_1[[#This Row],[Citipower]],#REF!,0)),#REF!,
$E97,#REF!,"Usage per customer - Block 1 - "&amp;I$91)=0,SUMIFS(TUNet_Usage_Actual_1[Customer type],TUNet_Usage_Actual_1[VDO decision],$E97,TUNet_Usage_Actual_1[Value],"Usage per customer"),"-"),"-")</f>
        <v>-</v>
      </c>
      <c r="J97" s="114" t="str">
        <f>IFERROR(IF(SUMIFS(
INDEX(#REF!,0,MATCH(TUNet_Usage_PerRate_1[[#This Row],[Jemena]],#REF!,0)),#REF!,
$E97,#REF!,"Usage per customer - Block 1 - "&amp;J$91)=0,SUMIFS(TUNet_Usage_Actual_1[Value],TUNet_Usage_Actual_1[Customer type],$E97,TUNet_Usage_Actual_1[Description],"Usage per customer"),"-"),"-")</f>
        <v>-</v>
      </c>
    </row>
    <row r="98" spans="2:15" hidden="1" outlineLevel="1" x14ac:dyDescent="0.25">
      <c r="B98"/>
    </row>
    <row r="99" spans="2:15" ht="15.75" hidden="1" outlineLevel="1" x14ac:dyDescent="0.25">
      <c r="B99"/>
      <c r="C99" s="20" t="s">
        <v>438</v>
      </c>
    </row>
    <row r="100" spans="2:15" ht="15.75" hidden="1" outlineLevel="1" x14ac:dyDescent="0.25">
      <c r="C100" s="30" t="s">
        <v>51</v>
      </c>
      <c r="D100" s="30" t="s">
        <v>49</v>
      </c>
      <c r="E100" s="30" t="s">
        <v>414</v>
      </c>
      <c r="F100" s="30" t="s">
        <v>415</v>
      </c>
      <c r="G100" s="30" t="s">
        <v>416</v>
      </c>
      <c r="H100" s="30" t="s">
        <v>114</v>
      </c>
      <c r="I100" s="30" t="s">
        <v>62</v>
      </c>
      <c r="J100" s="29" t="s">
        <v>63</v>
      </c>
      <c r="K100" s="40" t="s">
        <v>65</v>
      </c>
      <c r="L100" s="40" t="s">
        <v>66</v>
      </c>
      <c r="M100" s="40" t="s">
        <v>67</v>
      </c>
      <c r="N100" s="40" t="s">
        <v>68</v>
      </c>
      <c r="O100" s="40" t="s">
        <v>69</v>
      </c>
    </row>
    <row r="101" spans="2:15" hidden="1" outlineLevel="1" x14ac:dyDescent="0.25">
      <c r="C101" s="39"/>
      <c r="D101" s="39"/>
      <c r="E101" s="39"/>
      <c r="F101" s="39"/>
      <c r="G101" s="39"/>
      <c r="H101" s="39"/>
      <c r="I101" s="39"/>
      <c r="J101" s="39"/>
      <c r="K101" s="45"/>
      <c r="L101" s="39"/>
      <c r="M101" s="39"/>
      <c r="N101" s="39"/>
      <c r="O101" s="39"/>
    </row>
    <row r="102" spans="2:15" ht="15.75" hidden="1" outlineLevel="1" x14ac:dyDescent="0.25">
      <c r="C102" s="1" t="s">
        <v>316</v>
      </c>
      <c r="D102" s="39"/>
      <c r="E102" s="39"/>
      <c r="F102" s="39"/>
      <c r="G102" s="28" t="str">
        <f>INDEX(Input_TU_YesNo[],MATCH(Calc_TUV_Net_1[[#This Row],[Cost item]],Input_TU_YesNo[Component],0),MATCH($D$5,Inputs!$C$210:$BM$210,0))</f>
        <v>No</v>
      </c>
      <c r="H102" s="39"/>
      <c r="I102" s="39"/>
      <c r="J102" s="39"/>
      <c r="K102" s="45"/>
      <c r="L102" s="39"/>
      <c r="M102" s="39"/>
      <c r="N102" s="39"/>
      <c r="O102" s="39"/>
    </row>
    <row r="103" spans="2:15" hidden="1" outlineLevel="1" x14ac:dyDescent="0.25">
      <c r="C103" s="37" t="s">
        <v>439</v>
      </c>
      <c r="D103" s="37"/>
      <c r="E103" s="37"/>
      <c r="F103" s="37"/>
      <c r="G103" s="47"/>
      <c r="H103" s="47"/>
      <c r="I103" s="14"/>
      <c r="J103" s="14"/>
      <c r="K103" s="44"/>
      <c r="L103" s="14"/>
      <c r="M103" s="14"/>
      <c r="N103" s="14"/>
      <c r="O103" s="14"/>
    </row>
    <row r="104" spans="2:15" hidden="1" outlineLevel="1" x14ac:dyDescent="0.25">
      <c r="C104" s="39" t="s">
        <v>440</v>
      </c>
      <c r="D104" s="58" t="str">
        <f>$D$5</f>
        <v>VDO 2024-25 - Final</v>
      </c>
      <c r="E104" s="14" t="s">
        <v>322</v>
      </c>
      <c r="F104" s="58" t="str">
        <f>INDEX(Inputs!$C$17:$AZ$17,1,MATCH($D104,Inputs!$C$15:$AZ$15,0))</f>
        <v>F-NextVDO_Input</v>
      </c>
      <c r="G104" s="38"/>
      <c r="H104" s="14" t="s">
        <v>138</v>
      </c>
      <c r="I104" s="14" t="s">
        <v>71</v>
      </c>
      <c r="J104" s="39" t="s">
        <v>72</v>
      </c>
      <c r="K104" s="45" cm="1">
        <f t="array" ref="K104">IFERROR(INDEX(Input_ForRateCalc[],MATCH($C104&amp;" - "&amp;K$100,Input_ForRateCalc[[Cost item]:[Cost item]],0),MATCH(Calc_TUV_Net_1[[#This Row],[Decision ref]:[Decision ref]],Input_ForRateCalc[#Headers],0))*TUProp_Days_1,"-")</f>
        <v>0</v>
      </c>
      <c r="L104" s="45" cm="1">
        <f t="array" ref="L104">IFERROR(INDEX(Input_ForRateCalc[],MATCH($C104&amp;" - "&amp;L$100,Input_ForRateCalc[[Cost item]:[Cost item]],0),MATCH(Calc_TUV_Net_1[[#This Row],[Decision ref]:[Decision ref]],Input_ForRateCalc[#Headers],0))*TUProp_Days_1,"-")</f>
        <v>0</v>
      </c>
      <c r="M104" s="45" cm="1">
        <f t="array" ref="M104">IFERROR(INDEX(Input_ForRateCalc[],MATCH($C104&amp;" - "&amp;M$100,Input_ForRateCalc[[Cost item]:[Cost item]],0),MATCH(Calc_TUV_Net_1[[#This Row],[Decision ref]:[Decision ref]],Input_ForRateCalc[#Headers],0))*TUProp_Days_1,"-")</f>
        <v>0</v>
      </c>
      <c r="N104" s="45" cm="1">
        <f t="array" ref="N104">IFERROR(INDEX(Input_ForRateCalc[],MATCH($C104&amp;" - "&amp;N$100,Input_ForRateCalc[[Cost item]:[Cost item]],0),MATCH(Calc_TUV_Net_1[[#This Row],[Decision ref]:[Decision ref]],Input_ForRateCalc[#Headers],0))*TUProp_Days_1,"-")</f>
        <v>0</v>
      </c>
      <c r="O104" s="45" cm="1">
        <f t="array" ref="O104">IFERROR(INDEX(Input_ForRateCalc[],MATCH($C104&amp;" - "&amp;O$100,Input_ForRateCalc[[Cost item]:[Cost item]],0),MATCH(Calc_TUV_Net_1[[#This Row],[Decision ref]:[Decision ref]],Input_ForRateCalc[#Headers],0))*TUProp_Days_1,"-")</f>
        <v>0</v>
      </c>
    </row>
    <row r="105" spans="2:15" hidden="1" outlineLevel="1" x14ac:dyDescent="0.25">
      <c r="C105" s="39" t="s">
        <v>363</v>
      </c>
      <c r="D105" s="58" t="str">
        <f>$D$5</f>
        <v>VDO 2024-25 - Final</v>
      </c>
      <c r="E105" s="14" t="s">
        <v>322</v>
      </c>
      <c r="F105" s="58" t="str">
        <f>INDEX(Inputs!$C$17:$AZ$17,1,MATCH($D105,Inputs!$C$15:$AZ$15,0))</f>
        <v>F-NextVDO_Input</v>
      </c>
      <c r="G105" s="38"/>
      <c r="H105" s="14" t="s">
        <v>138</v>
      </c>
      <c r="I105" s="14" t="s">
        <v>71</v>
      </c>
      <c r="J105" s="39" t="s">
        <v>72</v>
      </c>
      <c r="K105" s="45" cm="1">
        <f t="array" ref="K105">IFERROR(INDEX(Input_ForRateCalc[],MATCH($C105&amp;" - "&amp;K$100,Input_ForRateCalc[[Cost item]:[Cost item]],0),MATCH(Calc_TUV_Net_1[[#This Row],[Decision ref]:[Decision ref]],Input_ForRateCalc[#Headers],0))*TUProp_Days_1,"-")</f>
        <v>0</v>
      </c>
      <c r="L105" s="45" cm="1">
        <f t="array" ref="L105">IFERROR(INDEX(Input_ForRateCalc[],MATCH($C105&amp;" - "&amp;L$100,Input_ForRateCalc[[Cost item]:[Cost item]],0),MATCH(Calc_TUV_Net_1[[#This Row],[Decision ref]:[Decision ref]],Input_ForRateCalc[#Headers],0))*TUProp_Days_1,"-")</f>
        <v>0</v>
      </c>
      <c r="M105" s="45" cm="1">
        <f t="array" ref="M105">IFERROR(INDEX(Input_ForRateCalc[],MATCH($C105&amp;" - "&amp;M$100,Input_ForRateCalc[[Cost item]:[Cost item]],0),MATCH(Calc_TUV_Net_1[[#This Row],[Decision ref]:[Decision ref]],Input_ForRateCalc[#Headers],0))*TUProp_Days_1,"-")</f>
        <v>0</v>
      </c>
      <c r="N105" s="45" cm="1">
        <f t="array" ref="N105">IFERROR(INDEX(Input_ForRateCalc[],MATCH($C105&amp;" - "&amp;N$100,Input_ForRateCalc[[Cost item]:[Cost item]],0),MATCH(Calc_TUV_Net_1[[#This Row],[Decision ref]:[Decision ref]],Input_ForRateCalc[#Headers],0))*TUProp_Days_1,"-")</f>
        <v>0</v>
      </c>
      <c r="O105" s="45" cm="1">
        <f t="array" ref="O105">IFERROR(INDEX(Input_ForRateCalc[],MATCH($C105&amp;" - "&amp;O$100,Input_ForRateCalc[[Cost item]:[Cost item]],0),MATCH(Calc_TUV_Net_1[[#This Row],[Decision ref]:[Decision ref]],Input_ForRateCalc[#Headers],0))*TUProp_Days_1,"-")</f>
        <v>0</v>
      </c>
    </row>
    <row r="106" spans="2:15" hidden="1" outlineLevel="1" x14ac:dyDescent="0.25">
      <c r="C106" s="39" t="s">
        <v>417</v>
      </c>
      <c r="D106" s="58" t="str">
        <f>$D$5</f>
        <v>VDO 2024-25 - Final</v>
      </c>
      <c r="E106" s="14" t="s">
        <v>322</v>
      </c>
      <c r="F106" s="58" t="str">
        <f>INDEX(Inputs!$C$17:$AZ$17,1,MATCH($D106,Inputs!$C$15:$AZ$15,0))</f>
        <v>F-NextVDO_Input</v>
      </c>
      <c r="G106" s="38"/>
      <c r="H106" s="14" t="s">
        <v>138</v>
      </c>
      <c r="I106" s="14" t="s">
        <v>71</v>
      </c>
      <c r="J106" s="39" t="s">
        <v>72</v>
      </c>
      <c r="K106" s="43">
        <f>IFERROR(SUM(K104:K105),"-")</f>
        <v>0</v>
      </c>
      <c r="L106" s="43">
        <f>IFERROR(SUM(L104:L105),"-")</f>
        <v>0</v>
      </c>
      <c r="M106" s="43">
        <f>IFERROR(SUM(M104:M105),"-")</f>
        <v>0</v>
      </c>
      <c r="N106" s="43">
        <f>IFERROR(SUM(N104:N105),"-")</f>
        <v>0</v>
      </c>
      <c r="O106" s="43">
        <f>IFERROR(SUM(O104:O105),"-")</f>
        <v>0</v>
      </c>
    </row>
    <row r="107" spans="2:15" hidden="1" outlineLevel="1" x14ac:dyDescent="0.25">
      <c r="C107" s="39" t="s">
        <v>440</v>
      </c>
      <c r="D107" s="58" t="str">
        <f>INDEX(Input_DecisionActual[[Decision]:[Decision]],MATCH($D$5,Input_DecisionActual[[VDO period]:[VDO period]],0),1)</f>
        <v>VDO 2023-24 - Final</v>
      </c>
      <c r="E107" s="14" t="s">
        <v>102</v>
      </c>
      <c r="F107" s="58" t="str">
        <f>IF($D107="-","-",INDEX(Inputs!$C$17:$AZ$17,1,MATCH($D107,Inputs!$C$15:$AZ$15,0)))</f>
        <v>F-CurrentVDO_Input</v>
      </c>
      <c r="G107" s="38"/>
      <c r="H107" s="14" t="s">
        <v>138</v>
      </c>
      <c r="I107" s="14" t="s">
        <v>71</v>
      </c>
      <c r="J107" s="39" t="s">
        <v>72</v>
      </c>
      <c r="K107" s="45" cm="1">
        <f t="array" ref="K107">IFERROR(INDEX(Input_ForRateCalc[],MATCH($C107&amp;" - "&amp;K$100,Input_ForRateCalc[[Cost item]:[Cost item]],0),MATCH(Calc_TUV_Net_1[[#This Row],[Decision ref]:[Decision ref]],Input_ForRateCalc[#Headers],0)),"-")*TUProp_Days_1</f>
        <v>0</v>
      </c>
      <c r="L107" s="45" cm="1">
        <f t="array" ref="L107">IFERROR(INDEX(Input_ForRateCalc[],MATCH($C107&amp;" - "&amp;L$100,Input_ForRateCalc[[Cost item]:[Cost item]],0),MATCH(Calc_TUV_Net_1[[#This Row],[Decision ref]:[Decision ref]],Input_ForRateCalc[#Headers],0)),"-")*TUProp_Days_1</f>
        <v>0</v>
      </c>
      <c r="M107" s="45" cm="1">
        <f t="array" ref="M107">IFERROR(INDEX(Input_ForRateCalc[],MATCH($C107&amp;" - "&amp;M$100,Input_ForRateCalc[[Cost item]:[Cost item]],0),MATCH(Calc_TUV_Net_1[[#This Row],[Decision ref]:[Decision ref]],Input_ForRateCalc[#Headers],0)),"-")*TUProp_Days_1</f>
        <v>0</v>
      </c>
      <c r="N107" s="45" cm="1">
        <f t="array" ref="N107">IFERROR(INDEX(Input_ForRateCalc[],MATCH($C107&amp;" - "&amp;N$100,Input_ForRateCalc[[Cost item]:[Cost item]],0),MATCH(Calc_TUV_Net_1[[#This Row],[Decision ref]:[Decision ref]],Input_ForRateCalc[#Headers],0)),"-")*TUProp_Days_1</f>
        <v>0</v>
      </c>
      <c r="O107" s="45" cm="1">
        <f t="array" ref="O107">IFERROR(INDEX(Input_ForRateCalc[],MATCH($C107&amp;" - "&amp;O$100,Input_ForRateCalc[[Cost item]:[Cost item]],0),MATCH(Calc_TUV_Net_1[[#This Row],[Decision ref]:[Decision ref]],Input_ForRateCalc[#Headers],0)),"-")*TUProp_Days_1</f>
        <v>0</v>
      </c>
    </row>
    <row r="108" spans="2:15" hidden="1" outlineLevel="1" x14ac:dyDescent="0.25">
      <c r="C108" s="39" t="s">
        <v>363</v>
      </c>
      <c r="D108" s="58" t="str">
        <f>INDEX(Input_DecisionActual[[Decision]:[Decision]],MATCH($D$5,Input_DecisionActual[[VDO period]:[VDO period]],0),1)</f>
        <v>VDO 2023-24 - Final</v>
      </c>
      <c r="E108" s="14" t="s">
        <v>102</v>
      </c>
      <c r="F108" s="58" t="str">
        <f>IF($D108="-","-",INDEX(Inputs!$C$17:$AZ$17,1,MATCH($D108,Inputs!$C$15:$AZ$15,0)))</f>
        <v>F-CurrentVDO_Input</v>
      </c>
      <c r="G108" s="38"/>
      <c r="H108" s="14" t="s">
        <v>138</v>
      </c>
      <c r="I108" s="14" t="s">
        <v>71</v>
      </c>
      <c r="J108" s="39" t="s">
        <v>72</v>
      </c>
      <c r="K108" s="45" cm="1">
        <f t="array" ref="K108">IFERROR(INDEX(Input_ForRateCalc[],MATCH($C108&amp;" - "&amp;K$100,Input_ForRateCalc[[Cost item]:[Cost item]],0),MATCH(Calc_TUV_Net_1[[#This Row],[Decision ref]:[Decision ref]],Input_ForRateCalc[#Headers],0)),"-")*TUProp_Days_1</f>
        <v>0</v>
      </c>
      <c r="L108" s="45" cm="1">
        <f t="array" ref="L108">IFERROR(INDEX(Input_ForRateCalc[],MATCH($C108&amp;" - "&amp;L$100,Input_ForRateCalc[[Cost item]:[Cost item]],0),MATCH(Calc_TUV_Net_1[[#This Row],[Decision ref]:[Decision ref]],Input_ForRateCalc[#Headers],0)),"-")*TUProp_Days_1</f>
        <v>0</v>
      </c>
      <c r="M108" s="45" cm="1">
        <f t="array" ref="M108">IFERROR(INDEX(Input_ForRateCalc[],MATCH($C108&amp;" - "&amp;M$100,Input_ForRateCalc[[Cost item]:[Cost item]],0),MATCH(Calc_TUV_Net_1[[#This Row],[Decision ref]:[Decision ref]],Input_ForRateCalc[#Headers],0)),"-")*TUProp_Days_1</f>
        <v>0</v>
      </c>
      <c r="N108" s="45" cm="1">
        <f t="array" ref="N108">IFERROR(INDEX(Input_ForRateCalc[],MATCH($C108&amp;" - "&amp;N$100,Input_ForRateCalc[[Cost item]:[Cost item]],0),MATCH(Calc_TUV_Net_1[[#This Row],[Decision ref]:[Decision ref]],Input_ForRateCalc[#Headers],0)),"-")*TUProp_Days_1</f>
        <v>0</v>
      </c>
      <c r="O108" s="45" cm="1">
        <f t="array" ref="O108">IFERROR(INDEX(Input_ForRateCalc[],MATCH($C108&amp;" - "&amp;O$100,Input_ForRateCalc[[Cost item]:[Cost item]],0),MATCH(Calc_TUV_Net_1[[#This Row],[Decision ref]:[Decision ref]],Input_ForRateCalc[#Headers],0)),"-")*TUProp_Days_1</f>
        <v>0</v>
      </c>
    </row>
    <row r="109" spans="2:15" hidden="1" outlineLevel="1" x14ac:dyDescent="0.25">
      <c r="C109" s="39" t="s">
        <v>417</v>
      </c>
      <c r="D109" s="58" t="str">
        <f>INDEX(Input_DecisionActual[[Decision]:[Decision]],MATCH($D$5,Input_DecisionActual[[VDO period]:[VDO period]],0),1)</f>
        <v>VDO 2023-24 - Final</v>
      </c>
      <c r="E109" s="14" t="s">
        <v>102</v>
      </c>
      <c r="F109" s="58" t="str">
        <f>IF($D109="-","-",INDEX(Inputs!$C$17:$AZ$17,1,MATCH($D109,Inputs!$C$15:$AZ$15,0)))</f>
        <v>F-CurrentVDO_Input</v>
      </c>
      <c r="G109" s="38"/>
      <c r="H109" s="14" t="s">
        <v>138</v>
      </c>
      <c r="I109" s="14" t="s">
        <v>71</v>
      </c>
      <c r="J109" s="39" t="s">
        <v>72</v>
      </c>
      <c r="K109" s="44">
        <f>SUM(K107:K108)</f>
        <v>0</v>
      </c>
      <c r="L109" s="44">
        <f>SUM(L107:L108)</f>
        <v>0</v>
      </c>
      <c r="M109" s="44">
        <f>SUM(M107:M108)</f>
        <v>0</v>
      </c>
      <c r="N109" s="44">
        <f>SUM(N107:N108)</f>
        <v>0</v>
      </c>
      <c r="O109" s="44">
        <f>SUM(O107:O108)</f>
        <v>0</v>
      </c>
    </row>
    <row r="110" spans="2:15" hidden="1" outlineLevel="1" x14ac:dyDescent="0.25">
      <c r="C110" s="39" t="s">
        <v>418</v>
      </c>
      <c r="D110" s="14"/>
      <c r="E110" s="14"/>
      <c r="F110" s="14"/>
      <c r="G110" s="14"/>
      <c r="H110" s="14" t="s">
        <v>138</v>
      </c>
      <c r="I110" s="14" t="s">
        <v>71</v>
      </c>
      <c r="J110" s="39" t="s">
        <v>72</v>
      </c>
      <c r="K110" s="44" t="str">
        <f>IF(K109=0,"-",K106-K109)</f>
        <v>-</v>
      </c>
      <c r="L110" s="44" t="str">
        <f>IF(L109=0,"-",L106-L109)</f>
        <v>-</v>
      </c>
      <c r="M110" s="44" t="str">
        <f>IF(M109=0,"-",M106-M109)</f>
        <v>-</v>
      </c>
      <c r="N110" s="44" t="str">
        <f>IF(N109=0,"-",N106-N109)</f>
        <v>-</v>
      </c>
      <c r="O110" s="44" t="str">
        <f>IF(O109=0,"-",O106-O109)</f>
        <v>-</v>
      </c>
    </row>
    <row r="111" spans="2:15" hidden="1" outlineLevel="1" x14ac:dyDescent="0.25">
      <c r="C111" s="39" t="s">
        <v>420</v>
      </c>
      <c r="D111" s="58" t="str">
        <f>INDEX(Input_DecisionActual[[Decision]:[Decision]],MATCH($D$5,Input_DecisionActual[[VDO period]:[VDO period]],0),1)</f>
        <v>VDO 2023-24 - Final</v>
      </c>
      <c r="E111" s="14" t="s">
        <v>102</v>
      </c>
      <c r="F111" s="58" t="str">
        <f>IF($D111="-","-",INDEX(Inputs!$C$17:$AZ$17,1,MATCH($D111,Inputs!$C$15:$AZ$15,0)))</f>
        <v>F-CurrentVDO_Input</v>
      </c>
      <c r="G111" s="14"/>
      <c r="H111" s="14" t="s">
        <v>138</v>
      </c>
      <c r="I111" s="14" t="s">
        <v>71</v>
      </c>
      <c r="J111" s="39" t="s">
        <v>72</v>
      </c>
      <c r="K111" s="45" t="str" cm="1">
        <f t="array" ref="K111">IFERROR(SUM(K110:K110)*(INDEX(Inputs!$H$18:$U$141,MATCH("Retail operating margin",Input_ForRateCalc[[Cost item]:[Cost item]],0),MATCH(Calc_TUV_Net_1[[#This Row],[Decision ref]:[Decision ref]],Inputs!$H$17:$U$17,0))),"-")</f>
        <v>-</v>
      </c>
      <c r="L111" s="45" t="str" cm="1">
        <f t="array" ref="L111">IFERROR(SUM(L110:L110)*(INDEX(Inputs!$H$18:$U$141,MATCH("Retail operating margin",Input_ForRateCalc[[Cost item]:[Cost item]],0),MATCH(Calc_TUV_Net_1[[#This Row],[Decision ref]:[Decision ref]],Inputs!$H$17:$U$17,0))),"-")</f>
        <v>-</v>
      </c>
      <c r="M111" s="45" t="str" cm="1">
        <f t="array" ref="M111">IFERROR(SUM(M110:M110)*(INDEX(Inputs!$H$18:$U$141,MATCH("Retail operating margin",Input_ForRateCalc[[Cost item]:[Cost item]],0),MATCH(Calc_TUV_Net_1[[#This Row],[Decision ref]:[Decision ref]],Inputs!$H$17:$U$17,0))),"-")</f>
        <v>-</v>
      </c>
      <c r="N111" s="45" t="str" cm="1">
        <f t="array" ref="N111">IFERROR(SUM(N110:N110)*(INDEX(Inputs!$H$18:$U$141,MATCH("Retail operating margin",Input_ForRateCalc[[Cost item]:[Cost item]],0),MATCH(Calc_TUV_Net_1[[#This Row],[Decision ref]:[Decision ref]],Inputs!$H$17:$U$17,0))),"-")</f>
        <v>-</v>
      </c>
      <c r="O111" s="45" t="str" cm="1">
        <f t="array" ref="O111">IFERROR(SUM(O110:O110)*(INDEX(Inputs!$H$18:$U$141,MATCH("Retail operating margin",Input_ForRateCalc[[Cost item]:[Cost item]],0),MATCH(Calc_TUV_Net_1[[#This Row],[Decision ref]:[Decision ref]],Inputs!$H$17:$U$17,0))),"-")</f>
        <v>-</v>
      </c>
    </row>
    <row r="112" spans="2:15" hidden="1" outlineLevel="1" x14ac:dyDescent="0.25">
      <c r="C112" s="39" t="s">
        <v>421</v>
      </c>
      <c r="D112" s="14"/>
      <c r="E112" s="14"/>
      <c r="F112" s="14"/>
      <c r="G112" s="14"/>
      <c r="H112" s="14" t="s">
        <v>138</v>
      </c>
      <c r="I112" s="14" t="s">
        <v>71</v>
      </c>
      <c r="J112" s="39" t="s">
        <v>72</v>
      </c>
      <c r="K112" s="45" t="str">
        <f>IF(K109=0,"-",SUM(K110:K111)*GST)</f>
        <v>-</v>
      </c>
      <c r="L112" s="45" t="str">
        <f>IF(L109=0,"-",SUM(L110:L111)*GST)</f>
        <v>-</v>
      </c>
      <c r="M112" s="45" t="str">
        <f>IF(M109=0,"-",SUM(M110:M111)*GST)</f>
        <v>-</v>
      </c>
      <c r="N112" s="45" t="str">
        <f>IF(N109=0,"-",SUM(N110:N111)*GST)</f>
        <v>-</v>
      </c>
      <c r="O112" s="45" t="str">
        <f>IF(O109=0,"-",SUM(O110:O111)*GST)</f>
        <v>-</v>
      </c>
    </row>
    <row r="113" spans="3:15" hidden="1" outlineLevel="1" x14ac:dyDescent="0.25">
      <c r="C113" s="14" t="s">
        <v>441</v>
      </c>
      <c r="D113" s="14"/>
      <c r="E113" s="14"/>
      <c r="F113" s="14"/>
      <c r="G113" s="14"/>
      <c r="H113" s="14" t="s">
        <v>138</v>
      </c>
      <c r="I113" s="14" t="s">
        <v>71</v>
      </c>
      <c r="J113" s="39" t="s">
        <v>72</v>
      </c>
      <c r="K113" s="45" t="str">
        <f>IF(K109=0,"-",SUM(K110:K112))</f>
        <v>-</v>
      </c>
      <c r="L113" s="45" t="str">
        <f>IF(L109=0,"-",SUM(L110:L112))</f>
        <v>-</v>
      </c>
      <c r="M113" s="45" t="str">
        <f>IF(M109=0,"-",SUM(M110:M112))</f>
        <v>-</v>
      </c>
      <c r="N113" s="45" t="str">
        <f>IF(N109=0,"-",SUM(N110:N112))</f>
        <v>-</v>
      </c>
      <c r="O113" s="45" t="str">
        <f>IF(O109=0,"-",SUM(O110:O112))</f>
        <v>-</v>
      </c>
    </row>
    <row r="114" spans="3:15" hidden="1" outlineLevel="1" x14ac:dyDescent="0.25">
      <c r="C114" s="39"/>
      <c r="D114" s="14"/>
      <c r="E114" s="14"/>
      <c r="F114" s="14"/>
      <c r="H114" s="14"/>
      <c r="I114" s="14"/>
      <c r="J114" s="14"/>
      <c r="K114" s="86"/>
      <c r="L114" s="86"/>
      <c r="M114" s="86"/>
      <c r="N114" s="86"/>
      <c r="O114" s="86"/>
    </row>
    <row r="115" spans="3:15" hidden="1" outlineLevel="1" x14ac:dyDescent="0.25">
      <c r="C115" s="37" t="s">
        <v>442</v>
      </c>
      <c r="D115" s="14"/>
      <c r="E115" s="14"/>
      <c r="F115" s="14"/>
      <c r="G115" s="47"/>
      <c r="H115" s="14"/>
      <c r="I115" s="14"/>
      <c r="J115" s="14"/>
      <c r="K115" s="87"/>
      <c r="L115" s="87"/>
      <c r="M115" s="87"/>
      <c r="N115" s="87"/>
      <c r="O115" s="87"/>
    </row>
    <row r="116" spans="3:15" hidden="1" outlineLevel="1" x14ac:dyDescent="0.25">
      <c r="C116" s="39" t="s">
        <v>443</v>
      </c>
      <c r="D116" s="58" t="str">
        <f>$D$5</f>
        <v>VDO 2024-25 - Final</v>
      </c>
      <c r="E116" s="14" t="s">
        <v>322</v>
      </c>
      <c r="F116" s="58" t="str">
        <f>INDEX(Inputs!$C$17:$AZ$17,1,MATCH($D116,Inputs!$C$15:$AZ$15,0))</f>
        <v>F-NextVDO_Input</v>
      </c>
      <c r="G116" s="14"/>
      <c r="H116" s="14" t="s">
        <v>184</v>
      </c>
      <c r="I116" s="14" t="s">
        <v>225</v>
      </c>
      <c r="J116" s="39" t="s">
        <v>72</v>
      </c>
      <c r="K116" s="45" cm="1">
        <f t="array" ref="K116">IFERROR(INDEX(Input_ForRateCalc[],MATCH($C116&amp;" - "&amp;K$100,Input_ForRateCalc[[Cost item]:[Cost item]],0),MATCH(Calc_TUV_Net_1[[#This Row],[Decision ref]:[Decision ref]],Input_ForRateCalc[#Headers],0)),"-")</f>
        <v>13.647160516883984</v>
      </c>
      <c r="L116" s="45" t="str" cm="1">
        <f t="array" ref="L116">IFERROR(INDEX(Input_ForRateCalc[],MATCH($C116&amp;" - "&amp;L$100,Input_ForRateCalc[[Cost item]:[Cost item]],0),MATCH(Calc_TUV_Net_1[[#This Row],[Decision ref]:[Decision ref]],Input_ForRateCalc[#Headers],0)),"-")</f>
        <v>-</v>
      </c>
      <c r="M116" s="45" t="str" cm="1">
        <f t="array" ref="M116">IFERROR(INDEX(Input_ForRateCalc[],MATCH($C116&amp;" - "&amp;M$100,Input_ForRateCalc[[Cost item]:[Cost item]],0),MATCH(Calc_TUV_Net_1[[#This Row],[Decision ref]:[Decision ref]],Input_ForRateCalc[#Headers],0)),"-")</f>
        <v>-</v>
      </c>
      <c r="N116" s="45" t="str" cm="1">
        <f t="array" ref="N116">IFERROR(INDEX(Input_ForRateCalc[],MATCH($C116&amp;" - "&amp;N$100,Input_ForRateCalc[[Cost item]:[Cost item]],0),MATCH(Calc_TUV_Net_1[[#This Row],[Decision ref]:[Decision ref]],Input_ForRateCalc[#Headers],0)),"-")</f>
        <v>-</v>
      </c>
      <c r="O116" s="45" t="str" cm="1">
        <f t="array" ref="O116">IFERROR(INDEX(Input_ForRateCalc[],MATCH($C116&amp;" - "&amp;O$100,Input_ForRateCalc[[Cost item]:[Cost item]],0),MATCH(Calc_TUV_Net_1[[#This Row],[Decision ref]:[Decision ref]],Input_ForRateCalc[#Headers],0)),"-")</f>
        <v>-</v>
      </c>
    </row>
    <row r="117" spans="3:15" hidden="1" outlineLevel="1" x14ac:dyDescent="0.25">
      <c r="C117" s="39" t="s">
        <v>444</v>
      </c>
      <c r="D117" s="58" t="str">
        <f>$D$5</f>
        <v>VDO 2024-25 - Final</v>
      </c>
      <c r="E117" s="14" t="s">
        <v>322</v>
      </c>
      <c r="F117" s="58" t="str">
        <f>INDEX(Inputs!$C$17:$AZ$17,1,MATCH($D117,Inputs!$C$15:$AZ$15,0))</f>
        <v>F-NextVDO_Input</v>
      </c>
      <c r="G117" s="47"/>
      <c r="H117" s="14" t="s">
        <v>184</v>
      </c>
      <c r="I117" s="14" t="s">
        <v>225</v>
      </c>
      <c r="J117" s="39" t="s">
        <v>72</v>
      </c>
      <c r="K117" s="45" cm="1">
        <f t="array" ref="K117">IFERROR(INDEX(Input_ForRateCalc[],MATCH($C117&amp;" - "&amp;K$100,Input_ForRateCalc[[Cost item]:[Cost item]],0),MATCH(Calc_TUV_Net_1[[#This Row],[Decision ref]:[Decision ref]],Input_ForRateCalc[#Headers],0)),"-")</f>
        <v>14.341531316444666</v>
      </c>
      <c r="L117" s="45" t="str" cm="1">
        <f t="array" ref="L117">IFERROR(INDEX(Input_ForRateCalc[],MATCH($C117&amp;" - "&amp;L$100,Input_ForRateCalc[[Cost item]:[Cost item]],0),MATCH(Calc_TUV_Net_1[[#This Row],[Decision ref]:[Decision ref]],Input_ForRateCalc[#Headers],0)),"-")</f>
        <v>-</v>
      </c>
      <c r="M117" s="45" t="str" cm="1">
        <f t="array" ref="M117">IFERROR(INDEX(Input_ForRateCalc[],MATCH($C117&amp;" - "&amp;M$100,Input_ForRateCalc[[Cost item]:[Cost item]],0),MATCH(Calc_TUV_Net_1[[#This Row],[Decision ref]:[Decision ref]],Input_ForRateCalc[#Headers],0)),"-")</f>
        <v>-</v>
      </c>
      <c r="N117" s="45" t="str" cm="1">
        <f t="array" ref="N117">IFERROR(INDEX(Input_ForRateCalc[],MATCH($C117&amp;" - "&amp;N$100,Input_ForRateCalc[[Cost item]:[Cost item]],0),MATCH(Calc_TUV_Net_1[[#This Row],[Decision ref]:[Decision ref]],Input_ForRateCalc[#Headers],0)),"-")</f>
        <v>-</v>
      </c>
      <c r="O117" s="45" t="str" cm="1">
        <f t="array" ref="O117">IFERROR(INDEX(Input_ForRateCalc[],MATCH($C117&amp;" - "&amp;O$100,Input_ForRateCalc[[Cost item]:[Cost item]],0),MATCH(Calc_TUV_Net_1[[#This Row],[Decision ref]:[Decision ref]],Input_ForRateCalc[#Headers],0)),"-")</f>
        <v>-</v>
      </c>
    </row>
    <row r="118" spans="3:15" hidden="1" outlineLevel="1" x14ac:dyDescent="0.25">
      <c r="C118" s="39" t="s">
        <v>445</v>
      </c>
      <c r="D118" s="58" t="str">
        <f>$D$5</f>
        <v>VDO 2024-25 - Final</v>
      </c>
      <c r="E118" s="14" t="s">
        <v>322</v>
      </c>
      <c r="F118" s="58" t="str">
        <f>INDEX(Inputs!$C$17:$AZ$17,1,MATCH($D118,Inputs!$C$15:$AZ$15,0))</f>
        <v>F-NextVDO_Input</v>
      </c>
      <c r="G118" s="38"/>
      <c r="H118" s="14" t="s">
        <v>184</v>
      </c>
      <c r="I118" s="14" t="s">
        <v>225</v>
      </c>
      <c r="J118" s="39" t="s">
        <v>72</v>
      </c>
      <c r="K118" s="45" t="str" cm="1">
        <f t="array" ref="K118">IFERROR(INDEX(Input_ForRateCalc[],MATCH($C118&amp;" - "&amp;K$100,Input_ForRateCalc[[Cost item]:[Cost item]],0),MATCH(Calc_TUV_Net_1[[#This Row],[Decision ref]:[Decision ref]],Input_ForRateCalc[#Headers],0)),"-")</f>
        <v>-</v>
      </c>
      <c r="L118" s="45" cm="1">
        <f t="array" ref="L118">IFERROR(INDEX(Input_ForRateCalc[],MATCH($C118&amp;" - "&amp;L$100,Input_ForRateCalc[[Cost item]:[Cost item]],0),MATCH(Calc_TUV_Net_1[[#This Row],[Decision ref]:[Decision ref]],Input_ForRateCalc[#Headers],0)),"-")</f>
        <v>8.1</v>
      </c>
      <c r="M118" s="45" cm="1">
        <f t="array" ref="M118">IFERROR(INDEX(Input_ForRateCalc[],MATCH($C118&amp;" - "&amp;M$100,Input_ForRateCalc[[Cost item]:[Cost item]],0),MATCH(Calc_TUV_Net_1[[#This Row],[Decision ref]:[Decision ref]],Input_ForRateCalc[#Headers],0)),"-")</f>
        <v>10.345000000000001</v>
      </c>
      <c r="N118" s="45" cm="1">
        <f t="array" ref="N118">IFERROR(INDEX(Input_ForRateCalc[],MATCH($C118&amp;" - "&amp;N$100,Input_ForRateCalc[[Cost item]:[Cost item]],0),MATCH(Calc_TUV_Net_1[[#This Row],[Decision ref]:[Decision ref]],Input_ForRateCalc[#Headers],0)),"-")</f>
        <v>9.67</v>
      </c>
      <c r="O118" s="45" cm="1">
        <f t="array" ref="O118">IFERROR(INDEX(Input_ForRateCalc[],MATCH($C118&amp;" - "&amp;O$100,Input_ForRateCalc[[Cost item]:[Cost item]],0),MATCH(Calc_TUV_Net_1[[#This Row],[Decision ref]:[Decision ref]],Input_ForRateCalc[#Headers],0)),"-")</f>
        <v>9.25</v>
      </c>
    </row>
    <row r="119" spans="3:15" hidden="1" outlineLevel="1" x14ac:dyDescent="0.25">
      <c r="C119" s="39" t="s">
        <v>417</v>
      </c>
      <c r="D119" s="58" t="str">
        <f>$D$5</f>
        <v>VDO 2024-25 - Final</v>
      </c>
      <c r="E119" s="14" t="s">
        <v>322</v>
      </c>
      <c r="F119" s="58" t="str">
        <f>INDEX(Inputs!$C$17:$AZ$17,1,MATCH($D119,Inputs!$C$15:$AZ$15,0))</f>
        <v>F-NextVDO_Input</v>
      </c>
      <c r="G119" s="38"/>
      <c r="H119" s="14" t="s">
        <v>184</v>
      </c>
      <c r="I119" s="14" t="s">
        <v>71</v>
      </c>
      <c r="J119" s="39" t="s">
        <v>72</v>
      </c>
      <c r="K119" s="46">
        <f>SUM(
IFERROR(K116/100*SUMIFS(INDEX(TUNet_Usage_PerRate_1[],0,MATCH(K$100,TUNet_Usage_PerRate_1[#Headers],0)),TUNet_Usage_PerRate_1[Customer type],Calc_TUV_Net_1[[#This Row],[Customer type]],TUNet_Usage_PerRate_1[Description],"Usage per customer - Block 1"),0),
IFERROR(K117/100*SUMIFS(INDEX(TUNet_Usage_PerRate_1[],0,MATCH(K$100,TUNet_Usage_PerRate_1[#Headers],0)),TUNet_Usage_PerRate_1[Customer type],Calc_TUV_Net_1[[#This Row],[Customer type]],TUNet_Usage_PerRate_1[Description],"Usage per customer - Balance"),0),
IFERROR(K118/100*SUMIFS(INDEX(TUNet_Usage_PerRate_1[],0,MATCH(K$100,TUNet_Usage_PerRate_1[#Headers],0)),TUNet_Usage_PerRate_1[Customer type],Calc_TUV_Net_1[[#This Row],[Customer type]],TUNet_Usage_PerRate_1[Description],"Usage per customer - Single rate"),0))</f>
        <v>0</v>
      </c>
      <c r="L119" s="46">
        <f>SUM(
IFERROR(L116/100*SUMIFS(INDEX(TUNet_Usage_PerRate_1[],0,MATCH(L$100,TUNet_Usage_PerRate_1[#Headers],0)),TUNet_Usage_PerRate_1[Customer type],Calc_TUV_Net_1[[#This Row],[Customer type]],TUNet_Usage_PerRate_1[Description],"Usage per customer - Block 1"),0),
IFERROR(L117/100*SUMIFS(INDEX(TUNet_Usage_PerRate_1[],0,MATCH(L$100,TUNet_Usage_PerRate_1[#Headers],0)),TUNet_Usage_PerRate_1[Customer type],Calc_TUV_Net_1[[#This Row],[Customer type]],TUNet_Usage_PerRate_1[Description],"Usage per customer - Balance"),0),
IFERROR(L118/100*SUMIFS(INDEX(TUNet_Usage_PerRate_1[],0,MATCH(L$100,TUNet_Usage_PerRate_1[#Headers],0)),TUNet_Usage_PerRate_1[Customer type],Calc_TUV_Net_1[[#This Row],[Customer type]],TUNet_Usage_PerRate_1[Description],"Usage per customer - Single rate"),0))</f>
        <v>0</v>
      </c>
      <c r="M119" s="46">
        <f>SUM(
IFERROR(M116/100*SUMIFS(INDEX(TUNet_Usage_PerRate_1[],0,MATCH(M$100,TUNet_Usage_PerRate_1[#Headers],0)),TUNet_Usage_PerRate_1[Customer type],Calc_TUV_Net_1[[#This Row],[Customer type]],TUNet_Usage_PerRate_1[Description],"Usage per customer - Block 1"),0),
IFERROR(M117/100*SUMIFS(INDEX(TUNet_Usage_PerRate_1[],0,MATCH(M$100,TUNet_Usage_PerRate_1[#Headers],0)),TUNet_Usage_PerRate_1[Customer type],Calc_TUV_Net_1[[#This Row],[Customer type]],TUNet_Usage_PerRate_1[Description],"Usage per customer - Balance"),0),
IFERROR(M118/100*SUMIFS(INDEX(TUNet_Usage_PerRate_1[],0,MATCH(M$100,TUNet_Usage_PerRate_1[#Headers],0)),TUNet_Usage_PerRate_1[Customer type],Calc_TUV_Net_1[[#This Row],[Customer type]],TUNet_Usage_PerRate_1[Description],"Usage per customer - Single rate"),0))</f>
        <v>0</v>
      </c>
      <c r="N119" s="46">
        <f>SUM(
IFERROR(N116/100*SUMIFS(INDEX(TUNet_Usage_PerRate_1[],0,MATCH(N$100,TUNet_Usage_PerRate_1[#Headers],0)),TUNet_Usage_PerRate_1[Customer type],Calc_TUV_Net_1[[#This Row],[Customer type]],TUNet_Usage_PerRate_1[Description],"Usage per customer - Block 1"),0),
IFERROR(N117/100*SUMIFS(INDEX(TUNet_Usage_PerRate_1[],0,MATCH(N$100,TUNet_Usage_PerRate_1[#Headers],0)),TUNet_Usage_PerRate_1[Customer type],Calc_TUV_Net_1[[#This Row],[Customer type]],TUNet_Usage_PerRate_1[Description],"Usage per customer - Balance"),0),
IFERROR(N118/100*SUMIFS(INDEX(TUNet_Usage_PerRate_1[],0,MATCH(N$100,TUNet_Usage_PerRate_1[#Headers],0)),TUNet_Usage_PerRate_1[Customer type],Calc_TUV_Net_1[[#This Row],[Customer type]],TUNet_Usage_PerRate_1[Description],"Usage per customer - Single rate"),0))</f>
        <v>0</v>
      </c>
      <c r="O119" s="46">
        <f>SUM(
IFERROR(O116/100*SUMIFS(INDEX(TUNet_Usage_PerRate_1[],0,MATCH(O$100,TUNet_Usage_PerRate_1[#Headers],0)),TUNet_Usage_PerRate_1[Customer type],Calc_TUV_Net_1[[#This Row],[Customer type]],TUNet_Usage_PerRate_1[Description],"Usage per customer - Block 1"),0),
IFERROR(O117/100*SUMIFS(INDEX(TUNet_Usage_PerRate_1[],0,MATCH(O$100,TUNet_Usage_PerRate_1[#Headers],0)),TUNet_Usage_PerRate_1[Customer type],Calc_TUV_Net_1[[#This Row],[Customer type]],TUNet_Usage_PerRate_1[Description],"Usage per customer - Balance"),0),
IFERROR(O118/100*SUMIFS(INDEX(TUNet_Usage_PerRate_1[],0,MATCH(O$100,TUNet_Usage_PerRate_1[#Headers],0)),TUNet_Usage_PerRate_1[Customer type],Calc_TUV_Net_1[[#This Row],[Customer type]],TUNet_Usage_PerRate_1[Description],"Usage per customer - Single rate"),0))</f>
        <v>0</v>
      </c>
    </row>
    <row r="120" spans="3:15" hidden="1" outlineLevel="1" x14ac:dyDescent="0.25">
      <c r="C120" s="39" t="s">
        <v>443</v>
      </c>
      <c r="D120" s="58" t="str">
        <f>INDEX(Input_DecisionActual[[Decision]:[Decision]],MATCH($D$5,Input_DecisionActual[[VDO period]:[VDO period]],0),1)</f>
        <v>VDO 2023-24 - Final</v>
      </c>
      <c r="E120" s="14" t="s">
        <v>102</v>
      </c>
      <c r="F120" s="58" t="str">
        <f>IF($D120="-","-",INDEX(Inputs!$C$17:$AZ$17,1,MATCH($D120,Inputs!$C$15:$AZ$15,0)))</f>
        <v>F-CurrentVDO_Input</v>
      </c>
      <c r="G120" s="38"/>
      <c r="H120" s="14" t="s">
        <v>184</v>
      </c>
      <c r="I120" s="14" t="s">
        <v>225</v>
      </c>
      <c r="J120" s="39" t="s">
        <v>72</v>
      </c>
      <c r="K120" s="45" cm="1">
        <f t="array" ref="K120">IFERROR(INDEX(Input_ForRateCalc[],MATCH($C120&amp;" - "&amp;K$100,Input_ForRateCalc[[Cost item]:[Cost item]],0),MATCH(Calc_TUV_Net_1[[#This Row],[Decision ref]:[Decision ref]],Input_ForRateCalc[#Headers],0)),"-")</f>
        <v>13.09807741874299</v>
      </c>
      <c r="L120" s="45" t="str" cm="1">
        <f t="array" ref="L120">IFERROR(INDEX(Input_ForRateCalc[],MATCH($C120&amp;" - "&amp;L$100,Input_ForRateCalc[[Cost item]:[Cost item]],0),MATCH(Calc_TUV_Net_1[[#This Row],[Decision ref]:[Decision ref]],Input_ForRateCalc[#Headers],0)),"-")</f>
        <v>-</v>
      </c>
      <c r="M120" s="45" t="str" cm="1">
        <f t="array" ref="M120">IFERROR(INDEX(Input_ForRateCalc[],MATCH($C120&amp;" - "&amp;M$100,Input_ForRateCalc[[Cost item]:[Cost item]],0),MATCH(Calc_TUV_Net_1[[#This Row],[Decision ref]:[Decision ref]],Input_ForRateCalc[#Headers],0)),"-")</f>
        <v>-</v>
      </c>
      <c r="N120" s="45" t="str" cm="1">
        <f t="array" ref="N120">IFERROR(INDEX(Input_ForRateCalc[],MATCH($C120&amp;" - "&amp;N$100,Input_ForRateCalc[[Cost item]:[Cost item]],0),MATCH(Calc_TUV_Net_1[[#This Row],[Decision ref]:[Decision ref]],Input_ForRateCalc[#Headers],0)),"-")</f>
        <v>-</v>
      </c>
      <c r="O120" s="45" t="str" cm="1">
        <f t="array" ref="O120">IFERROR(INDEX(Input_ForRateCalc[],MATCH($C120&amp;" - "&amp;O$100,Input_ForRateCalc[[Cost item]:[Cost item]],0),MATCH(Calc_TUV_Net_1[[#This Row],[Decision ref]:[Decision ref]],Input_ForRateCalc[#Headers],0)),"-")</f>
        <v>-</v>
      </c>
    </row>
    <row r="121" spans="3:15" hidden="1" outlineLevel="1" x14ac:dyDescent="0.25">
      <c r="C121" s="39" t="s">
        <v>444</v>
      </c>
      <c r="D121" s="58" t="str">
        <f>INDEX(Input_DecisionActual[[Decision]:[Decision]],MATCH($D$5,Input_DecisionActual[[VDO period]:[VDO period]],0),1)</f>
        <v>VDO 2023-24 - Final</v>
      </c>
      <c r="E121" s="14" t="s">
        <v>102</v>
      </c>
      <c r="F121" s="58" t="str">
        <f>IF($D121="-","-",INDEX(Inputs!$C$17:$AZ$17,1,MATCH($D121,Inputs!$C$15:$AZ$15,0)))</f>
        <v>F-CurrentVDO_Input</v>
      </c>
      <c r="G121" s="38"/>
      <c r="H121" s="14" t="s">
        <v>184</v>
      </c>
      <c r="I121" s="14" t="s">
        <v>225</v>
      </c>
      <c r="J121" s="39" t="s">
        <v>72</v>
      </c>
      <c r="K121" s="45" cm="1">
        <f t="array" ref="K121">IFERROR(INDEX(Input_ForRateCalc[],MATCH($C121&amp;" - "&amp;K$100,Input_ForRateCalc[[Cost item]:[Cost item]],0),MATCH(Calc_TUV_Net_1[[#This Row],[Decision ref]:[Decision ref]],Input_ForRateCalc[#Headers],0)),"-")</f>
        <v>13.989069468735993</v>
      </c>
      <c r="L121" s="45" t="str" cm="1">
        <f t="array" ref="L121">IFERROR(INDEX(Input_ForRateCalc[],MATCH($C121&amp;" - "&amp;L$100,Input_ForRateCalc[[Cost item]:[Cost item]],0),MATCH(Calc_TUV_Net_1[[#This Row],[Decision ref]:[Decision ref]],Input_ForRateCalc[#Headers],0)),"-")</f>
        <v>-</v>
      </c>
      <c r="M121" s="45" t="str" cm="1">
        <f t="array" ref="M121">IFERROR(INDEX(Input_ForRateCalc[],MATCH($C121&amp;" - "&amp;M$100,Input_ForRateCalc[[Cost item]:[Cost item]],0),MATCH(Calc_TUV_Net_1[[#This Row],[Decision ref]:[Decision ref]],Input_ForRateCalc[#Headers],0)),"-")</f>
        <v>-</v>
      </c>
      <c r="N121" s="45" t="str" cm="1">
        <f t="array" ref="N121">IFERROR(INDEX(Input_ForRateCalc[],MATCH($C121&amp;" - "&amp;N$100,Input_ForRateCalc[[Cost item]:[Cost item]],0),MATCH(Calc_TUV_Net_1[[#This Row],[Decision ref]:[Decision ref]],Input_ForRateCalc[#Headers],0)),"-")</f>
        <v>-</v>
      </c>
      <c r="O121" s="45" t="str" cm="1">
        <f t="array" ref="O121">IFERROR(INDEX(Input_ForRateCalc[],MATCH($C121&amp;" - "&amp;O$100,Input_ForRateCalc[[Cost item]:[Cost item]],0),MATCH(Calc_TUV_Net_1[[#This Row],[Decision ref]:[Decision ref]],Input_ForRateCalc[#Headers],0)),"-")</f>
        <v>-</v>
      </c>
    </row>
    <row r="122" spans="3:15" hidden="1" outlineLevel="1" x14ac:dyDescent="0.25">
      <c r="C122" s="39" t="s">
        <v>445</v>
      </c>
      <c r="D122" s="58" t="str">
        <f>INDEX(Input_DecisionActual[[Decision]:[Decision]],MATCH($D$5,Input_DecisionActual[[VDO period]:[VDO period]],0),1)</f>
        <v>VDO 2023-24 - Final</v>
      </c>
      <c r="E122" s="14" t="s">
        <v>102</v>
      </c>
      <c r="F122" s="58" t="str">
        <f>IF($D122="-","-",INDEX(Inputs!$C$17:$AZ$17,1,MATCH($D122,Inputs!$C$15:$AZ$15,0)))</f>
        <v>F-CurrentVDO_Input</v>
      </c>
      <c r="G122" s="38"/>
      <c r="H122" s="14" t="s">
        <v>184</v>
      </c>
      <c r="I122" s="14" t="s">
        <v>225</v>
      </c>
      <c r="J122" s="39" t="s">
        <v>72</v>
      </c>
      <c r="K122" s="45" t="str" cm="1">
        <f t="array" ref="K122">IFERROR(INDEX(Input_ForRateCalc[],MATCH($C122&amp;" - "&amp;K$100,Input_ForRateCalc[[Cost item]:[Cost item]],0),MATCH(Calc_TUV_Net_1[[#This Row],[Decision ref]:[Decision ref]],Input_ForRateCalc[#Headers],0)),"-")</f>
        <v>-</v>
      </c>
      <c r="L122" s="45" cm="1">
        <f t="array" ref="L122">IFERROR(INDEX(Input_ForRateCalc[],MATCH($C122&amp;" - "&amp;L$100,Input_ForRateCalc[[Cost item]:[Cost item]],0),MATCH(Calc_TUV_Net_1[[#This Row],[Decision ref]:[Decision ref]],Input_ForRateCalc[#Headers],0)),"-")</f>
        <v>7.37</v>
      </c>
      <c r="M122" s="45" cm="1">
        <f t="array" ref="M122">IFERROR(INDEX(Input_ForRateCalc[],MATCH($C122&amp;" - "&amp;M$100,Input_ForRateCalc[[Cost item]:[Cost item]],0),MATCH(Calc_TUV_Net_1[[#This Row],[Decision ref]:[Decision ref]],Input_ForRateCalc[#Headers],0)),"-")</f>
        <v>8.9770000000000003</v>
      </c>
      <c r="N122" s="45" cm="1">
        <f t="array" ref="N122">IFERROR(INDEX(Input_ForRateCalc[],MATCH($C122&amp;" - "&amp;N$100,Input_ForRateCalc[[Cost item]:[Cost item]],0),MATCH(Calc_TUV_Net_1[[#This Row],[Decision ref]:[Decision ref]],Input_ForRateCalc[#Headers],0)),"-")</f>
        <v>8.77</v>
      </c>
      <c r="O122" s="45" cm="1">
        <f t="array" ref="O122">IFERROR(INDEX(Input_ForRateCalc[],MATCH($C122&amp;" - "&amp;O$100,Input_ForRateCalc[[Cost item]:[Cost item]],0),MATCH(Calc_TUV_Net_1[[#This Row],[Decision ref]:[Decision ref]],Input_ForRateCalc[#Headers],0)),"-")</f>
        <v>8.5400000000000009</v>
      </c>
    </row>
    <row r="123" spans="3:15" hidden="1" outlineLevel="1" x14ac:dyDescent="0.25">
      <c r="C123" s="39" t="s">
        <v>417</v>
      </c>
      <c r="D123" s="58" t="str">
        <f>INDEX(Input_DecisionActual[[Decision]:[Decision]],MATCH($D$5,Input_DecisionActual[[VDO period]:[VDO period]],0),1)</f>
        <v>VDO 2023-24 - Final</v>
      </c>
      <c r="E123" s="14" t="s">
        <v>102</v>
      </c>
      <c r="F123" s="58" t="str">
        <f>IF($D123="-","-",INDEX(Inputs!$C$17:$AZ$17,1,MATCH($D123,Inputs!$C$15:$AZ$15,0)))</f>
        <v>F-CurrentVDO_Input</v>
      </c>
      <c r="G123" s="38"/>
      <c r="H123" s="14" t="s">
        <v>184</v>
      </c>
      <c r="I123" s="14" t="s">
        <v>71</v>
      </c>
      <c r="J123" s="39" t="s">
        <v>72</v>
      </c>
      <c r="K123" s="46">
        <f>SUM(
IFERROR(K120/100*SUMIFS(INDEX(TUNet_Usage_PerRate_1[],0,MATCH(K$100,TUNet_Usage_PerRate_1[#Headers],0)),TUNet_Usage_PerRate_1[Customer type],Calc_TUV_Net_1[[#This Row],[Customer type]],TUNet_Usage_PerRate_1[Description],"Usage per customer - Block 1"),0),
IFERROR(K121/100*SUMIFS(INDEX(TUNet_Usage_PerRate_1[],0,MATCH(K$100,TUNet_Usage_PerRate_1[#Headers],0)),TUNet_Usage_PerRate_1[Customer type],Calc_TUV_Net_1[[#This Row],[Customer type]],TUNet_Usage_PerRate_1[Description],"Usage per customer - Balance"),0),
IFERROR(K122/100*SUMIFS(INDEX(TUNet_Usage_PerRate_1[],0,MATCH(K$100,TUNet_Usage_PerRate_1[#Headers],0)),TUNet_Usage_PerRate_1[Customer type],Calc_TUV_Net_1[[#This Row],[Customer type]],TUNet_Usage_PerRate_1[Description],"Usage per customer - Single rate"),0))</f>
        <v>0</v>
      </c>
      <c r="L123" s="46">
        <f>SUM(
IFERROR(L120/100*SUMIFS(INDEX(TUNet_Usage_PerRate_1[],0,MATCH(L$100,TUNet_Usage_PerRate_1[#Headers],0)),TUNet_Usage_PerRate_1[Customer type],Calc_TUV_Net_1[[#This Row],[Customer type]],TUNet_Usage_PerRate_1[Description],"Usage per customer - Block 1"),0),
IFERROR(L121/100*SUMIFS(INDEX(TUNet_Usage_PerRate_1[],0,MATCH(L$100,TUNet_Usage_PerRate_1[#Headers],0)),TUNet_Usage_PerRate_1[Customer type],Calc_TUV_Net_1[[#This Row],[Customer type]],TUNet_Usage_PerRate_1[Description],"Usage per customer - Balance"),0),
IFERROR(L122/100*SUMIFS(INDEX(TUNet_Usage_PerRate_1[],0,MATCH(L$100,TUNet_Usage_PerRate_1[#Headers],0)),TUNet_Usage_PerRate_1[Customer type],Calc_TUV_Net_1[[#This Row],[Customer type]],TUNet_Usage_PerRate_1[Description],"Usage per customer - Single rate"),0))</f>
        <v>0</v>
      </c>
      <c r="M123" s="46">
        <f>SUM(
IFERROR(M120/100*SUMIFS(INDEX(TUNet_Usage_PerRate_1[],0,MATCH(M$100,TUNet_Usage_PerRate_1[#Headers],0)),TUNet_Usage_PerRate_1[Customer type],Calc_TUV_Net_1[[#This Row],[Customer type]],TUNet_Usage_PerRate_1[Description],"Usage per customer - Block 1"),0),
IFERROR(M121/100*SUMIFS(INDEX(TUNet_Usage_PerRate_1[],0,MATCH(M$100,TUNet_Usage_PerRate_1[#Headers],0)),TUNet_Usage_PerRate_1[Customer type],Calc_TUV_Net_1[[#This Row],[Customer type]],TUNet_Usage_PerRate_1[Description],"Usage per customer - Balance"),0),
IFERROR(M122/100*SUMIFS(INDEX(TUNet_Usage_PerRate_1[],0,MATCH(M$100,TUNet_Usage_PerRate_1[#Headers],0)),TUNet_Usage_PerRate_1[Customer type],Calc_TUV_Net_1[[#This Row],[Customer type]],TUNet_Usage_PerRate_1[Description],"Usage per customer - Single rate"),0))</f>
        <v>0</v>
      </c>
      <c r="N123" s="46">
        <f>SUM(
IFERROR(N120/100*SUMIFS(INDEX(TUNet_Usage_PerRate_1[],0,MATCH(N$100,TUNet_Usage_PerRate_1[#Headers],0)),TUNet_Usage_PerRate_1[Customer type],Calc_TUV_Net_1[[#This Row],[Customer type]],TUNet_Usage_PerRate_1[Description],"Usage per customer - Block 1"),0),
IFERROR(N121/100*SUMIFS(INDEX(TUNet_Usage_PerRate_1[],0,MATCH(N$100,TUNet_Usage_PerRate_1[#Headers],0)),TUNet_Usage_PerRate_1[Customer type],Calc_TUV_Net_1[[#This Row],[Customer type]],TUNet_Usage_PerRate_1[Description],"Usage per customer - Balance"),0),
IFERROR(N122/100*SUMIFS(INDEX(TUNet_Usage_PerRate_1[],0,MATCH(N$100,TUNet_Usage_PerRate_1[#Headers],0)),TUNet_Usage_PerRate_1[Customer type],Calc_TUV_Net_1[[#This Row],[Customer type]],TUNet_Usage_PerRate_1[Description],"Usage per customer - Single rate"),0))</f>
        <v>0</v>
      </c>
      <c r="O123" s="46">
        <f>SUM(
IFERROR(O120/100*SUMIFS(INDEX(TUNet_Usage_PerRate_1[],0,MATCH(O$100,TUNet_Usage_PerRate_1[#Headers],0)),TUNet_Usage_PerRate_1[Customer type],Calc_TUV_Net_1[[#This Row],[Customer type]],TUNet_Usage_PerRate_1[Description],"Usage per customer - Block 1"),0),
IFERROR(O121/100*SUMIFS(INDEX(TUNet_Usage_PerRate_1[],0,MATCH(O$100,TUNet_Usage_PerRate_1[#Headers],0)),TUNet_Usage_PerRate_1[Customer type],Calc_TUV_Net_1[[#This Row],[Customer type]],TUNet_Usage_PerRate_1[Description],"Usage per customer - Balance"),0),
IFERROR(O122/100*SUMIFS(INDEX(TUNet_Usage_PerRate_1[],0,MATCH(O$100,TUNet_Usage_PerRate_1[#Headers],0)),TUNet_Usage_PerRate_1[Customer type],Calc_TUV_Net_1[[#This Row],[Customer type]],TUNet_Usage_PerRate_1[Description],"Usage per customer - Single rate"),0))</f>
        <v>0</v>
      </c>
    </row>
    <row r="124" spans="3:15" hidden="1" outlineLevel="1" x14ac:dyDescent="0.25">
      <c r="C124" s="39" t="s">
        <v>418</v>
      </c>
      <c r="D124" s="14"/>
      <c r="E124" s="14"/>
      <c r="F124" s="14"/>
      <c r="G124" s="14"/>
      <c r="H124" s="14" t="s">
        <v>184</v>
      </c>
      <c r="I124" s="14" t="s">
        <v>71</v>
      </c>
      <c r="J124" s="39" t="s">
        <v>72</v>
      </c>
      <c r="K124" s="44" t="str">
        <f>IF(K123=0,"-",K119-K123)</f>
        <v>-</v>
      </c>
      <c r="L124" s="44" t="str">
        <f>IF(L123=0,"-",L119-L123)</f>
        <v>-</v>
      </c>
      <c r="M124" s="44" t="str">
        <f>IF(M123=0,"-",M119-M123)</f>
        <v>-</v>
      </c>
      <c r="N124" s="44" t="str">
        <f>IF(N123=0,"-",N119-N123)</f>
        <v>-</v>
      </c>
      <c r="O124" s="44" t="str">
        <f>IF(O123=0,"-",O119-O123)</f>
        <v>-</v>
      </c>
    </row>
    <row r="125" spans="3:15" hidden="1" outlineLevel="1" x14ac:dyDescent="0.25">
      <c r="C125" s="39" t="s">
        <v>420</v>
      </c>
      <c r="D125" s="58" t="str">
        <f>INDEX(Input_DecisionActual[[Decision]:[Decision]],MATCH($D$5,Input_DecisionActual[[VDO period]:[VDO period]],0),1)</f>
        <v>VDO 2023-24 - Final</v>
      </c>
      <c r="E125" s="14" t="s">
        <v>102</v>
      </c>
      <c r="F125" s="58" t="str">
        <f>IF($D125="-","-",INDEX(Inputs!$C$17:$AZ$17,1,MATCH($D125,Inputs!$C$15:$AZ$15,0)))</f>
        <v>F-CurrentVDO_Input</v>
      </c>
      <c r="G125" s="14"/>
      <c r="H125" s="14" t="s">
        <v>184</v>
      </c>
      <c r="I125" s="14" t="s">
        <v>71</v>
      </c>
      <c r="J125" s="39" t="s">
        <v>72</v>
      </c>
      <c r="K125" s="45" t="str" cm="1">
        <f t="array" ref="K125">IFERROR(SUM(K124:K124)*(INDEX(Inputs!$H$18:$U$141,MATCH("Retail operating margin",Input_ForRateCalc[[Cost item]:[Cost item]],0),MATCH(Calc_TUV_Net_1[[#This Row],[Decision ref]:[Decision ref]],Inputs!$H$17:$U$17,0))),"-")</f>
        <v>-</v>
      </c>
      <c r="L125" s="45" t="str" cm="1">
        <f t="array" ref="L125">IFERROR(SUM(L124:L124)*(INDEX(Inputs!$H$18:$U$141,MATCH("Retail operating margin",Input_ForRateCalc[[Cost item]:[Cost item]],0),MATCH(Calc_TUV_Net_1[[#This Row],[Decision ref]:[Decision ref]],Inputs!$H$17:$U$17,0))),"-")</f>
        <v>-</v>
      </c>
      <c r="M125" s="45" t="str" cm="1">
        <f t="array" ref="M125">IFERROR(SUM(M124:M124)*(INDEX(Inputs!$H$18:$U$141,MATCH("Retail operating margin",Input_ForRateCalc[[Cost item]:[Cost item]],0),MATCH(Calc_TUV_Net_1[[#This Row],[Decision ref]:[Decision ref]],Inputs!$H$17:$U$17,0))),"-")</f>
        <v>-</v>
      </c>
      <c r="N125" s="45" t="str" cm="1">
        <f t="array" ref="N125">IFERROR(SUM(N124:N124)*(INDEX(Inputs!$H$18:$U$141,MATCH("Retail operating margin",Input_ForRateCalc[[Cost item]:[Cost item]],0),MATCH(Calc_TUV_Net_1[[#This Row],[Decision ref]:[Decision ref]],Inputs!$H$17:$U$17,0))),"-")</f>
        <v>-</v>
      </c>
      <c r="O125" s="45" t="str" cm="1">
        <f t="array" ref="O125">IFERROR(SUM(O124:O124)*(INDEX(Inputs!$H$18:$U$141,MATCH("Retail operating margin",Input_ForRateCalc[[Cost item]:[Cost item]],0),MATCH(Calc_TUV_Net_1[[#This Row],[Decision ref]:[Decision ref]],Inputs!$H$17:$U$17,0))),"-")</f>
        <v>-</v>
      </c>
    </row>
    <row r="126" spans="3:15" hidden="1" outlineLevel="1" x14ac:dyDescent="0.25">
      <c r="C126" s="39" t="s">
        <v>421</v>
      </c>
      <c r="D126" s="14"/>
      <c r="E126" s="14"/>
      <c r="F126" s="14"/>
      <c r="G126" s="14"/>
      <c r="H126" s="14" t="s">
        <v>184</v>
      </c>
      <c r="I126" s="14" t="s">
        <v>71</v>
      </c>
      <c r="J126" s="39" t="s">
        <v>72</v>
      </c>
      <c r="K126" s="45" t="str">
        <f>IF(K123=0,"-",SUM(K124:K125)*GST)</f>
        <v>-</v>
      </c>
      <c r="L126" s="45" t="str">
        <f>IF(L123=0,"-",SUM(L124:L125)*GST)</f>
        <v>-</v>
      </c>
      <c r="M126" s="45" t="str">
        <f>IF(M123=0,"-",SUM(M124:M125)*GST)</f>
        <v>-</v>
      </c>
      <c r="N126" s="45" t="str">
        <f>IF(N123=0,"-",SUM(N124:N125)*GST)</f>
        <v>-</v>
      </c>
      <c r="O126" s="45" t="str">
        <f>IF(O123=0,"-",SUM(O124:O125)*GST)</f>
        <v>-</v>
      </c>
    </row>
    <row r="127" spans="3:15" hidden="1" outlineLevel="1" x14ac:dyDescent="0.25">
      <c r="C127" s="39" t="s">
        <v>446</v>
      </c>
      <c r="D127" s="14"/>
      <c r="E127" s="14"/>
      <c r="F127" s="14"/>
      <c r="H127" s="14" t="s">
        <v>184</v>
      </c>
      <c r="I127" s="14" t="s">
        <v>71</v>
      </c>
      <c r="J127" s="39" t="s">
        <v>72</v>
      </c>
      <c r="K127" s="45" t="str">
        <f>IF(K123=0,"-",SUM(K124:K126))</f>
        <v>-</v>
      </c>
      <c r="L127" s="45" t="str">
        <f>IF(L123=0,"-",SUM(L124:L126))</f>
        <v>-</v>
      </c>
      <c r="M127" s="45" t="str">
        <f>IF(M123=0,"-",SUM(M124:M126))</f>
        <v>-</v>
      </c>
      <c r="N127" s="45" t="str">
        <f>IF(N123=0,"-",SUM(N124:N126))</f>
        <v>-</v>
      </c>
      <c r="O127" s="45" t="str">
        <f>IF(O123=0,"-",SUM(O124:O126))</f>
        <v>-</v>
      </c>
    </row>
    <row r="128" spans="3:15" hidden="1" outlineLevel="1" x14ac:dyDescent="0.25">
      <c r="C128" s="39"/>
      <c r="D128" s="14"/>
      <c r="E128" s="14"/>
      <c r="F128" s="14"/>
      <c r="G128" s="14"/>
      <c r="H128" s="14"/>
      <c r="I128" s="14"/>
      <c r="J128" s="14"/>
      <c r="K128" s="44"/>
      <c r="L128" s="44"/>
      <c r="M128" s="44"/>
      <c r="N128" s="44"/>
      <c r="O128" s="44"/>
    </row>
    <row r="129" spans="3:15" hidden="1" outlineLevel="1" x14ac:dyDescent="0.25">
      <c r="C129" s="37" t="s">
        <v>447</v>
      </c>
      <c r="D129" s="14"/>
      <c r="E129" s="14"/>
      <c r="F129" s="14"/>
      <c r="G129" s="47"/>
      <c r="H129" s="14"/>
      <c r="I129" s="14"/>
      <c r="J129" s="14"/>
      <c r="K129" s="44"/>
      <c r="L129" s="44"/>
      <c r="M129" s="44"/>
      <c r="N129" s="44"/>
      <c r="O129" s="44"/>
    </row>
    <row r="130" spans="3:15" hidden="1" outlineLevel="1" x14ac:dyDescent="0.25">
      <c r="C130" s="39" t="s">
        <v>448</v>
      </c>
      <c r="D130" s="58" t="str">
        <f>$D$5</f>
        <v>VDO 2024-25 - Final</v>
      </c>
      <c r="E130" s="14" t="s">
        <v>322</v>
      </c>
      <c r="F130" s="58" t="str">
        <f>INDEX(Inputs!$C$17:$AZ$17,1,MATCH($D130,Inputs!$C$15:$AZ$15,0))</f>
        <v>F-NextVDO_Input</v>
      </c>
      <c r="G130" s="14"/>
      <c r="H130" s="14" t="s">
        <v>184</v>
      </c>
      <c r="I130" s="14" t="s">
        <v>225</v>
      </c>
      <c r="J130" s="39" t="s">
        <v>72</v>
      </c>
      <c r="K130" s="45" cm="1">
        <f t="array" ref="K130">IFERROR(INDEX(Input_ForRateCalc[],MATCH($C130&amp;" - "&amp;K$100,Input_ForRateCalc[[Cost item]:[Cost item]],0),MATCH(Calc_TUV_Net_1[[#This Row],[Decision ref]:[Decision ref]],Input_ForRateCalc[#Headers],0)),"-")</f>
        <v>4.827959617987136</v>
      </c>
      <c r="L130" s="45" cm="1">
        <f t="array" ref="L130">IFERROR(INDEX(Input_ForRateCalc[],MATCH($C130&amp;" - "&amp;L$100,Input_ForRateCalc[[Cost item]:[Cost item]],0),MATCH(Calc_TUV_Net_1[[#This Row],[Decision ref]:[Decision ref]],Input_ForRateCalc[#Headers],0)),"-")</f>
        <v>2.2999999999999998</v>
      </c>
      <c r="M130" s="45" cm="1">
        <f t="array" ref="M130">IFERROR(INDEX(Input_ForRateCalc[],MATCH($C130&amp;" - "&amp;M$100,Input_ForRateCalc[[Cost item]:[Cost item]],0),MATCH(Calc_TUV_Net_1[[#This Row],[Decision ref]:[Decision ref]],Input_ForRateCalc[#Headers],0)),"-")</f>
        <v>4.3879999999999999</v>
      </c>
      <c r="N130" s="45" cm="1">
        <f t="array" ref="N130">IFERROR(INDEX(Input_ForRateCalc[],MATCH($C130&amp;" - "&amp;N$100,Input_ForRateCalc[[Cost item]:[Cost item]],0),MATCH(Calc_TUV_Net_1[[#This Row],[Decision ref]:[Decision ref]],Input_ForRateCalc[#Headers],0)),"-")</f>
        <v>2.62</v>
      </c>
      <c r="O130" s="45" cm="1">
        <f t="array" ref="O130">IFERROR(INDEX(Input_ForRateCalc[],MATCH($C130&amp;" - "&amp;O$100,Input_ForRateCalc[[Cost item]:[Cost item]],0),MATCH(Calc_TUV_Net_1[[#This Row],[Decision ref]:[Decision ref]],Input_ForRateCalc[#Headers],0)),"-")</f>
        <v>2.54</v>
      </c>
    </row>
    <row r="131" spans="3:15" hidden="1" outlineLevel="1" x14ac:dyDescent="0.25">
      <c r="C131" s="39" t="s">
        <v>417</v>
      </c>
      <c r="D131" s="58" t="str">
        <f>$D$5</f>
        <v>VDO 2024-25 - Final</v>
      </c>
      <c r="E131" s="14" t="s">
        <v>322</v>
      </c>
      <c r="F131" s="58" t="str">
        <f>INDEX(Inputs!$C$17:$AZ$17,1,MATCH($D131,Inputs!$C$15:$AZ$15,0))</f>
        <v>F-NextVDO_Input</v>
      </c>
      <c r="G131" s="14"/>
      <c r="H131" s="14" t="s">
        <v>184</v>
      </c>
      <c r="I131" s="14" t="s">
        <v>71</v>
      </c>
      <c r="J131" s="39" t="s">
        <v>72</v>
      </c>
      <c r="K131" s="46" cm="1">
        <f t="array" ref="K131">TUProp_Days_1*SUM(
IFERROR(K130/100*INDEX(Input_Usage[#All],MATCH(Calc_TUV_Net_1[[#This Row],[Customer type]:[Customer type]]&amp;" - medium - controlled load",Input_Usage[[#All],[Ref]],0),MATCH($F131,Input_Usage[#Headers],0)),0))</f>
        <v>0</v>
      </c>
      <c r="L131" s="46" cm="1">
        <f t="array" ref="L131">TUProp_Days_1*SUM(
IFERROR(L130/100*INDEX(Input_Usage[#All],MATCH(Calc_TUV_Net_1[[#This Row],[Customer type]:[Customer type]]&amp;" - medium - controlled load",Input_Usage[[#All],[Ref]],0),MATCH($F131,Input_Usage[#Headers],0)),0))</f>
        <v>0</v>
      </c>
      <c r="M131" s="46" cm="1">
        <f t="array" ref="M131">TUProp_Days_1*SUM(
IFERROR(M130/100*INDEX(Input_Usage[#All],MATCH(Calc_TUV_Net_1[[#This Row],[Customer type]:[Customer type]]&amp;" - medium - controlled load",Input_Usage[[#All],[Ref]],0),MATCH($F131,Input_Usage[#Headers],0)),0))</f>
        <v>0</v>
      </c>
      <c r="N131" s="46" cm="1">
        <f t="array" ref="N131">TUProp_Days_1*SUM(
IFERROR(N130/100*INDEX(Input_Usage[#All],MATCH(Calc_TUV_Net_1[[#This Row],[Customer type]:[Customer type]]&amp;" - medium - controlled load",Input_Usage[[#All],[Ref]],0),MATCH($F131,Input_Usage[#Headers],0)),0))</f>
        <v>0</v>
      </c>
      <c r="O131" s="46" cm="1">
        <f t="array" ref="O131">TUProp_Days_1*SUM(
IFERROR(O130/100*INDEX(Input_Usage[#All],MATCH(Calc_TUV_Net_1[[#This Row],[Customer type]:[Customer type]]&amp;" - medium - controlled load",Input_Usage[[#All],[Ref]],0),MATCH($F131,Input_Usage[#Headers],0)),0))</f>
        <v>0</v>
      </c>
    </row>
    <row r="132" spans="3:15" hidden="1" outlineLevel="1" x14ac:dyDescent="0.25">
      <c r="C132" s="39" t="s">
        <v>448</v>
      </c>
      <c r="D132" s="58" t="str">
        <f>INDEX(Input_DecisionActual[[Decision]:[Decision]],MATCH($D$5,Input_DecisionActual[[VDO period]:[VDO period]],0),1)</f>
        <v>VDO 2023-24 - Final</v>
      </c>
      <c r="E132" s="14" t="s">
        <v>102</v>
      </c>
      <c r="F132" s="58" t="str">
        <f>IF($D132="-","-",INDEX(Inputs!$C$17:$AZ$17,1,MATCH($D132,Inputs!$C$15:$AZ$15,0)))</f>
        <v>F-CurrentVDO_Input</v>
      </c>
      <c r="G132" s="14"/>
      <c r="H132" s="14" t="s">
        <v>184</v>
      </c>
      <c r="I132" s="14" t="s">
        <v>225</v>
      </c>
      <c r="J132" s="39" t="s">
        <v>72</v>
      </c>
      <c r="K132" s="45">
        <f>IFERROR(INDEX(Input_ForRateCalc[],MATCH($C132&amp;" - "&amp;K$100,Input_ForRateCalc[[Cost item]:[Cost item]],0),MATCH($F132,Input_ForRateCalc[#Headers],0)),"-")</f>
        <v>4.6393863430805986</v>
      </c>
      <c r="L132" s="45">
        <f>IFERROR(INDEX(Input_ForRateCalc[],MATCH($C132&amp;" - "&amp;L$100,Input_ForRateCalc[[Cost item]:[Cost item]],0),MATCH($F132,Input_ForRateCalc[#Headers],0)),"-")</f>
        <v>2.21</v>
      </c>
      <c r="M132" s="45">
        <f>IFERROR(INDEX(Input_ForRateCalc[],MATCH($C132&amp;" - "&amp;M$100,Input_ForRateCalc[[Cost item]:[Cost item]],0),MATCH($F132,Input_ForRateCalc[#Headers],0)),"-")</f>
        <v>3.6950000000000003</v>
      </c>
      <c r="N132" s="45">
        <f>IFERROR(INDEX(Input_ForRateCalc[],MATCH($C132&amp;" - "&amp;N$100,Input_ForRateCalc[[Cost item]:[Cost item]],0),MATCH($F132,Input_ForRateCalc[#Headers],0)),"-")</f>
        <v>2.46</v>
      </c>
      <c r="O132" s="45">
        <f>IFERROR(INDEX(Input_ForRateCalc[],MATCH($C132&amp;" - "&amp;O$100,Input_ForRateCalc[[Cost item]:[Cost item]],0),MATCH($F132,Input_ForRateCalc[#Headers],0)),"-")</f>
        <v>2.44</v>
      </c>
    </row>
    <row r="133" spans="3:15" hidden="1" outlineLevel="1" x14ac:dyDescent="0.25">
      <c r="C133" s="39" t="s">
        <v>417</v>
      </c>
      <c r="D133" s="58" t="str">
        <f>INDEX(Input_DecisionActual[[Decision]:[Decision]],MATCH($D$5,Input_DecisionActual[[VDO period]:[VDO period]],0),1)</f>
        <v>VDO 2023-24 - Final</v>
      </c>
      <c r="E133" s="14" t="s">
        <v>102</v>
      </c>
      <c r="F133" s="58" t="str">
        <f>IF($D133="-","-",INDEX(Inputs!$C$17:$AZ$17,1,MATCH($D133,Inputs!$C$15:$AZ$15,0)))</f>
        <v>F-CurrentVDO_Input</v>
      </c>
      <c r="G133" s="14"/>
      <c r="H133" s="14" t="s">
        <v>184</v>
      </c>
      <c r="I133" s="14" t="s">
        <v>71</v>
      </c>
      <c r="J133" s="39" t="s">
        <v>72</v>
      </c>
      <c r="K133" s="46" cm="1">
        <f t="array" ref="K133">TUProp_Days_1*SUM(
IFERROR(K132/100*INDEX(Input_Usage[#All],MATCH(Calc_TUV_Net_1[[#This Row],[Customer type]:[Customer type]]&amp;" - medium - controlled load",Input_Usage[[#All],[Ref]],0),MATCH($F133,Input_Usage[#Headers],0)),0))</f>
        <v>0</v>
      </c>
      <c r="L133" s="46" cm="1">
        <f t="array" ref="L133">TUProp_Days_1*SUM(
IFERROR(L132/100*INDEX(Input_Usage[#All],MATCH(Calc_TUV_Net_1[[#This Row],[Customer type]:[Customer type]]&amp;" - medium - controlled load",Input_Usage[[#All],[Ref]],0),MATCH($F133,Input_Usage[#Headers],0)),0))</f>
        <v>0</v>
      </c>
      <c r="M133" s="46" cm="1">
        <f t="array" ref="M133">TUProp_Days_1*SUM(
IFERROR(M132/100*INDEX(Input_Usage[#All],MATCH(Calc_TUV_Net_1[[#This Row],[Customer type]:[Customer type]]&amp;" - medium - controlled load",Input_Usage[[#All],[Ref]],0),MATCH($F133,Input_Usage[#Headers],0)),0))</f>
        <v>0</v>
      </c>
      <c r="N133" s="46" cm="1">
        <f t="array" ref="N133">TUProp_Days_1*SUM(
IFERROR(N132/100*INDEX(Input_Usage[#All],MATCH(Calc_TUV_Net_1[[#This Row],[Customer type]:[Customer type]]&amp;" - medium - controlled load",Input_Usage[[#All],[Ref]],0),MATCH($F133,Input_Usage[#Headers],0)),0))</f>
        <v>0</v>
      </c>
      <c r="O133" s="46" cm="1">
        <f t="array" ref="O133">TUProp_Days_1*SUM(
IFERROR(O132/100*INDEX(Input_Usage[#All],MATCH(Calc_TUV_Net_1[[#This Row],[Customer type]:[Customer type]]&amp;" - medium - controlled load",Input_Usage[[#All],[Ref]],0),MATCH($F133,Input_Usage[#Headers],0)),0))</f>
        <v>0</v>
      </c>
    </row>
    <row r="134" spans="3:15" hidden="1" outlineLevel="1" x14ac:dyDescent="0.25">
      <c r="C134" s="39" t="s">
        <v>418</v>
      </c>
      <c r="D134" s="14"/>
      <c r="E134" s="14"/>
      <c r="F134" s="14"/>
      <c r="G134" s="14"/>
      <c r="H134" s="14" t="s">
        <v>184</v>
      </c>
      <c r="I134" s="14" t="s">
        <v>71</v>
      </c>
      <c r="J134" s="39" t="s">
        <v>72</v>
      </c>
      <c r="K134" s="44" t="str">
        <f>IF(K133=0,"-",K131-K133)</f>
        <v>-</v>
      </c>
      <c r="L134" s="44" t="str">
        <f>IF(L133=0,"-",L131-L133)</f>
        <v>-</v>
      </c>
      <c r="M134" s="44" t="str">
        <f>IF(M133=0,"-",M131-M133)</f>
        <v>-</v>
      </c>
      <c r="N134" s="44" t="str">
        <f>IF(N133=0,"-",N131-N133)</f>
        <v>-</v>
      </c>
      <c r="O134" s="44" t="str">
        <f>IF(O133=0,"-",O131-O133)</f>
        <v>-</v>
      </c>
    </row>
    <row r="135" spans="3:15" hidden="1" outlineLevel="1" x14ac:dyDescent="0.25">
      <c r="C135" s="39" t="s">
        <v>410</v>
      </c>
      <c r="D135" s="14"/>
      <c r="E135" s="14"/>
      <c r="F135" s="14"/>
      <c r="G135" s="14"/>
      <c r="H135" s="14" t="s">
        <v>184</v>
      </c>
      <c r="I135" s="14" t="s">
        <v>71</v>
      </c>
      <c r="J135" s="39" t="s">
        <v>72</v>
      </c>
      <c r="K135" s="45" t="str">
        <f>IFERROR(IF($D$11="Yes",K134*(1+WACC_adj_1),""),"-")</f>
        <v/>
      </c>
      <c r="L135" s="45" t="str">
        <f>IFERROR(IF($D$11="Yes",L134*(1+WACC_adj_1),""),"-")</f>
        <v/>
      </c>
      <c r="M135" s="45" t="str">
        <f>IFERROR(IF($D$11="Yes",M134*(1+WACC_adj_1),""),"-")</f>
        <v/>
      </c>
      <c r="N135" s="45" t="str">
        <f>IFERROR(IF($D$11="Yes",N134*(1+WACC_adj_1),""),"-")</f>
        <v/>
      </c>
      <c r="O135" s="45" t="str">
        <f>IFERROR(IF($D$11="Yes",O134*(1+WACC_adj_1),""),"-")</f>
        <v/>
      </c>
    </row>
    <row r="136" spans="3:15" hidden="1" outlineLevel="1" x14ac:dyDescent="0.25">
      <c r="C136" s="39" t="s">
        <v>420</v>
      </c>
      <c r="D136" s="58" t="str">
        <f>INDEX(Input_DecisionActual[[Decision]:[Decision]],MATCH($D$5,Input_DecisionActual[[VDO period]:[VDO period]],0),1)</f>
        <v>VDO 2023-24 - Final</v>
      </c>
      <c r="E136" s="14" t="s">
        <v>102</v>
      </c>
      <c r="F136" s="58" t="str">
        <f>IF($D136="-","-",INDEX(Inputs!$C$17:$AZ$17,1,MATCH($D136,Inputs!$C$15:$AZ$15,0)))</f>
        <v>F-CurrentVDO_Input</v>
      </c>
      <c r="G136" s="14"/>
      <c r="H136" s="14" t="s">
        <v>184</v>
      </c>
      <c r="I136" s="14" t="s">
        <v>71</v>
      </c>
      <c r="J136" s="39" t="s">
        <v>72</v>
      </c>
      <c r="K136" s="45" t="str" cm="1">
        <f t="array" ref="K136">IFERROR(SUM(K134:K135)*(INDEX(Inputs!$H$18:$U$141,MATCH("Retail operating margin",Input_ForRateCalc[[Cost item]:[Cost item]],0),MATCH(Calc_TUV_Net_1[[#This Row],[Decision ref]:[Decision ref]],Inputs!$H$17:$U$17,0))),"-")</f>
        <v>-</v>
      </c>
      <c r="L136" s="45" t="str" cm="1">
        <f t="array" ref="L136">IFERROR(SUM(L134:L135)*(INDEX(Inputs!$H$18:$U$141,MATCH("Retail operating margin",Input_ForRateCalc[[Cost item]:[Cost item]],0),MATCH(Calc_TUV_Net_1[[#This Row],[Decision ref]:[Decision ref]],Inputs!$H$17:$U$17,0))),"-")</f>
        <v>-</v>
      </c>
      <c r="M136" s="45" t="str" cm="1">
        <f t="array" ref="M136">IFERROR(SUM(M134:M135)*(INDEX(Inputs!$H$18:$U$141,MATCH("Retail operating margin",Input_ForRateCalc[[Cost item]:[Cost item]],0),MATCH(Calc_TUV_Net_1[[#This Row],[Decision ref]:[Decision ref]],Inputs!$H$17:$U$17,0))),"-")</f>
        <v>-</v>
      </c>
      <c r="N136" s="45" t="str" cm="1">
        <f t="array" ref="N136">IFERROR(SUM(N134:N135)*(INDEX(Inputs!$H$18:$U$141,MATCH("Retail operating margin",Input_ForRateCalc[[Cost item]:[Cost item]],0),MATCH(Calc_TUV_Net_1[[#This Row],[Decision ref]:[Decision ref]],Inputs!$H$17:$U$17,0))),"-")</f>
        <v>-</v>
      </c>
      <c r="O136" s="45" t="str" cm="1">
        <f t="array" ref="O136">IFERROR(SUM(O134:O135)*(INDEX(Inputs!$H$18:$U$141,MATCH("Retail operating margin",Input_ForRateCalc[[Cost item]:[Cost item]],0),MATCH(Calc_TUV_Net_1[[#This Row],[Decision ref]:[Decision ref]],Inputs!$H$17:$U$17,0))),"-")</f>
        <v>-</v>
      </c>
    </row>
    <row r="137" spans="3:15" hidden="1" outlineLevel="1" x14ac:dyDescent="0.25">
      <c r="C137" s="39" t="s">
        <v>421</v>
      </c>
      <c r="D137" s="14"/>
      <c r="E137" s="14"/>
      <c r="F137" s="14"/>
      <c r="G137" s="14"/>
      <c r="H137" s="14" t="s">
        <v>184</v>
      </c>
      <c r="I137" s="14" t="s">
        <v>71</v>
      </c>
      <c r="J137" s="39" t="s">
        <v>72</v>
      </c>
      <c r="K137" s="45" t="str">
        <f>IF(K133=0,"-",SUM(K134:K136)*GST)</f>
        <v>-</v>
      </c>
      <c r="L137" s="45" t="str">
        <f>IF(L133=0,"-",SUM(L134:L136)*GST)</f>
        <v>-</v>
      </c>
      <c r="M137" s="45" t="str">
        <f>IF(M133=0,"-",SUM(M134:M136)*GST)</f>
        <v>-</v>
      </c>
      <c r="N137" s="45" t="str">
        <f>IF(N133=0,"-",SUM(N134:N136)*GST)</f>
        <v>-</v>
      </c>
      <c r="O137" s="45" t="str">
        <f>IF(O133=0,"-",SUM(O134:O136)*GST)</f>
        <v>-</v>
      </c>
    </row>
    <row r="138" spans="3:15" hidden="1" outlineLevel="1" x14ac:dyDescent="0.25">
      <c r="C138" s="39" t="s">
        <v>449</v>
      </c>
      <c r="D138" s="14"/>
      <c r="E138" s="14"/>
      <c r="F138" s="14"/>
      <c r="H138" s="14" t="s">
        <v>184</v>
      </c>
      <c r="I138" s="14" t="s">
        <v>71</v>
      </c>
      <c r="J138" s="39" t="s">
        <v>72</v>
      </c>
      <c r="K138" s="45" t="str">
        <f>IF(K133=0,"-",SUM(K134:K137))</f>
        <v>-</v>
      </c>
      <c r="L138" s="45" t="str">
        <f>IF(L133=0,"-",SUM(L134:L137))</f>
        <v>-</v>
      </c>
      <c r="M138" s="45" t="str">
        <f>IF(M133=0,"-",SUM(M134:M137))</f>
        <v>-</v>
      </c>
      <c r="N138" s="45" t="str">
        <f>IF(N133=0,"-",SUM(N134:N137))</f>
        <v>-</v>
      </c>
      <c r="O138" s="45" t="str">
        <f>IF(O133=0,"-",SUM(O134:O137))</f>
        <v>-</v>
      </c>
    </row>
    <row r="139" spans="3:15" hidden="1" outlineLevel="1" x14ac:dyDescent="0.25">
      <c r="C139" s="39"/>
      <c r="D139" s="14"/>
      <c r="E139" s="14"/>
      <c r="F139" s="14"/>
      <c r="G139" s="14"/>
      <c r="H139" s="14"/>
      <c r="I139" s="14"/>
      <c r="J139" s="14"/>
      <c r="K139" s="44"/>
      <c r="L139" s="44"/>
      <c r="M139" s="44"/>
      <c r="N139" s="44"/>
      <c r="O139" s="44"/>
    </row>
    <row r="140" spans="3:15" ht="15.75" hidden="1" outlineLevel="1" x14ac:dyDescent="0.25">
      <c r="C140" s="97" t="s">
        <v>317</v>
      </c>
      <c r="D140" s="14"/>
      <c r="E140" s="14"/>
      <c r="F140" s="14"/>
      <c r="G140" s="28" t="str">
        <f>INDEX(Input_TU_YesNo[],MATCH(Calc_TUV_Net_1[[#This Row],[Cost item]],Input_TU_YesNo[Component],0),MATCH($D$5,Inputs!$C$210:$BM$210,0))</f>
        <v>No</v>
      </c>
      <c r="H140" s="14"/>
      <c r="I140" s="14"/>
      <c r="J140" s="14"/>
      <c r="K140" s="44"/>
      <c r="L140" s="14"/>
      <c r="M140" s="14"/>
      <c r="N140" s="14"/>
      <c r="O140" s="14"/>
    </row>
    <row r="141" spans="3:15" hidden="1" outlineLevel="1" x14ac:dyDescent="0.25">
      <c r="C141" s="37" t="s">
        <v>450</v>
      </c>
      <c r="D141" s="37"/>
      <c r="E141" s="37"/>
      <c r="F141" s="37"/>
      <c r="G141" s="47"/>
      <c r="H141" s="47"/>
      <c r="I141" s="14"/>
      <c r="J141" s="14"/>
      <c r="K141" s="44"/>
      <c r="L141" s="14"/>
      <c r="M141" s="14"/>
      <c r="N141" s="14"/>
      <c r="O141" s="14"/>
    </row>
    <row r="142" spans="3:15" hidden="1" outlineLevel="1" x14ac:dyDescent="0.25">
      <c r="C142" s="39" t="s">
        <v>451</v>
      </c>
      <c r="D142" s="58" t="str">
        <f>$D$5</f>
        <v>VDO 2024-25 - Final</v>
      </c>
      <c r="E142" s="14" t="s">
        <v>322</v>
      </c>
      <c r="F142" s="58" t="str">
        <f>INDEX(Inputs!$C$17:$AZ$17,1,MATCH($D142,Inputs!$C$15:$AZ$15,0))</f>
        <v>F-NextVDO_Input</v>
      </c>
      <c r="G142" s="38"/>
      <c r="H142" s="14" t="s">
        <v>138</v>
      </c>
      <c r="I142" s="14" t="s">
        <v>71</v>
      </c>
      <c r="J142" s="39" t="s">
        <v>73</v>
      </c>
      <c r="K142" s="45" cm="1">
        <f t="array" ref="K142">IFERROR(INDEX(Input_ForRateCalc[],MATCH($C142&amp;" - "&amp;K$100,Input_ForRateCalc[[Cost item]:[Cost item]],0),MATCH(Calc_TUV_Net_1[[#This Row],[Decision ref]:[Decision ref]],Input_ForRateCalc[#Headers],0))*TUProp_Days_1,"-")</f>
        <v>0</v>
      </c>
      <c r="L142" s="45" cm="1">
        <f t="array" ref="L142">IFERROR(INDEX(Input_ForRateCalc[],MATCH($C142&amp;" - "&amp;L$100,Input_ForRateCalc[[Cost item]:[Cost item]],0),MATCH(Calc_TUV_Net_1[[#This Row],[Decision ref]:[Decision ref]],Input_ForRateCalc[#Headers],0))*TUProp_Days_1,"-")</f>
        <v>0</v>
      </c>
      <c r="M142" s="45" cm="1">
        <f t="array" ref="M142">IFERROR(INDEX(Input_ForRateCalc[],MATCH($C142&amp;" - "&amp;M$100,Input_ForRateCalc[[Cost item]:[Cost item]],0),MATCH(Calc_TUV_Net_1[[#This Row],[Decision ref]:[Decision ref]],Input_ForRateCalc[#Headers],0))*TUProp_Days_1,"-")</f>
        <v>0</v>
      </c>
      <c r="N142" s="45" cm="1">
        <f t="array" ref="N142">IFERROR(INDEX(Input_ForRateCalc[],MATCH($C142&amp;" - "&amp;N$100,Input_ForRateCalc[[Cost item]:[Cost item]],0),MATCH(Calc_TUV_Net_1[[#This Row],[Decision ref]:[Decision ref]],Input_ForRateCalc[#Headers],0))*TUProp_Days_1,"-")</f>
        <v>0</v>
      </c>
      <c r="O142" s="45" cm="1">
        <f t="array" ref="O142">IFERROR(INDEX(Input_ForRateCalc[],MATCH($C142&amp;" - "&amp;O$100,Input_ForRateCalc[[Cost item]:[Cost item]],0),MATCH(Calc_TUV_Net_1[[#This Row],[Decision ref]:[Decision ref]],Input_ForRateCalc[#Headers],0))*TUProp_Days_1,"-")</f>
        <v>0</v>
      </c>
    </row>
    <row r="143" spans="3:15" hidden="1" outlineLevel="1" x14ac:dyDescent="0.25">
      <c r="C143" s="39" t="s">
        <v>363</v>
      </c>
      <c r="D143" s="58" t="str">
        <f>$D$5</f>
        <v>VDO 2024-25 - Final</v>
      </c>
      <c r="E143" s="14" t="s">
        <v>322</v>
      </c>
      <c r="F143" s="58" t="str">
        <f>INDEX(Inputs!$C$17:$AZ$17,1,MATCH($D143,Inputs!$C$15:$AZ$15,0))</f>
        <v>F-NextVDO_Input</v>
      </c>
      <c r="G143" s="38"/>
      <c r="H143" s="14" t="s">
        <v>138</v>
      </c>
      <c r="I143" s="14" t="s">
        <v>71</v>
      </c>
      <c r="J143" s="39" t="s">
        <v>73</v>
      </c>
      <c r="K143" s="45" cm="1">
        <f t="array" ref="K143">IFERROR(INDEX(Input_ForRateCalc[],MATCH($C143&amp;" - "&amp;K$100,Input_ForRateCalc[[Cost item]:[Cost item]],0),MATCH(Calc_TUV_Net_1[[#This Row],[Decision ref]:[Decision ref]],Input_ForRateCalc[#Headers],0))*TUProp_Days_1,"-")</f>
        <v>0</v>
      </c>
      <c r="L143" s="45" cm="1">
        <f t="array" ref="L143">IFERROR(INDEX(Input_ForRateCalc[],MATCH($C143&amp;" - "&amp;L$100,Input_ForRateCalc[[Cost item]:[Cost item]],0),MATCH(Calc_TUV_Net_1[[#This Row],[Decision ref]:[Decision ref]],Input_ForRateCalc[#Headers],0))*TUProp_Days_1,"-")</f>
        <v>0</v>
      </c>
      <c r="M143" s="45" cm="1">
        <f t="array" ref="M143">IFERROR(INDEX(Input_ForRateCalc[],MATCH($C143&amp;" - "&amp;M$100,Input_ForRateCalc[[Cost item]:[Cost item]],0),MATCH(Calc_TUV_Net_1[[#This Row],[Decision ref]:[Decision ref]],Input_ForRateCalc[#Headers],0))*TUProp_Days_1,"-")</f>
        <v>0</v>
      </c>
      <c r="N143" s="45" cm="1">
        <f t="array" ref="N143">IFERROR(INDEX(Input_ForRateCalc[],MATCH($C143&amp;" - "&amp;N$100,Input_ForRateCalc[[Cost item]:[Cost item]],0),MATCH(Calc_TUV_Net_1[[#This Row],[Decision ref]:[Decision ref]],Input_ForRateCalc[#Headers],0))*TUProp_Days_1,"-")</f>
        <v>0</v>
      </c>
      <c r="O143" s="45" cm="1">
        <f t="array" ref="O143">IFERROR(INDEX(Input_ForRateCalc[],MATCH($C143&amp;" - "&amp;O$100,Input_ForRateCalc[[Cost item]:[Cost item]],0),MATCH(Calc_TUV_Net_1[[#This Row],[Decision ref]:[Decision ref]],Input_ForRateCalc[#Headers],0))*TUProp_Days_1,"-")</f>
        <v>0</v>
      </c>
    </row>
    <row r="144" spans="3:15" hidden="1" outlineLevel="1" x14ac:dyDescent="0.25">
      <c r="C144" s="39" t="s">
        <v>417</v>
      </c>
      <c r="D144" s="58" t="str">
        <f>$D$5</f>
        <v>VDO 2024-25 - Final</v>
      </c>
      <c r="E144" s="14" t="s">
        <v>322</v>
      </c>
      <c r="F144" s="58" t="str">
        <f>INDEX(Inputs!$C$17:$AZ$17,1,MATCH($D144,Inputs!$C$15:$AZ$15,0))</f>
        <v>F-NextVDO_Input</v>
      </c>
      <c r="G144" s="38"/>
      <c r="H144" s="14" t="s">
        <v>138</v>
      </c>
      <c r="I144" s="14" t="s">
        <v>71</v>
      </c>
      <c r="J144" s="39" t="s">
        <v>73</v>
      </c>
      <c r="K144" s="43">
        <f>IFERROR(SUM(K142:K143),"-")</f>
        <v>0</v>
      </c>
      <c r="L144" s="43">
        <f>IFERROR(SUM(L142:L143),"-")</f>
        <v>0</v>
      </c>
      <c r="M144" s="43">
        <f>IFERROR(SUM(M142:M143),"-")</f>
        <v>0</v>
      </c>
      <c r="N144" s="43">
        <f>IFERROR(SUM(N142:N143),"-")</f>
        <v>0</v>
      </c>
      <c r="O144" s="43">
        <f>IFERROR(SUM(O142:O143),"-")</f>
        <v>0</v>
      </c>
    </row>
    <row r="145" spans="3:15" hidden="1" outlineLevel="1" x14ac:dyDescent="0.25">
      <c r="C145" s="39" t="s">
        <v>451</v>
      </c>
      <c r="D145" s="58" t="str">
        <f>INDEX(Input_DecisionActual[[Decision]:[Decision]],MATCH($D$5,Input_DecisionActual[[VDO period]:[VDO period]],0),1)</f>
        <v>VDO 2023-24 - Final</v>
      </c>
      <c r="E145" s="14" t="s">
        <v>102</v>
      </c>
      <c r="F145" s="58" t="str">
        <f>IF($D145="-","-",INDEX(Inputs!$C$17:$AZ$17,1,MATCH($D145,Inputs!$C$15:$AZ$15,0)))</f>
        <v>F-CurrentVDO_Input</v>
      </c>
      <c r="G145" s="38"/>
      <c r="H145" s="14" t="s">
        <v>138</v>
      </c>
      <c r="I145" s="14" t="s">
        <v>71</v>
      </c>
      <c r="J145" s="39" t="s">
        <v>73</v>
      </c>
      <c r="K145" s="45" cm="1">
        <f t="array" ref="K145">IFERROR(INDEX(Input_ForRateCalc[],MATCH($C145&amp;" - "&amp;K$100,Input_ForRateCalc[[Cost item]:[Cost item]],0),MATCH(Calc_TUV_Net_1[[#This Row],[Decision ref]:[Decision ref]],Input_ForRateCalc[#Headers],0)),"-")*TUProp_Days_1</f>
        <v>0</v>
      </c>
      <c r="L145" s="45" cm="1">
        <f t="array" ref="L145">IFERROR(INDEX(Input_ForRateCalc[],MATCH($C145&amp;" - "&amp;L$100,Input_ForRateCalc[[Cost item]:[Cost item]],0),MATCH(Calc_TUV_Net_1[[#This Row],[Decision ref]:[Decision ref]],Input_ForRateCalc[#Headers],0)),"-")*TUProp_Days_1</f>
        <v>0</v>
      </c>
      <c r="M145" s="45" cm="1">
        <f t="array" ref="M145">IFERROR(INDEX(Input_ForRateCalc[],MATCH($C145&amp;" - "&amp;M$100,Input_ForRateCalc[[Cost item]:[Cost item]],0),MATCH(Calc_TUV_Net_1[[#This Row],[Decision ref]:[Decision ref]],Input_ForRateCalc[#Headers],0)),"-")*TUProp_Days_1</f>
        <v>0</v>
      </c>
      <c r="N145" s="45" cm="1">
        <f t="array" ref="N145">IFERROR(INDEX(Input_ForRateCalc[],MATCH($C145&amp;" - "&amp;N$100,Input_ForRateCalc[[Cost item]:[Cost item]],0),MATCH(Calc_TUV_Net_1[[#This Row],[Decision ref]:[Decision ref]],Input_ForRateCalc[#Headers],0)),"-")*TUProp_Days_1</f>
        <v>0</v>
      </c>
      <c r="O145" s="45" cm="1">
        <f t="array" ref="O145">IFERROR(INDEX(Input_ForRateCalc[],MATCH($C145&amp;" - "&amp;O$100,Input_ForRateCalc[[Cost item]:[Cost item]],0),MATCH(Calc_TUV_Net_1[[#This Row],[Decision ref]:[Decision ref]],Input_ForRateCalc[#Headers],0)),"-")*TUProp_Days_1</f>
        <v>0</v>
      </c>
    </row>
    <row r="146" spans="3:15" hidden="1" outlineLevel="1" x14ac:dyDescent="0.25">
      <c r="C146" s="39" t="s">
        <v>363</v>
      </c>
      <c r="D146" s="58" t="str">
        <f>INDEX(Input_DecisionActual[[Decision]:[Decision]],MATCH($D$5,Input_DecisionActual[[VDO period]:[VDO period]],0),1)</f>
        <v>VDO 2023-24 - Final</v>
      </c>
      <c r="E146" s="14" t="s">
        <v>102</v>
      </c>
      <c r="F146" s="58" t="str">
        <f>IF($D146="-","-",INDEX(Inputs!$C$17:$AZ$17,1,MATCH($D146,Inputs!$C$15:$AZ$15,0)))</f>
        <v>F-CurrentVDO_Input</v>
      </c>
      <c r="G146" s="38"/>
      <c r="H146" s="14" t="s">
        <v>138</v>
      </c>
      <c r="I146" s="14" t="s">
        <v>71</v>
      </c>
      <c r="J146" s="39" t="s">
        <v>73</v>
      </c>
      <c r="K146" s="45" cm="1">
        <f t="array" ref="K146">IFERROR(INDEX(Input_ForRateCalc[],MATCH($C146&amp;" - "&amp;K$100,Input_ForRateCalc[[Cost item]:[Cost item]],0),MATCH(Calc_TUV_Net_1[[#This Row],[Decision ref]:[Decision ref]],Input_ForRateCalc[#Headers],0)),"-")*TUProp_Days_1</f>
        <v>0</v>
      </c>
      <c r="L146" s="45" cm="1">
        <f t="array" ref="L146">IFERROR(INDEX(Input_ForRateCalc[],MATCH($C146&amp;" - "&amp;L$100,Input_ForRateCalc[[Cost item]:[Cost item]],0),MATCH(Calc_TUV_Net_1[[#This Row],[Decision ref]:[Decision ref]],Input_ForRateCalc[#Headers],0)),"-")*TUProp_Days_1</f>
        <v>0</v>
      </c>
      <c r="M146" s="45" cm="1">
        <f t="array" ref="M146">IFERROR(INDEX(Input_ForRateCalc[],MATCH($C146&amp;" - "&amp;M$100,Input_ForRateCalc[[Cost item]:[Cost item]],0),MATCH(Calc_TUV_Net_1[[#This Row],[Decision ref]:[Decision ref]],Input_ForRateCalc[#Headers],0)),"-")*TUProp_Days_1</f>
        <v>0</v>
      </c>
      <c r="N146" s="45" cm="1">
        <f t="array" ref="N146">IFERROR(INDEX(Input_ForRateCalc[],MATCH($C146&amp;" - "&amp;N$100,Input_ForRateCalc[[Cost item]:[Cost item]],0),MATCH(Calc_TUV_Net_1[[#This Row],[Decision ref]:[Decision ref]],Input_ForRateCalc[#Headers],0)),"-")*TUProp_Days_1</f>
        <v>0</v>
      </c>
      <c r="O146" s="45" cm="1">
        <f t="array" ref="O146">IFERROR(INDEX(Input_ForRateCalc[],MATCH($C146&amp;" - "&amp;O$100,Input_ForRateCalc[[Cost item]:[Cost item]],0),MATCH(Calc_TUV_Net_1[[#This Row],[Decision ref]:[Decision ref]],Input_ForRateCalc[#Headers],0)),"-")*TUProp_Days_1</f>
        <v>0</v>
      </c>
    </row>
    <row r="147" spans="3:15" hidden="1" outlineLevel="1" x14ac:dyDescent="0.25">
      <c r="C147" s="39" t="s">
        <v>417</v>
      </c>
      <c r="D147" s="58" t="str">
        <f>INDEX(Input_DecisionActual[[Decision]:[Decision]],MATCH($D$5,Input_DecisionActual[[VDO period]:[VDO period]],0),1)</f>
        <v>VDO 2023-24 - Final</v>
      </c>
      <c r="E147" s="14" t="s">
        <v>102</v>
      </c>
      <c r="F147" s="58" t="str">
        <f>IF($D147="-","-",INDEX(Inputs!$C$17:$AZ$17,1,MATCH($D147,Inputs!$C$15:$AZ$15,0)))</f>
        <v>F-CurrentVDO_Input</v>
      </c>
      <c r="G147" s="38"/>
      <c r="H147" s="14" t="s">
        <v>138</v>
      </c>
      <c r="I147" s="14" t="s">
        <v>71</v>
      </c>
      <c r="J147" s="39" t="s">
        <v>73</v>
      </c>
      <c r="K147" s="44">
        <f>SUM(K145:K146)</f>
        <v>0</v>
      </c>
      <c r="L147" s="44">
        <f>SUM(L145:L146)</f>
        <v>0</v>
      </c>
      <c r="M147" s="44">
        <f>SUM(M145:M146)</f>
        <v>0</v>
      </c>
      <c r="N147" s="44">
        <f>SUM(N145:N146)</f>
        <v>0</v>
      </c>
      <c r="O147" s="44">
        <f>SUM(O145:O146)</f>
        <v>0</v>
      </c>
    </row>
    <row r="148" spans="3:15" hidden="1" outlineLevel="1" x14ac:dyDescent="0.25">
      <c r="C148" s="39" t="s">
        <v>418</v>
      </c>
      <c r="D148" s="14"/>
      <c r="E148" s="14"/>
      <c r="F148" s="14"/>
      <c r="G148" s="39"/>
      <c r="H148" s="14" t="s">
        <v>138</v>
      </c>
      <c r="I148" s="14" t="s">
        <v>71</v>
      </c>
      <c r="J148" s="39" t="s">
        <v>73</v>
      </c>
      <c r="K148" s="44" t="str">
        <f>IF(K147=0,"-",K144-K147)</f>
        <v>-</v>
      </c>
      <c r="L148" s="44" t="str">
        <f>IF(L147=0,"-",L144-L147)</f>
        <v>-</v>
      </c>
      <c r="M148" s="44" t="str">
        <f>IF(M147=0,"-",M144-M147)</f>
        <v>-</v>
      </c>
      <c r="N148" s="44" t="str">
        <f>IF(N147=0,"-",N144-N147)</f>
        <v>-</v>
      </c>
      <c r="O148" s="44" t="str">
        <f>IF(O147=0,"-",O144-O147)</f>
        <v>-</v>
      </c>
    </row>
    <row r="149" spans="3:15" hidden="1" outlineLevel="1" x14ac:dyDescent="0.25">
      <c r="C149" s="39" t="s">
        <v>420</v>
      </c>
      <c r="D149" s="58" t="str">
        <f>INDEX(Input_DecisionActual[[Decision]:[Decision]],MATCH($D$5,Input_DecisionActual[[VDO period]:[VDO period]],0),1)</f>
        <v>VDO 2023-24 - Final</v>
      </c>
      <c r="E149" s="14" t="s">
        <v>102</v>
      </c>
      <c r="F149" s="58" t="str">
        <f>IF($D149="-","-",INDEX(Inputs!$C$17:$AZ$17,1,MATCH($D149,Inputs!$C$15:$AZ$15,0)))</f>
        <v>F-CurrentVDO_Input</v>
      </c>
      <c r="G149" s="39"/>
      <c r="H149" s="14" t="s">
        <v>138</v>
      </c>
      <c r="I149" s="14" t="s">
        <v>71</v>
      </c>
      <c r="J149" s="39" t="s">
        <v>73</v>
      </c>
      <c r="K149" s="45" t="str" cm="1">
        <f t="array" ref="K149">IFERROR(SUM(K148:K148)*(INDEX(Inputs!$H$18:$U$141,MATCH("Retail operating margin",Input_ForRateCalc[[Cost item]:[Cost item]],0),MATCH(Calc_TUV_Net_1[[#This Row],[Decision ref]:[Decision ref]],Inputs!$H$17:$U$17,0))),"-")</f>
        <v>-</v>
      </c>
      <c r="L149" s="45" t="str" cm="1">
        <f t="array" ref="L149">IFERROR(SUM(L148:L148)*(INDEX(Inputs!$H$18:$U$141,MATCH("Retail operating margin",Input_ForRateCalc[[Cost item]:[Cost item]],0),MATCH(Calc_TUV_Net_1[[#This Row],[Decision ref]:[Decision ref]],Inputs!$H$17:$U$17,0))),"-")</f>
        <v>-</v>
      </c>
      <c r="M149" s="45" t="str" cm="1">
        <f t="array" ref="M149">IFERROR(SUM(M148:M148)*(INDEX(Inputs!$H$18:$U$141,MATCH("Retail operating margin",Input_ForRateCalc[[Cost item]:[Cost item]],0),MATCH(Calc_TUV_Net_1[[#This Row],[Decision ref]:[Decision ref]],Inputs!$H$17:$U$17,0))),"-")</f>
        <v>-</v>
      </c>
      <c r="N149" s="45" t="str" cm="1">
        <f t="array" ref="N149">IFERROR(SUM(N148:N148)*(INDEX(Inputs!$H$18:$U$141,MATCH("Retail operating margin",Input_ForRateCalc[[Cost item]:[Cost item]],0),MATCH(Calc_TUV_Net_1[[#This Row],[Decision ref]:[Decision ref]],Inputs!$H$17:$U$17,0))),"-")</f>
        <v>-</v>
      </c>
      <c r="O149" s="45" t="str" cm="1">
        <f t="array" ref="O149">IFERROR(SUM(O148:O148)*(INDEX(Inputs!$H$18:$U$141,MATCH("Retail operating margin",Input_ForRateCalc[[Cost item]:[Cost item]],0),MATCH(Calc_TUV_Net_1[[#This Row],[Decision ref]:[Decision ref]],Inputs!$H$17:$U$17,0))),"-")</f>
        <v>-</v>
      </c>
    </row>
    <row r="150" spans="3:15" hidden="1" outlineLevel="1" x14ac:dyDescent="0.25">
      <c r="C150" s="39" t="s">
        <v>421</v>
      </c>
      <c r="D150" s="14"/>
      <c r="E150" s="14"/>
      <c r="F150" s="14"/>
      <c r="G150" s="39"/>
      <c r="H150" s="14" t="s">
        <v>138</v>
      </c>
      <c r="I150" s="14" t="s">
        <v>71</v>
      </c>
      <c r="J150" s="39" t="s">
        <v>73</v>
      </c>
      <c r="K150" s="45" t="str">
        <f>IF(K147=0,"-",SUM(K148:K149)*GST)</f>
        <v>-</v>
      </c>
      <c r="L150" s="45" t="str">
        <f>IF(L147=0,"-",SUM(L148:L149)*GST)</f>
        <v>-</v>
      </c>
      <c r="M150" s="45" t="str">
        <f>IF(M147=0,"-",SUM(M148:M149)*GST)</f>
        <v>-</v>
      </c>
      <c r="N150" s="45" t="str">
        <f>IF(N147=0,"-",SUM(N148:N149)*GST)</f>
        <v>-</v>
      </c>
      <c r="O150" s="45" t="str">
        <f>IF(O147=0,"-",SUM(O148:O149)*GST)</f>
        <v>-</v>
      </c>
    </row>
    <row r="151" spans="3:15" hidden="1" outlineLevel="1" x14ac:dyDescent="0.25">
      <c r="C151" s="14" t="s">
        <v>441</v>
      </c>
      <c r="D151" s="14"/>
      <c r="E151" s="14"/>
      <c r="F151" s="14"/>
      <c r="G151" s="39"/>
      <c r="H151" s="14" t="s">
        <v>138</v>
      </c>
      <c r="I151" s="14" t="s">
        <v>71</v>
      </c>
      <c r="J151" s="39" t="s">
        <v>73</v>
      </c>
      <c r="K151" s="45" t="str">
        <f>IF(K147=0,"-",SUM(K148:K150))</f>
        <v>-</v>
      </c>
      <c r="L151" s="45" t="str">
        <f>IF(L147=0,"-",SUM(L148:L150))</f>
        <v>-</v>
      </c>
      <c r="M151" s="45" t="str">
        <f>IF(M147=0,"-",SUM(M148:M150))</f>
        <v>-</v>
      </c>
      <c r="N151" s="45" t="str">
        <f>IF(N147=0,"-",SUM(N148:N150))</f>
        <v>-</v>
      </c>
      <c r="O151" s="45" t="str">
        <f>IF(O147=0,"-",SUM(O148:O150))</f>
        <v>-</v>
      </c>
    </row>
    <row r="152" spans="3:15" hidden="1" outlineLevel="1" x14ac:dyDescent="0.25">
      <c r="C152" s="39"/>
      <c r="D152" s="14"/>
      <c r="E152" s="39"/>
      <c r="F152" s="39"/>
      <c r="H152" s="39"/>
      <c r="I152" s="14"/>
      <c r="J152" s="14"/>
      <c r="K152" s="87"/>
      <c r="L152" s="87"/>
      <c r="M152" s="87"/>
      <c r="N152" s="87"/>
      <c r="O152" s="87"/>
    </row>
    <row r="153" spans="3:15" hidden="1" outlineLevel="1" x14ac:dyDescent="0.25">
      <c r="C153" s="37" t="s">
        <v>452</v>
      </c>
      <c r="D153" s="14"/>
      <c r="E153" s="39"/>
      <c r="F153" s="39"/>
      <c r="G153" s="47"/>
      <c r="H153" s="39"/>
      <c r="I153" s="14"/>
      <c r="J153" s="39"/>
      <c r="K153" s="87"/>
      <c r="L153" s="87"/>
      <c r="M153" s="87"/>
      <c r="N153" s="87"/>
      <c r="O153" s="87"/>
    </row>
    <row r="154" spans="3:15" hidden="1" outlineLevel="1" x14ac:dyDescent="0.25">
      <c r="C154" s="39" t="s">
        <v>453</v>
      </c>
      <c r="D154" s="58" t="str">
        <f>$D$5</f>
        <v>VDO 2024-25 - Final</v>
      </c>
      <c r="E154" s="14" t="s">
        <v>322</v>
      </c>
      <c r="F154" s="58" t="str">
        <f>INDEX(Inputs!$C$17:$AZ$17,1,MATCH($D154,Inputs!$C$15:$AZ$15,0))</f>
        <v>F-NextVDO_Input</v>
      </c>
      <c r="G154" s="39"/>
      <c r="H154" s="14" t="s">
        <v>184</v>
      </c>
      <c r="I154" s="14" t="s">
        <v>225</v>
      </c>
      <c r="J154" s="39" t="s">
        <v>73</v>
      </c>
      <c r="K154" s="45" cm="1">
        <f t="array" ref="K154">IFERROR(INDEX(Input_ForRateCalc[],MATCH($C154&amp;" - "&amp;K$100,Input_ForRateCalc[[Cost item]:[Cost item]],0),MATCH(Calc_TUV_Net_1[[#This Row],[Decision ref]:[Decision ref]],Input_ForRateCalc[#Headers],0)),"-")</f>
        <v>19.308159653482594</v>
      </c>
      <c r="L154" s="45" t="str" cm="1">
        <f t="array" ref="L154">IFERROR(INDEX(Input_ForRateCalc[],MATCH($C154&amp;" - "&amp;L$100,Input_ForRateCalc[[Cost item]:[Cost item]],0),MATCH(Calc_TUV_Net_1[[#This Row],[Decision ref]:[Decision ref]],Input_ForRateCalc[#Headers],0)),"-")</f>
        <v>-</v>
      </c>
      <c r="M154" s="45" t="str" cm="1">
        <f t="array" ref="M154">IFERROR(INDEX(Input_ForRateCalc[],MATCH($C154&amp;" - "&amp;M$100,Input_ForRateCalc[[Cost item]:[Cost item]],0),MATCH(Calc_TUV_Net_1[[#This Row],[Decision ref]:[Decision ref]],Input_ForRateCalc[#Headers],0)),"-")</f>
        <v>-</v>
      </c>
      <c r="N154" s="45" t="str" cm="1">
        <f t="array" ref="N154">IFERROR(INDEX(Input_ForRateCalc[],MATCH($C154&amp;" - "&amp;N$100,Input_ForRateCalc[[Cost item]:[Cost item]],0),MATCH(Calc_TUV_Net_1[[#This Row],[Decision ref]:[Decision ref]],Input_ForRateCalc[#Headers],0)),"-")</f>
        <v>-</v>
      </c>
      <c r="O154" s="45" t="str" cm="1">
        <f t="array" ref="O154">IFERROR(INDEX(Input_ForRateCalc[],MATCH($C154&amp;" - "&amp;O$100,Input_ForRateCalc[[Cost item]:[Cost item]],0),MATCH(Calc_TUV_Net_1[[#This Row],[Decision ref]:[Decision ref]],Input_ForRateCalc[#Headers],0)),"-")</f>
        <v>-</v>
      </c>
    </row>
    <row r="155" spans="3:15" hidden="1" outlineLevel="1" x14ac:dyDescent="0.25">
      <c r="C155" s="39" t="s">
        <v>454</v>
      </c>
      <c r="D155" s="58" t="str">
        <f>$D$5</f>
        <v>VDO 2024-25 - Final</v>
      </c>
      <c r="E155" s="14" t="s">
        <v>322</v>
      </c>
      <c r="F155" s="58" t="str">
        <f>INDEX(Inputs!$C$17:$AZ$17,1,MATCH($D155,Inputs!$C$15:$AZ$15,0))</f>
        <v>F-NextVDO_Input</v>
      </c>
      <c r="G155" s="47"/>
      <c r="H155" s="14" t="s">
        <v>184</v>
      </c>
      <c r="I155" s="14" t="s">
        <v>225</v>
      </c>
      <c r="J155" s="39" t="s">
        <v>73</v>
      </c>
      <c r="K155" s="45" cm="1">
        <f t="array" ref="K155">IFERROR(INDEX(Input_ForRateCalc[],MATCH($C155&amp;" - "&amp;K$100,Input_ForRateCalc[[Cost item]:[Cost item]],0),MATCH(Calc_TUV_Net_1[[#This Row],[Decision ref]:[Decision ref]],Input_ForRateCalc[#Headers],0)),"-")</f>
        <v>20.237137578661478</v>
      </c>
      <c r="L155" s="45" t="str" cm="1">
        <f t="array" ref="L155">IFERROR(INDEX(Input_ForRateCalc[],MATCH($C155&amp;" - "&amp;L$100,Input_ForRateCalc[[Cost item]:[Cost item]],0),MATCH(Calc_TUV_Net_1[[#This Row],[Decision ref]:[Decision ref]],Input_ForRateCalc[#Headers],0)),"-")</f>
        <v>-</v>
      </c>
      <c r="M155" s="45" t="str" cm="1">
        <f t="array" ref="M155">IFERROR(INDEX(Input_ForRateCalc[],MATCH($C155&amp;" - "&amp;M$100,Input_ForRateCalc[[Cost item]:[Cost item]],0),MATCH(Calc_TUV_Net_1[[#This Row],[Decision ref]:[Decision ref]],Input_ForRateCalc[#Headers],0)),"-")</f>
        <v>-</v>
      </c>
      <c r="N155" s="45" t="str" cm="1">
        <f t="array" ref="N155">IFERROR(INDEX(Input_ForRateCalc[],MATCH($C155&amp;" - "&amp;N$100,Input_ForRateCalc[[Cost item]:[Cost item]],0),MATCH(Calc_TUV_Net_1[[#This Row],[Decision ref]:[Decision ref]],Input_ForRateCalc[#Headers],0)),"-")</f>
        <v>-</v>
      </c>
      <c r="O155" s="45" t="str" cm="1">
        <f t="array" ref="O155">IFERROR(INDEX(Input_ForRateCalc[],MATCH($C155&amp;" - "&amp;O$100,Input_ForRateCalc[[Cost item]:[Cost item]],0),MATCH(Calc_TUV_Net_1[[#This Row],[Decision ref]:[Decision ref]],Input_ForRateCalc[#Headers],0)),"-")</f>
        <v>-</v>
      </c>
    </row>
    <row r="156" spans="3:15" hidden="1" outlineLevel="1" x14ac:dyDescent="0.25">
      <c r="C156" s="39" t="s">
        <v>455</v>
      </c>
      <c r="D156" s="58" t="str">
        <f>$D$5</f>
        <v>VDO 2024-25 - Final</v>
      </c>
      <c r="E156" s="14" t="s">
        <v>322</v>
      </c>
      <c r="F156" s="58" t="str">
        <f>INDEX(Inputs!$C$17:$AZ$17,1,MATCH($D156,Inputs!$C$15:$AZ$15,0))</f>
        <v>F-NextVDO_Input</v>
      </c>
      <c r="G156" s="38"/>
      <c r="H156" s="14" t="s">
        <v>184</v>
      </c>
      <c r="I156" s="14" t="s">
        <v>225</v>
      </c>
      <c r="J156" s="39" t="s">
        <v>73</v>
      </c>
      <c r="K156" s="45" t="str" cm="1">
        <f t="array" ref="K156">IFERROR(INDEX(Input_ForRateCalc[],MATCH($C156&amp;" - "&amp;K$100,Input_ForRateCalc[[Cost item]:[Cost item]],0),MATCH(Calc_TUV_Net_1[[#This Row],[Decision ref]:[Decision ref]],Input_ForRateCalc[#Headers],0)),"-")</f>
        <v>-</v>
      </c>
      <c r="L156" s="45" cm="1">
        <f t="array" ref="L156">IFERROR(INDEX(Input_ForRateCalc[],MATCH($C156&amp;" - "&amp;L$100,Input_ForRateCalc[[Cost item]:[Cost item]],0),MATCH(Calc_TUV_Net_1[[#This Row],[Decision ref]:[Decision ref]],Input_ForRateCalc[#Headers],0)),"-")</f>
        <v>8.9500000000000011</v>
      </c>
      <c r="M156" s="45" cm="1">
        <f t="array" ref="M156">IFERROR(INDEX(Input_ForRateCalc[],MATCH($C156&amp;" - "&amp;M$100,Input_ForRateCalc[[Cost item]:[Cost item]],0),MATCH(Calc_TUV_Net_1[[#This Row],[Decision ref]:[Decision ref]],Input_ForRateCalc[#Headers],0)),"-")</f>
        <v>13.955</v>
      </c>
      <c r="N156" s="45" cm="1">
        <f t="array" ref="N156">IFERROR(INDEX(Input_ForRateCalc[],MATCH($C156&amp;" - "&amp;N$100,Input_ForRateCalc[[Cost item]:[Cost item]],0),MATCH(Calc_TUV_Net_1[[#This Row],[Decision ref]:[Decision ref]],Input_ForRateCalc[#Headers],0)),"-")</f>
        <v>10.62</v>
      </c>
      <c r="O156" s="45" cm="1">
        <f t="array" ref="O156">IFERROR(INDEX(Input_ForRateCalc[],MATCH($C156&amp;" - "&amp;O$100,Input_ForRateCalc[[Cost item]:[Cost item]],0),MATCH(Calc_TUV_Net_1[[#This Row],[Decision ref]:[Decision ref]],Input_ForRateCalc[#Headers],0)),"-")</f>
        <v>10.29</v>
      </c>
    </row>
    <row r="157" spans="3:15" hidden="1" outlineLevel="1" x14ac:dyDescent="0.25">
      <c r="C157" s="39" t="s">
        <v>417</v>
      </c>
      <c r="D157" s="58" t="str">
        <f>$D$5</f>
        <v>VDO 2024-25 - Final</v>
      </c>
      <c r="E157" s="14" t="s">
        <v>322</v>
      </c>
      <c r="F157" s="58" t="str">
        <f>INDEX(Inputs!$C$17:$AZ$17,1,MATCH($D157,Inputs!$C$15:$AZ$15,0))</f>
        <v>F-NextVDO_Input</v>
      </c>
      <c r="G157" s="38"/>
      <c r="H157" s="14" t="s">
        <v>184</v>
      </c>
      <c r="I157" s="14" t="s">
        <v>71</v>
      </c>
      <c r="J157" s="39" t="s">
        <v>73</v>
      </c>
      <c r="K157" s="46">
        <f>SUM(
IFERROR(K154/100*SUMIFS(INDEX(TUNet_Usage_PerRate_1[],0,MATCH(K$100,TUNet_Usage_PerRate_1[#Headers],0)),TUNet_Usage_PerRate_1[Customer type],Calc_TUV_Net_1[[#This Row],[Customer type]],TUNet_Usage_PerRate_1[Description],"Usage per customer - Block 1"),0),
IFERROR(K155/100*SUMIFS(INDEX(TUNet_Usage_PerRate_1[],0,MATCH(K$100,TUNet_Usage_PerRate_1[#Headers],0)),TUNet_Usage_PerRate_1[Customer type],Calc_TUV_Net_1[[#This Row],[Customer type]],TUNet_Usage_PerRate_1[Description],"Usage per customer - Balance"),0),
IFERROR(K156/100*SUMIFS(INDEX(TUNet_Usage_PerRate_1[],0,MATCH(K$100,TUNet_Usage_PerRate_1[#Headers],0)),TUNet_Usage_PerRate_1[Customer type],Calc_TUV_Net_1[[#This Row],[Customer type]],TUNet_Usage_PerRate_1[Description],"Usage per customer - Single rate"),0))</f>
        <v>0</v>
      </c>
      <c r="L157" s="46">
        <f>SUM(
IFERROR(L154/100*SUMIFS(INDEX(TUNet_Usage_PerRate_1[],0,MATCH(L$100,TUNet_Usage_PerRate_1[#Headers],0)),TUNet_Usage_PerRate_1[Customer type],Calc_TUV_Net_1[[#This Row],[Customer type]],TUNet_Usage_PerRate_1[Description],"Usage per customer - Block 1"),0),
IFERROR(L155/100*SUMIFS(INDEX(TUNet_Usage_PerRate_1[],0,MATCH(L$100,TUNet_Usage_PerRate_1[#Headers],0)),TUNet_Usage_PerRate_1[Customer type],Calc_TUV_Net_1[[#This Row],[Customer type]],TUNet_Usage_PerRate_1[Description],"Usage per customer - Balance"),0),
IFERROR(L156/100*SUMIFS(INDEX(TUNet_Usage_PerRate_1[],0,MATCH(L$100,TUNet_Usage_PerRate_1[#Headers],0)),TUNet_Usage_PerRate_1[Customer type],Calc_TUV_Net_1[[#This Row],[Customer type]],TUNet_Usage_PerRate_1[Description],"Usage per customer - Single rate"),0))</f>
        <v>0</v>
      </c>
      <c r="M157" s="46">
        <f>SUM(
IFERROR(M154/100*SUMIFS(INDEX(TUNet_Usage_PerRate_1[],0,MATCH(M$100,TUNet_Usage_PerRate_1[#Headers],0)),TUNet_Usage_PerRate_1[Customer type],Calc_TUV_Net_1[[#This Row],[Customer type]],TUNet_Usage_PerRate_1[Description],"Usage per customer - Block 1"),0),
IFERROR(M155/100*SUMIFS(INDEX(TUNet_Usage_PerRate_1[],0,MATCH(M$100,TUNet_Usage_PerRate_1[#Headers],0)),TUNet_Usage_PerRate_1[Customer type],Calc_TUV_Net_1[[#This Row],[Customer type]],TUNet_Usage_PerRate_1[Description],"Usage per customer - Balance"),0),
IFERROR(M156/100*SUMIFS(INDEX(TUNet_Usage_PerRate_1[],0,MATCH(M$100,TUNet_Usage_PerRate_1[#Headers],0)),TUNet_Usage_PerRate_1[Customer type],Calc_TUV_Net_1[[#This Row],[Customer type]],TUNet_Usage_PerRate_1[Description],"Usage per customer - Single rate"),0))</f>
        <v>0</v>
      </c>
      <c r="N157" s="46">
        <f>SUM(
IFERROR(N154/100*SUMIFS(INDEX(TUNet_Usage_PerRate_1[],0,MATCH(N$100,TUNet_Usage_PerRate_1[#Headers],0)),TUNet_Usage_PerRate_1[Customer type],Calc_TUV_Net_1[[#This Row],[Customer type]],TUNet_Usage_PerRate_1[Description],"Usage per customer - Block 1"),0),
IFERROR(N155/100*SUMIFS(INDEX(TUNet_Usage_PerRate_1[],0,MATCH(N$100,TUNet_Usage_PerRate_1[#Headers],0)),TUNet_Usage_PerRate_1[Customer type],Calc_TUV_Net_1[[#This Row],[Customer type]],TUNet_Usage_PerRate_1[Description],"Usage per customer - Balance"),0),
IFERROR(N156/100*SUMIFS(INDEX(TUNet_Usage_PerRate_1[],0,MATCH(N$100,TUNet_Usage_PerRate_1[#Headers],0)),TUNet_Usage_PerRate_1[Customer type],Calc_TUV_Net_1[[#This Row],[Customer type]],TUNet_Usage_PerRate_1[Description],"Usage per customer - Single rate"),0))</f>
        <v>0</v>
      </c>
      <c r="O157" s="46">
        <f>SUM(
IFERROR(O154/100*SUMIFS(INDEX(TUNet_Usage_PerRate_1[],0,MATCH(O$100,TUNet_Usage_PerRate_1[#Headers],0)),TUNet_Usage_PerRate_1[Customer type],Calc_TUV_Net_1[[#This Row],[Customer type]],TUNet_Usage_PerRate_1[Description],"Usage per customer - Block 1"),0),
IFERROR(O155/100*SUMIFS(INDEX(TUNet_Usage_PerRate_1[],0,MATCH(O$100,TUNet_Usage_PerRate_1[#Headers],0)),TUNet_Usage_PerRate_1[Customer type],Calc_TUV_Net_1[[#This Row],[Customer type]],TUNet_Usage_PerRate_1[Description],"Usage per customer - Balance"),0),
IFERROR(O156/100*SUMIFS(INDEX(TUNet_Usage_PerRate_1[],0,MATCH(O$100,TUNet_Usage_PerRate_1[#Headers],0)),TUNet_Usage_PerRate_1[Customer type],Calc_TUV_Net_1[[#This Row],[Customer type]],TUNet_Usage_PerRate_1[Description],"Usage per customer - Single rate"),0))</f>
        <v>0</v>
      </c>
    </row>
    <row r="158" spans="3:15" hidden="1" outlineLevel="1" x14ac:dyDescent="0.25">
      <c r="C158" s="39" t="s">
        <v>453</v>
      </c>
      <c r="D158" s="58" t="str">
        <f>INDEX(Input_DecisionActual[[Decision]:[Decision]],MATCH($D$5,Input_DecisionActual[[VDO period]:[VDO period]],0),1)</f>
        <v>VDO 2023-24 - Final</v>
      </c>
      <c r="E158" s="14" t="s">
        <v>102</v>
      </c>
      <c r="F158" s="58" t="str">
        <f>IF($D158="-","-",INDEX(Inputs!$C$17:$AZ$17,1,MATCH($D158,Inputs!$C$15:$AZ$15,0)))</f>
        <v>F-CurrentVDO_Input</v>
      </c>
      <c r="G158" s="38"/>
      <c r="H158" s="14" t="s">
        <v>184</v>
      </c>
      <c r="I158" s="14" t="s">
        <v>225</v>
      </c>
      <c r="J158" s="39" t="s">
        <v>73</v>
      </c>
      <c r="K158" s="45" cm="1">
        <f t="array" ref="K158">IFERROR(INDEX(Input_ForRateCalc[],MATCH($C158&amp;" - "&amp;K$100,Input_ForRateCalc[[Cost item]:[Cost item]],0),MATCH(Calc_TUV_Net_1[[#This Row],[Decision ref]:[Decision ref]],Input_ForRateCalc[#Headers],0)),"-")</f>
        <v>18.668411930490375</v>
      </c>
      <c r="L158" s="45" t="str" cm="1">
        <f t="array" ref="L158">IFERROR(INDEX(Input_ForRateCalc[],MATCH($C158&amp;" - "&amp;L$100,Input_ForRateCalc[[Cost item]:[Cost item]],0),MATCH(Calc_TUV_Net_1[[#This Row],[Decision ref]:[Decision ref]],Input_ForRateCalc[#Headers],0)),"-")</f>
        <v>-</v>
      </c>
      <c r="M158" s="45" t="str" cm="1">
        <f t="array" ref="M158">IFERROR(INDEX(Input_ForRateCalc[],MATCH($C158&amp;" - "&amp;M$100,Input_ForRateCalc[[Cost item]:[Cost item]],0),MATCH(Calc_TUV_Net_1[[#This Row],[Decision ref]:[Decision ref]],Input_ForRateCalc[#Headers],0)),"-")</f>
        <v>-</v>
      </c>
      <c r="N158" s="45" t="str" cm="1">
        <f t="array" ref="N158">IFERROR(INDEX(Input_ForRateCalc[],MATCH($C158&amp;" - "&amp;N$100,Input_ForRateCalc[[Cost item]:[Cost item]],0),MATCH(Calc_TUV_Net_1[[#This Row],[Decision ref]:[Decision ref]],Input_ForRateCalc[#Headers],0)),"-")</f>
        <v>-</v>
      </c>
      <c r="O158" s="45" t="str" cm="1">
        <f t="array" ref="O158">IFERROR(INDEX(Input_ForRateCalc[],MATCH($C158&amp;" - "&amp;O$100,Input_ForRateCalc[[Cost item]:[Cost item]],0),MATCH(Calc_TUV_Net_1[[#This Row],[Decision ref]:[Decision ref]],Input_ForRateCalc[#Headers],0)),"-")</f>
        <v>-</v>
      </c>
    </row>
    <row r="159" spans="3:15" hidden="1" outlineLevel="1" x14ac:dyDescent="0.25">
      <c r="C159" s="39" t="s">
        <v>454</v>
      </c>
      <c r="D159" s="58" t="str">
        <f>INDEX(Input_DecisionActual[[Decision]:[Decision]],MATCH($D$5,Input_DecisionActual[[VDO period]:[VDO period]],0),1)</f>
        <v>VDO 2023-24 - Final</v>
      </c>
      <c r="E159" s="14" t="s">
        <v>102</v>
      </c>
      <c r="F159" s="58" t="str">
        <f>IF($D159="-","-",INDEX(Inputs!$C$17:$AZ$17,1,MATCH($D159,Inputs!$C$15:$AZ$15,0)))</f>
        <v>F-CurrentVDO_Input</v>
      </c>
      <c r="G159" s="38"/>
      <c r="H159" s="14" t="s">
        <v>184</v>
      </c>
      <c r="I159" s="14" t="s">
        <v>225</v>
      </c>
      <c r="J159" s="39" t="s">
        <v>73</v>
      </c>
      <c r="K159" s="45" cm="1">
        <f t="array" ref="K159">IFERROR(INDEX(Input_ForRateCalc[],MATCH($C159&amp;" - "&amp;K$100,Input_ForRateCalc[[Cost item]:[Cost item]],0),MATCH(Calc_TUV_Net_1[[#This Row],[Decision ref]:[Decision ref]],Input_ForRateCalc[#Headers],0)),"-")</f>
        <v>20.620858559880922</v>
      </c>
      <c r="L159" s="45" t="str" cm="1">
        <f t="array" ref="L159">IFERROR(INDEX(Input_ForRateCalc[],MATCH($C159&amp;" - "&amp;L$100,Input_ForRateCalc[[Cost item]:[Cost item]],0),MATCH(Calc_TUV_Net_1[[#This Row],[Decision ref]:[Decision ref]],Input_ForRateCalc[#Headers],0)),"-")</f>
        <v>-</v>
      </c>
      <c r="M159" s="45" t="str" cm="1">
        <f t="array" ref="M159">IFERROR(INDEX(Input_ForRateCalc[],MATCH($C159&amp;" - "&amp;M$100,Input_ForRateCalc[[Cost item]:[Cost item]],0),MATCH(Calc_TUV_Net_1[[#This Row],[Decision ref]:[Decision ref]],Input_ForRateCalc[#Headers],0)),"-")</f>
        <v>-</v>
      </c>
      <c r="N159" s="45" t="str" cm="1">
        <f t="array" ref="N159">IFERROR(INDEX(Input_ForRateCalc[],MATCH($C159&amp;" - "&amp;N$100,Input_ForRateCalc[[Cost item]:[Cost item]],0),MATCH(Calc_TUV_Net_1[[#This Row],[Decision ref]:[Decision ref]],Input_ForRateCalc[#Headers],0)),"-")</f>
        <v>-</v>
      </c>
      <c r="O159" s="45" t="str" cm="1">
        <f t="array" ref="O159">IFERROR(INDEX(Input_ForRateCalc[],MATCH($C159&amp;" - "&amp;O$100,Input_ForRateCalc[[Cost item]:[Cost item]],0),MATCH(Calc_TUV_Net_1[[#This Row],[Decision ref]:[Decision ref]],Input_ForRateCalc[#Headers],0)),"-")</f>
        <v>-</v>
      </c>
    </row>
    <row r="160" spans="3:15" hidden="1" outlineLevel="1" x14ac:dyDescent="0.25">
      <c r="C160" s="39" t="s">
        <v>455</v>
      </c>
      <c r="D160" s="58" t="str">
        <f>INDEX(Input_DecisionActual[[Decision]:[Decision]],MATCH($D$5,Input_DecisionActual[[VDO period]:[VDO period]],0),1)</f>
        <v>VDO 2023-24 - Final</v>
      </c>
      <c r="E160" s="14" t="s">
        <v>102</v>
      </c>
      <c r="F160" s="58" t="str">
        <f>IF($D160="-","-",INDEX(Inputs!$C$17:$AZ$17,1,MATCH($D160,Inputs!$C$15:$AZ$15,0)))</f>
        <v>F-CurrentVDO_Input</v>
      </c>
      <c r="G160" s="38"/>
      <c r="H160" s="14" t="s">
        <v>184</v>
      </c>
      <c r="I160" s="14" t="s">
        <v>225</v>
      </c>
      <c r="J160" s="39" t="s">
        <v>73</v>
      </c>
      <c r="K160" s="45" t="str" cm="1">
        <f t="array" ref="K160">IFERROR(INDEX(Input_ForRateCalc[],MATCH($C160&amp;" - "&amp;K$100,Input_ForRateCalc[[Cost item]:[Cost item]],0),MATCH(Calc_TUV_Net_1[[#This Row],[Decision ref]:[Decision ref]],Input_ForRateCalc[#Headers],0)),"-")</f>
        <v>-</v>
      </c>
      <c r="L160" s="45" cm="1">
        <f t="array" ref="L160">IFERROR(INDEX(Input_ForRateCalc[],MATCH($C160&amp;" - "&amp;L$100,Input_ForRateCalc[[Cost item]:[Cost item]],0),MATCH(Calc_TUV_Net_1[[#This Row],[Decision ref]:[Decision ref]],Input_ForRateCalc[#Headers],0)),"-")</f>
        <v>8.15</v>
      </c>
      <c r="M160" s="45" cm="1">
        <f t="array" ref="M160">IFERROR(INDEX(Input_ForRateCalc[],MATCH($C160&amp;" - "&amp;M$100,Input_ForRateCalc[[Cost item]:[Cost item]],0),MATCH(Calc_TUV_Net_1[[#This Row],[Decision ref]:[Decision ref]],Input_ForRateCalc[#Headers],0)),"-")</f>
        <v>11.834</v>
      </c>
      <c r="N160" s="45" cm="1">
        <f t="array" ref="N160">IFERROR(INDEX(Input_ForRateCalc[],MATCH($C160&amp;" - "&amp;N$100,Input_ForRateCalc[[Cost item]:[Cost item]],0),MATCH(Calc_TUV_Net_1[[#This Row],[Decision ref]:[Decision ref]],Input_ForRateCalc[#Headers],0)),"-")</f>
        <v>9.81</v>
      </c>
      <c r="O160" s="45" cm="1">
        <f t="array" ref="O160">IFERROR(INDEX(Input_ForRateCalc[],MATCH($C160&amp;" - "&amp;O$100,Input_ForRateCalc[[Cost item]:[Cost item]],0),MATCH(Calc_TUV_Net_1[[#This Row],[Decision ref]:[Decision ref]],Input_ForRateCalc[#Headers],0)),"-")</f>
        <v>9.39</v>
      </c>
    </row>
    <row r="161" spans="3:15" hidden="1" outlineLevel="1" x14ac:dyDescent="0.25">
      <c r="C161" s="39" t="s">
        <v>417</v>
      </c>
      <c r="D161" s="58" t="str">
        <f>INDEX(Input_DecisionActual[[Decision]:[Decision]],MATCH($D$5,Input_DecisionActual[[VDO period]:[VDO period]],0),1)</f>
        <v>VDO 2023-24 - Final</v>
      </c>
      <c r="E161" s="14" t="s">
        <v>102</v>
      </c>
      <c r="F161" s="58" t="str">
        <f>IF($D161="-","-",INDEX(Inputs!$C$17:$AZ$17,1,MATCH($D161,Inputs!$C$15:$AZ$15,0)))</f>
        <v>F-CurrentVDO_Input</v>
      </c>
      <c r="G161" s="38"/>
      <c r="H161" s="14" t="s">
        <v>184</v>
      </c>
      <c r="I161" s="14" t="s">
        <v>71</v>
      </c>
      <c r="J161" s="39" t="s">
        <v>73</v>
      </c>
      <c r="K161" s="46">
        <f>SUM(
IFERROR(K158/100*SUMIFS(INDEX(TUNet_Usage_PerRate_1[],0,MATCH(K$100,TUNet_Usage_PerRate_1[#Headers],0)),TUNet_Usage_PerRate_1[Customer type],Calc_TUV_Net_1[[#This Row],[Customer type]],TUNet_Usage_PerRate_1[Description],"Usage per customer - Block 1"),0),
IFERROR(K159/100*SUMIFS(INDEX(TUNet_Usage_PerRate_1[],0,MATCH(K$100,TUNet_Usage_PerRate_1[#Headers],0)),TUNet_Usage_PerRate_1[Customer type],Calc_TUV_Net_1[[#This Row],[Customer type]],TUNet_Usage_PerRate_1[Description],"Usage per customer - Balance"),0),
IFERROR(K160/100*SUMIFS(INDEX(TUNet_Usage_PerRate_1[],0,MATCH(K$100,TUNet_Usage_PerRate_1[#Headers],0)),TUNet_Usage_PerRate_1[Customer type],Calc_TUV_Net_1[[#This Row],[Customer type]],TUNet_Usage_PerRate_1[Description],"Usage per customer - Single rate"),0))</f>
        <v>0</v>
      </c>
      <c r="L161" s="46">
        <f>SUM(
IFERROR(L158/100*SUMIFS(INDEX(TUNet_Usage_PerRate_1[],0,MATCH(L$100,TUNet_Usage_PerRate_1[#Headers],0)),TUNet_Usage_PerRate_1[Customer type],Calc_TUV_Net_1[[#This Row],[Customer type]],TUNet_Usage_PerRate_1[Description],"Usage per customer - Block 1"),0),
IFERROR(L159/100*SUMIFS(INDEX(TUNet_Usage_PerRate_1[],0,MATCH(L$100,TUNet_Usage_PerRate_1[#Headers],0)),TUNet_Usage_PerRate_1[Customer type],Calc_TUV_Net_1[[#This Row],[Customer type]],TUNet_Usage_PerRate_1[Description],"Usage per customer - Balance"),0),
IFERROR(L160/100*SUMIFS(INDEX(TUNet_Usage_PerRate_1[],0,MATCH(L$100,TUNet_Usage_PerRate_1[#Headers],0)),TUNet_Usage_PerRate_1[Customer type],Calc_TUV_Net_1[[#This Row],[Customer type]],TUNet_Usage_PerRate_1[Description],"Usage per customer - Single rate"),0))</f>
        <v>0</v>
      </c>
      <c r="M161" s="46">
        <f>SUM(
IFERROR(M158/100*SUMIFS(INDEX(TUNet_Usage_PerRate_1[],0,MATCH(M$100,TUNet_Usage_PerRate_1[#Headers],0)),TUNet_Usage_PerRate_1[Customer type],Calc_TUV_Net_1[[#This Row],[Customer type]],TUNet_Usage_PerRate_1[Description],"Usage per customer - Block 1"),0),
IFERROR(M159/100*SUMIFS(INDEX(TUNet_Usage_PerRate_1[],0,MATCH(M$100,TUNet_Usage_PerRate_1[#Headers],0)),TUNet_Usage_PerRate_1[Customer type],Calc_TUV_Net_1[[#This Row],[Customer type]],TUNet_Usage_PerRate_1[Description],"Usage per customer - Balance"),0),
IFERROR(M160/100*SUMIFS(INDEX(TUNet_Usage_PerRate_1[],0,MATCH(M$100,TUNet_Usage_PerRate_1[#Headers],0)),TUNet_Usage_PerRate_1[Customer type],Calc_TUV_Net_1[[#This Row],[Customer type]],TUNet_Usage_PerRate_1[Description],"Usage per customer - Single rate"),0))</f>
        <v>0</v>
      </c>
      <c r="N161" s="46">
        <f>SUM(
IFERROR(N158/100*SUMIFS(INDEX(TUNet_Usage_PerRate_1[],0,MATCH(N$100,TUNet_Usage_PerRate_1[#Headers],0)),TUNet_Usage_PerRate_1[Customer type],Calc_TUV_Net_1[[#This Row],[Customer type]],TUNet_Usage_PerRate_1[Description],"Usage per customer - Block 1"),0),
IFERROR(N159/100*SUMIFS(INDEX(TUNet_Usage_PerRate_1[],0,MATCH(N$100,TUNet_Usage_PerRate_1[#Headers],0)),TUNet_Usage_PerRate_1[Customer type],Calc_TUV_Net_1[[#This Row],[Customer type]],TUNet_Usage_PerRate_1[Description],"Usage per customer - Balance"),0),
IFERROR(N160/100*SUMIFS(INDEX(TUNet_Usage_PerRate_1[],0,MATCH(N$100,TUNet_Usage_PerRate_1[#Headers],0)),TUNet_Usage_PerRate_1[Customer type],Calc_TUV_Net_1[[#This Row],[Customer type]],TUNet_Usage_PerRate_1[Description],"Usage per customer - Single rate"),0))</f>
        <v>0</v>
      </c>
      <c r="O161" s="46">
        <f>SUM(
IFERROR(O158/100*SUMIFS(INDEX(TUNet_Usage_PerRate_1[],0,MATCH(O$100,TUNet_Usage_PerRate_1[#Headers],0)),TUNet_Usage_PerRate_1[Customer type],Calc_TUV_Net_1[[#This Row],[Customer type]],TUNet_Usage_PerRate_1[Description],"Usage per customer - Block 1"),0),
IFERROR(O159/100*SUMIFS(INDEX(TUNet_Usage_PerRate_1[],0,MATCH(O$100,TUNet_Usage_PerRate_1[#Headers],0)),TUNet_Usage_PerRate_1[Customer type],Calc_TUV_Net_1[[#This Row],[Customer type]],TUNet_Usage_PerRate_1[Description],"Usage per customer - Balance"),0),
IFERROR(O160/100*SUMIFS(INDEX(TUNet_Usage_PerRate_1[],0,MATCH(O$100,TUNet_Usage_PerRate_1[#Headers],0)),TUNet_Usage_PerRate_1[Customer type],Calc_TUV_Net_1[[#This Row],[Customer type]],TUNet_Usage_PerRate_1[Description],"Usage per customer - Single rate"),0))</f>
        <v>0</v>
      </c>
    </row>
    <row r="162" spans="3:15" hidden="1" outlineLevel="1" x14ac:dyDescent="0.25">
      <c r="C162" s="39" t="s">
        <v>418</v>
      </c>
      <c r="D162" s="14"/>
      <c r="E162" s="14"/>
      <c r="F162" s="14"/>
      <c r="G162" s="39"/>
      <c r="H162" s="14" t="s">
        <v>184</v>
      </c>
      <c r="I162" s="14" t="s">
        <v>71</v>
      </c>
      <c r="J162" s="39" t="s">
        <v>73</v>
      </c>
      <c r="K162" s="44" t="str">
        <f>IF(K161=0,"-",K157-K161)</f>
        <v>-</v>
      </c>
      <c r="L162" s="44" t="str">
        <f>IF(L161=0,"-",L157-L161)</f>
        <v>-</v>
      </c>
      <c r="M162" s="44" t="str">
        <f>IF(M161=0,"-",M157-M161)</f>
        <v>-</v>
      </c>
      <c r="N162" s="44" t="str">
        <f>IF(N161=0,"-",N157-N161)</f>
        <v>-</v>
      </c>
      <c r="O162" s="44" t="str">
        <f>IF(O161=0,"-",O157-O161)</f>
        <v>-</v>
      </c>
    </row>
    <row r="163" spans="3:15" hidden="1" outlineLevel="1" x14ac:dyDescent="0.25">
      <c r="C163" s="39" t="s">
        <v>420</v>
      </c>
      <c r="D163" s="58" t="str">
        <f>INDEX(Input_DecisionActual[[Decision]:[Decision]],MATCH($D$5,Input_DecisionActual[[VDO period]:[VDO period]],0),1)</f>
        <v>VDO 2023-24 - Final</v>
      </c>
      <c r="E163" s="14" t="s">
        <v>102</v>
      </c>
      <c r="F163" s="58" t="str">
        <f>IF($D163="-","-",INDEX(Inputs!$C$17:$AZ$17,1,MATCH($D163,Inputs!$C$15:$AZ$15,0)))</f>
        <v>F-CurrentVDO_Input</v>
      </c>
      <c r="G163" s="39"/>
      <c r="H163" s="14" t="s">
        <v>184</v>
      </c>
      <c r="I163" s="14" t="s">
        <v>71</v>
      </c>
      <c r="J163" s="39" t="s">
        <v>73</v>
      </c>
      <c r="K163" s="45" t="str" cm="1">
        <f t="array" ref="K163">IFERROR(SUM(K162:K162)*(INDEX(Inputs!$H$18:$U$141,MATCH("Retail operating margin",Input_ForRateCalc[[Cost item]:[Cost item]],0),MATCH(Calc_TUV_Net_1[[#This Row],[Decision ref]:[Decision ref]],Inputs!$H$17:$U$17,0))),"-")</f>
        <v>-</v>
      </c>
      <c r="L163" s="45" t="str" cm="1">
        <f t="array" ref="L163">IFERROR(SUM(L162:L162)*(INDEX(Inputs!$H$18:$U$141,MATCH("Retail operating margin",Input_ForRateCalc[[Cost item]:[Cost item]],0),MATCH(Calc_TUV_Net_1[[#This Row],[Decision ref]:[Decision ref]],Inputs!$H$17:$U$17,0))),"-")</f>
        <v>-</v>
      </c>
      <c r="M163" s="45" t="str" cm="1">
        <f t="array" ref="M163">IFERROR(SUM(M162:M162)*(INDEX(Inputs!$H$18:$U$141,MATCH("Retail operating margin",Input_ForRateCalc[[Cost item]:[Cost item]],0),MATCH(Calc_TUV_Net_1[[#This Row],[Decision ref]:[Decision ref]],Inputs!$H$17:$U$17,0))),"-")</f>
        <v>-</v>
      </c>
      <c r="N163" s="45" t="str" cm="1">
        <f t="array" ref="N163">IFERROR(SUM(N162:N162)*(INDEX(Inputs!$H$18:$U$141,MATCH("Retail operating margin",Input_ForRateCalc[[Cost item]:[Cost item]],0),MATCH(Calc_TUV_Net_1[[#This Row],[Decision ref]:[Decision ref]],Inputs!$H$17:$U$17,0))),"-")</f>
        <v>-</v>
      </c>
      <c r="O163" s="45" t="str" cm="1">
        <f t="array" ref="O163">IFERROR(SUM(O162:O162)*(INDEX(Inputs!$H$18:$U$141,MATCH("Retail operating margin",Input_ForRateCalc[[Cost item]:[Cost item]],0),MATCH(Calc_TUV_Net_1[[#This Row],[Decision ref]:[Decision ref]],Inputs!$H$17:$U$17,0))),"-")</f>
        <v>-</v>
      </c>
    </row>
    <row r="164" spans="3:15" hidden="1" outlineLevel="1" x14ac:dyDescent="0.25">
      <c r="C164" s="39" t="s">
        <v>421</v>
      </c>
      <c r="D164" s="14"/>
      <c r="E164" s="14"/>
      <c r="F164" s="14"/>
      <c r="G164" s="39"/>
      <c r="H164" s="14" t="s">
        <v>184</v>
      </c>
      <c r="I164" s="14" t="s">
        <v>71</v>
      </c>
      <c r="J164" s="39" t="s">
        <v>73</v>
      </c>
      <c r="K164" s="45" t="str">
        <f>IF(K161=0,"-",SUM(K162:K163)*GST)</f>
        <v>-</v>
      </c>
      <c r="L164" s="45" t="str">
        <f>IF(L161=0,"-",SUM(L162:L163)*GST)</f>
        <v>-</v>
      </c>
      <c r="M164" s="45" t="str">
        <f>IF(M161=0,"-",SUM(M162:M163)*GST)</f>
        <v>-</v>
      </c>
      <c r="N164" s="45" t="str">
        <f>IF(N161=0,"-",SUM(N162:N163)*GST)</f>
        <v>-</v>
      </c>
      <c r="O164" s="45" t="str">
        <f>IF(O161=0,"-",SUM(O162:O163)*GST)</f>
        <v>-</v>
      </c>
    </row>
    <row r="165" spans="3:15" hidden="1" outlineLevel="1" x14ac:dyDescent="0.25">
      <c r="C165" s="39" t="s">
        <v>446</v>
      </c>
      <c r="D165" s="14"/>
      <c r="E165" s="14"/>
      <c r="F165" s="14"/>
      <c r="H165" s="14" t="s">
        <v>184</v>
      </c>
      <c r="I165" s="14" t="s">
        <v>71</v>
      </c>
      <c r="J165" s="39" t="s">
        <v>73</v>
      </c>
      <c r="K165" s="45" t="str">
        <f>IF(K161=0,"-",SUM(K162:K164))</f>
        <v>-</v>
      </c>
      <c r="L165" s="45" t="str">
        <f>IF(L161=0,"-",SUM(L162:L164))</f>
        <v>-</v>
      </c>
      <c r="M165" s="45" t="str">
        <f>IF(M161=0,"-",SUM(M162:M164))</f>
        <v>-</v>
      </c>
      <c r="N165" s="45" t="str">
        <f>IF(N161=0,"-",SUM(N162:N164))</f>
        <v>-</v>
      </c>
      <c r="O165" s="45" t="str">
        <f>IF(O161=0,"-",SUM(O162:O164))</f>
        <v>-</v>
      </c>
    </row>
    <row r="166" spans="3:15" hidden="1" outlineLevel="1" x14ac:dyDescent="0.25">
      <c r="C166" s="37"/>
      <c r="D166" s="37"/>
      <c r="E166" s="37"/>
      <c r="F166" s="37"/>
      <c r="G166" s="47"/>
      <c r="H166" s="47"/>
      <c r="I166" s="14"/>
      <c r="J166" s="14"/>
      <c r="K166" s="44"/>
      <c r="L166" s="14"/>
      <c r="M166" s="14"/>
      <c r="N166" s="14"/>
      <c r="O166" s="14"/>
    </row>
    <row r="167" spans="3:15" hidden="1" outlineLevel="1" x14ac:dyDescent="0.25">
      <c r="C167" s="37"/>
      <c r="D167" s="37"/>
      <c r="E167" s="37"/>
      <c r="F167" s="37"/>
      <c r="G167" s="47"/>
      <c r="H167" s="47"/>
      <c r="I167" s="14"/>
      <c r="J167" s="14"/>
      <c r="K167" s="44"/>
      <c r="L167" s="14"/>
      <c r="M167" s="14"/>
      <c r="N167" s="14"/>
      <c r="O167" s="14"/>
    </row>
    <row r="168" spans="3:15" ht="15.75" hidden="1" outlineLevel="1" x14ac:dyDescent="0.25">
      <c r="C168" s="1" t="s">
        <v>318</v>
      </c>
      <c r="D168" s="39"/>
      <c r="E168" s="39"/>
      <c r="F168" s="39"/>
      <c r="G168" s="28" t="str">
        <f>INDEX(Input_TU_YesNo[],MATCH(Calc_TUV_Net_1[[#This Row],[Cost item]],Input_TU_YesNo[Component],0),MATCH($D$5,Inputs!$C$210:$BM$210,0))</f>
        <v>No</v>
      </c>
      <c r="H168" s="39"/>
      <c r="I168" s="14"/>
      <c r="J168" s="14"/>
      <c r="K168" s="44"/>
      <c r="L168" s="14"/>
      <c r="M168" s="14"/>
      <c r="N168" s="14"/>
      <c r="O168" s="14"/>
    </row>
    <row r="169" spans="3:15" hidden="1" outlineLevel="1" x14ac:dyDescent="0.25">
      <c r="C169" s="37" t="s">
        <v>456</v>
      </c>
      <c r="D169" s="37"/>
      <c r="E169" s="37"/>
      <c r="F169" s="37"/>
      <c r="G169" s="47"/>
      <c r="H169" s="47"/>
      <c r="I169" s="14"/>
      <c r="J169" s="14"/>
      <c r="K169" s="44"/>
      <c r="L169" s="14"/>
      <c r="M169" s="14"/>
      <c r="N169" s="14"/>
      <c r="O169" s="14"/>
    </row>
    <row r="170" spans="3:15" hidden="1" outlineLevel="1" x14ac:dyDescent="0.25">
      <c r="C170" s="39" t="s">
        <v>457</v>
      </c>
      <c r="D170" s="58" t="str">
        <f>$D$5</f>
        <v>VDO 2024-25 - Final</v>
      </c>
      <c r="E170" s="14" t="s">
        <v>322</v>
      </c>
      <c r="F170" s="58" t="str">
        <f>INDEX(Inputs!$C$17:$AZ$17,1,MATCH($D170,Inputs!$C$15:$AZ$15,0))</f>
        <v>F-NextVDO_Input</v>
      </c>
      <c r="G170" s="38"/>
      <c r="H170" s="14" t="s">
        <v>138</v>
      </c>
      <c r="I170" s="14" t="s">
        <v>71</v>
      </c>
      <c r="J170" s="39" t="s">
        <v>72</v>
      </c>
      <c r="K170" s="45" cm="1">
        <f t="array" ref="K170">IFERROR(INDEX(Input_ForRateCalc[],MATCH($C170&amp;" - "&amp;K$100,Input_ForRateCalc[[Cost item]:[Cost item]],0),MATCH(Calc_TUV_Net_1[[#This Row],[Decision ref]:[Decision ref]],Input_ForRateCalc[#Headers],0)),"-")*TUProp_Days_1</f>
        <v>0</v>
      </c>
      <c r="L170" s="45" cm="1">
        <f t="array" ref="L170">IFERROR(INDEX(Input_ForRateCalc[],MATCH($C170&amp;" - "&amp;L$100,Input_ForRateCalc[[Cost item]:[Cost item]],0),MATCH(Calc_TUV_Net_1[[#This Row],[Decision ref]:[Decision ref]],Input_ForRateCalc[#Headers],0)),"-")*TUProp_Days_1</f>
        <v>0</v>
      </c>
      <c r="M170" s="45" cm="1">
        <f t="array" ref="M170">IFERROR(INDEX(Input_ForRateCalc[],MATCH($C170&amp;" - "&amp;M$100,Input_ForRateCalc[[Cost item]:[Cost item]],0),MATCH(Calc_TUV_Net_1[[#This Row],[Decision ref]:[Decision ref]],Input_ForRateCalc[#Headers],0)),"-")*TUProp_Days_1</f>
        <v>0</v>
      </c>
      <c r="N170" s="45" cm="1">
        <f t="array" ref="N170">IFERROR(INDEX(Input_ForRateCalc[],MATCH($C170&amp;" - "&amp;N$100,Input_ForRateCalc[[Cost item]:[Cost item]],0),MATCH(Calc_TUV_Net_1[[#This Row],[Decision ref]:[Decision ref]],Input_ForRateCalc[#Headers],0)),"-")*TUProp_Days_1</f>
        <v>0</v>
      </c>
      <c r="O170" s="45" cm="1">
        <f t="array" ref="O170">IFERROR(INDEX(Input_ForRateCalc[],MATCH($C170&amp;" - "&amp;O$100,Input_ForRateCalc[[Cost item]:[Cost item]],0),MATCH(Calc_TUV_Net_1[[#This Row],[Decision ref]:[Decision ref]],Input_ForRateCalc[#Headers],0)),"-")*TUProp_Days_1</f>
        <v>0</v>
      </c>
    </row>
    <row r="171" spans="3:15" hidden="1" outlineLevel="1" x14ac:dyDescent="0.25">
      <c r="C171" s="39" t="s">
        <v>363</v>
      </c>
      <c r="D171" s="58" t="str">
        <f>$D$5</f>
        <v>VDO 2024-25 - Final</v>
      </c>
      <c r="E171" s="14" t="s">
        <v>322</v>
      </c>
      <c r="F171" s="58" t="str">
        <f>INDEX(Inputs!$C$17:$AZ$17,1,MATCH($D171,Inputs!$C$15:$AZ$15,0))</f>
        <v>F-NextVDO_Input</v>
      </c>
      <c r="G171" s="38"/>
      <c r="H171" s="14" t="s">
        <v>138</v>
      </c>
      <c r="I171" s="14" t="s">
        <v>71</v>
      </c>
      <c r="J171" s="39" t="s">
        <v>72</v>
      </c>
      <c r="K171" s="45" cm="1">
        <f t="array" ref="K171">IFERROR(INDEX(Input_ForRateCalc[],MATCH($C171&amp;" - "&amp;K$100,Input_ForRateCalc[[Cost item]:[Cost item]],0),MATCH(Calc_TUV_Net_1[[#This Row],[Decision ref]:[Decision ref]],Input_ForRateCalc[#Headers],0)),"-")*TUProp_Days_1</f>
        <v>0</v>
      </c>
      <c r="L171" s="45" cm="1">
        <f t="array" ref="L171">IFERROR(INDEX(Input_ForRateCalc[],MATCH($C171&amp;" - "&amp;L$100,Input_ForRateCalc[[Cost item]:[Cost item]],0),MATCH(Calc_TUV_Net_1[[#This Row],[Decision ref]:[Decision ref]],Input_ForRateCalc[#Headers],0)),"-")*TUProp_Days_1</f>
        <v>0</v>
      </c>
      <c r="M171" s="45" cm="1">
        <f t="array" ref="M171">IFERROR(INDEX(Input_ForRateCalc[],MATCH($C171&amp;" - "&amp;M$100,Input_ForRateCalc[[Cost item]:[Cost item]],0),MATCH(Calc_TUV_Net_1[[#This Row],[Decision ref]:[Decision ref]],Input_ForRateCalc[#Headers],0)),"-")*TUProp_Days_1</f>
        <v>0</v>
      </c>
      <c r="N171" s="45" cm="1">
        <f t="array" ref="N171">IFERROR(INDEX(Input_ForRateCalc[],MATCH($C171&amp;" - "&amp;N$100,Input_ForRateCalc[[Cost item]:[Cost item]],0),MATCH(Calc_TUV_Net_1[[#This Row],[Decision ref]:[Decision ref]],Input_ForRateCalc[#Headers],0)),"-")*TUProp_Days_1</f>
        <v>0</v>
      </c>
      <c r="O171" s="45" cm="1">
        <f t="array" ref="O171">IFERROR(INDEX(Input_ForRateCalc[],MATCH($C171&amp;" - "&amp;O$100,Input_ForRateCalc[[Cost item]:[Cost item]],0),MATCH(Calc_TUV_Net_1[[#This Row],[Decision ref]:[Decision ref]],Input_ForRateCalc[#Headers],0)),"-")*TUProp_Days_1</f>
        <v>0</v>
      </c>
    </row>
    <row r="172" spans="3:15" hidden="1" outlineLevel="1" x14ac:dyDescent="0.25">
      <c r="C172" s="39" t="s">
        <v>417</v>
      </c>
      <c r="D172" s="58" t="str">
        <f>$D$5</f>
        <v>VDO 2024-25 - Final</v>
      </c>
      <c r="E172" s="14" t="s">
        <v>322</v>
      </c>
      <c r="F172" s="58" t="str">
        <f>INDEX(Inputs!$C$17:$AZ$17,1,MATCH($D172,Inputs!$C$15:$AZ$15,0))</f>
        <v>F-NextVDO_Input</v>
      </c>
      <c r="G172" s="38"/>
      <c r="H172" s="14" t="s">
        <v>138</v>
      </c>
      <c r="I172" s="14" t="s">
        <v>71</v>
      </c>
      <c r="J172" s="39" t="s">
        <v>72</v>
      </c>
      <c r="K172" s="43">
        <f>IFERROR(SUM(K170:K171),"-")</f>
        <v>0</v>
      </c>
      <c r="L172" s="43">
        <f>IFERROR(SUM(L170:L171),"-")</f>
        <v>0</v>
      </c>
      <c r="M172" s="43">
        <f>IFERROR(SUM(M170:M171),"-")</f>
        <v>0</v>
      </c>
      <c r="N172" s="43">
        <f>IFERROR(SUM(N170:N171),"-")</f>
        <v>0</v>
      </c>
      <c r="O172" s="43">
        <f>IFERROR(SUM(O170:O171),"-")</f>
        <v>0</v>
      </c>
    </row>
    <row r="173" spans="3:15" hidden="1" outlineLevel="1" x14ac:dyDescent="0.25">
      <c r="C173" s="39" t="s">
        <v>440</v>
      </c>
      <c r="D173" s="58" t="str">
        <f>INDEX(Input_DecisionActual[[Decision]:[Decision]],MATCH($D$5,Input_DecisionActual[[VDO period]:[VDO period]],0),1)</f>
        <v>VDO 2023-24 - Final</v>
      </c>
      <c r="E173" s="14" t="s">
        <v>102</v>
      </c>
      <c r="F173" s="58" t="str">
        <f>IF($D173="-","-",INDEX(Inputs!$C$17:$AZ$17,1,MATCH($D173,Inputs!$C$15:$AZ$15,0)))</f>
        <v>F-CurrentVDO_Input</v>
      </c>
      <c r="G173" s="38"/>
      <c r="H173" s="14" t="s">
        <v>138</v>
      </c>
      <c r="I173" s="14" t="s">
        <v>71</v>
      </c>
      <c r="J173" s="39" t="s">
        <v>72</v>
      </c>
      <c r="K173" s="45" cm="1">
        <f t="array" ref="K173">IFERROR(INDEX(Input_ForRateCalc[],MATCH($C173&amp;" - "&amp;K$100,Input_ForRateCalc[[Cost item]:[Cost item]],0),MATCH(Calc_TUV_Net_1[[#This Row],[Decision ref]:[Decision ref]],Input_ForRateCalc[#Headers],0)),"-")*TUProp_Days_1</f>
        <v>0</v>
      </c>
      <c r="L173" s="45" cm="1">
        <f t="array" ref="L173">IFERROR(INDEX(Input_ForRateCalc[],MATCH($C173&amp;" - "&amp;L$100,Input_ForRateCalc[[Cost item]:[Cost item]],0),MATCH(Calc_TUV_Net_1[[#This Row],[Decision ref]:[Decision ref]],Input_ForRateCalc[#Headers],0)),"-")*TUProp_Days_1</f>
        <v>0</v>
      </c>
      <c r="M173" s="45" cm="1">
        <f t="array" ref="M173">IFERROR(INDEX(Input_ForRateCalc[],MATCH($C173&amp;" - "&amp;M$100,Input_ForRateCalc[[Cost item]:[Cost item]],0),MATCH(Calc_TUV_Net_1[[#This Row],[Decision ref]:[Decision ref]],Input_ForRateCalc[#Headers],0)),"-")*TUProp_Days_1</f>
        <v>0</v>
      </c>
      <c r="N173" s="45" cm="1">
        <f t="array" ref="N173">IFERROR(INDEX(Input_ForRateCalc[],MATCH($C173&amp;" - "&amp;N$100,Input_ForRateCalc[[Cost item]:[Cost item]],0),MATCH(Calc_TUV_Net_1[[#This Row],[Decision ref]:[Decision ref]],Input_ForRateCalc[#Headers],0)),"-")*TUProp_Days_1</f>
        <v>0</v>
      </c>
      <c r="O173" s="45" cm="1">
        <f t="array" ref="O173">IFERROR(INDEX(Input_ForRateCalc[],MATCH($C173&amp;" - "&amp;O$100,Input_ForRateCalc[[Cost item]:[Cost item]],0),MATCH(Calc_TUV_Net_1[[#This Row],[Decision ref]:[Decision ref]],Input_ForRateCalc[#Headers],0)),"-")*TUProp_Days_1</f>
        <v>0</v>
      </c>
    </row>
    <row r="174" spans="3:15" hidden="1" outlineLevel="1" x14ac:dyDescent="0.25">
      <c r="C174" s="39" t="s">
        <v>363</v>
      </c>
      <c r="D174" s="58" t="str">
        <f>INDEX(Input_DecisionActual[[Decision]:[Decision]],MATCH($D$5,Input_DecisionActual[[VDO period]:[VDO period]],0),1)</f>
        <v>VDO 2023-24 - Final</v>
      </c>
      <c r="E174" s="14" t="s">
        <v>102</v>
      </c>
      <c r="F174" s="58" t="str">
        <f>IF($D174="-","-",INDEX(Inputs!$C$17:$AZ$17,1,MATCH($D174,Inputs!$C$15:$AZ$15,0)))</f>
        <v>F-CurrentVDO_Input</v>
      </c>
      <c r="G174" s="38"/>
      <c r="H174" s="14" t="s">
        <v>138</v>
      </c>
      <c r="I174" s="14" t="s">
        <v>71</v>
      </c>
      <c r="J174" s="39" t="s">
        <v>72</v>
      </c>
      <c r="K174" s="45" cm="1">
        <f t="array" ref="K174">IFERROR(INDEX(Input_ForRateCalc[],MATCH($C174&amp;" - "&amp;K$100,Input_ForRateCalc[[Cost item]:[Cost item]],0),MATCH(Calc_TUV_Net_1[[#This Row],[Decision ref]:[Decision ref]],Input_ForRateCalc[#Headers],0)),"-")*TUProp_Days_1</f>
        <v>0</v>
      </c>
      <c r="L174" s="45" cm="1">
        <f t="array" ref="L174">IFERROR(INDEX(Input_ForRateCalc[],MATCH($C174&amp;" - "&amp;L$100,Input_ForRateCalc[[Cost item]:[Cost item]],0),MATCH(Calc_TUV_Net_1[[#This Row],[Decision ref]:[Decision ref]],Input_ForRateCalc[#Headers],0)),"-")*TUProp_Days_1</f>
        <v>0</v>
      </c>
      <c r="M174" s="45" cm="1">
        <f t="array" ref="M174">IFERROR(INDEX(Input_ForRateCalc[],MATCH($C174&amp;" - "&amp;M$100,Input_ForRateCalc[[Cost item]:[Cost item]],0),MATCH(Calc_TUV_Net_1[[#This Row],[Decision ref]:[Decision ref]],Input_ForRateCalc[#Headers],0)),"-")*TUProp_Days_1</f>
        <v>0</v>
      </c>
      <c r="N174" s="45" cm="1">
        <f t="array" ref="N174">IFERROR(INDEX(Input_ForRateCalc[],MATCH($C174&amp;" - "&amp;N$100,Input_ForRateCalc[[Cost item]:[Cost item]],0),MATCH(Calc_TUV_Net_1[[#This Row],[Decision ref]:[Decision ref]],Input_ForRateCalc[#Headers],0)),"-")*TUProp_Days_1</f>
        <v>0</v>
      </c>
      <c r="O174" s="45" cm="1">
        <f t="array" ref="O174">IFERROR(INDEX(Input_ForRateCalc[],MATCH($C174&amp;" - "&amp;O$100,Input_ForRateCalc[[Cost item]:[Cost item]],0),MATCH(Calc_TUV_Net_1[[#This Row],[Decision ref]:[Decision ref]],Input_ForRateCalc[#Headers],0)),"-")*TUProp_Days_1</f>
        <v>0</v>
      </c>
    </row>
    <row r="175" spans="3:15" hidden="1" outlineLevel="1" x14ac:dyDescent="0.25">
      <c r="C175" s="39" t="s">
        <v>417</v>
      </c>
      <c r="D175" s="58" t="str">
        <f>INDEX(Input_DecisionActual[[Decision]:[Decision]],MATCH($D$5,Input_DecisionActual[[VDO period]:[VDO period]],0),1)</f>
        <v>VDO 2023-24 - Final</v>
      </c>
      <c r="E175" s="14" t="s">
        <v>102</v>
      </c>
      <c r="F175" s="58" t="str">
        <f>IF($D175="-","-",INDEX(Inputs!$C$17:$AZ$17,1,MATCH($D175,Inputs!$C$15:$AZ$15,0)))</f>
        <v>F-CurrentVDO_Input</v>
      </c>
      <c r="G175" s="38"/>
      <c r="H175" s="14" t="s">
        <v>138</v>
      </c>
      <c r="I175" s="14" t="s">
        <v>71</v>
      </c>
      <c r="J175" s="39" t="s">
        <v>72</v>
      </c>
      <c r="K175" s="44">
        <f>SUM(K173:K174)</f>
        <v>0</v>
      </c>
      <c r="L175" s="44">
        <f>SUM(L173:L174)</f>
        <v>0</v>
      </c>
      <c r="M175" s="44">
        <f>SUM(M173:M174)</f>
        <v>0</v>
      </c>
      <c r="N175" s="44">
        <f>SUM(N173:N174)</f>
        <v>0</v>
      </c>
      <c r="O175" s="44">
        <f>SUM(O173:O174)</f>
        <v>0</v>
      </c>
    </row>
    <row r="176" spans="3:15" hidden="1" outlineLevel="1" x14ac:dyDescent="0.25">
      <c r="C176" s="39" t="s">
        <v>418</v>
      </c>
      <c r="D176" s="14"/>
      <c r="E176" s="14"/>
      <c r="F176" s="14"/>
      <c r="G176" s="39"/>
      <c r="H176" s="14" t="s">
        <v>138</v>
      </c>
      <c r="I176" s="14" t="s">
        <v>71</v>
      </c>
      <c r="J176" s="39" t="s">
        <v>72</v>
      </c>
      <c r="K176" s="44" t="str">
        <f>IF(K175=0,"-",K172-K175)</f>
        <v>-</v>
      </c>
      <c r="L176" s="44" t="str">
        <f>IF(L175=0,"-",L172-L175)</f>
        <v>-</v>
      </c>
      <c r="M176" s="44" t="str">
        <f>IF(M175=0,"-",M172-M175)</f>
        <v>-</v>
      </c>
      <c r="N176" s="44" t="str">
        <f>IF(N175=0,"-",N172-N175)</f>
        <v>-</v>
      </c>
      <c r="O176" s="44" t="str">
        <f>IF(O175=0,"-",O172-O175)</f>
        <v>-</v>
      </c>
    </row>
    <row r="177" spans="3:15" hidden="1" outlineLevel="1" x14ac:dyDescent="0.25">
      <c r="C177" s="39" t="s">
        <v>420</v>
      </c>
      <c r="D177" s="58" t="str">
        <f>INDEX(Input_DecisionActual[[Decision]:[Decision]],MATCH($D$5,Input_DecisionActual[[VDO period]:[VDO period]],0),1)</f>
        <v>VDO 2023-24 - Final</v>
      </c>
      <c r="E177" s="14" t="s">
        <v>102</v>
      </c>
      <c r="F177" s="58" t="str">
        <f>IF($D177="-","-",INDEX(Inputs!$C$17:$AZ$17,1,MATCH($D177,Inputs!$C$15:$AZ$15,0)))</f>
        <v>F-CurrentVDO_Input</v>
      </c>
      <c r="G177" s="39"/>
      <c r="H177" s="14" t="s">
        <v>138</v>
      </c>
      <c r="I177" s="14" t="s">
        <v>71</v>
      </c>
      <c r="J177" s="39" t="s">
        <v>72</v>
      </c>
      <c r="K177" s="45" t="str" cm="1">
        <f t="array" ref="K177">IFERROR(SUM(K176:K176)*(INDEX(Inputs!$H$18:$U$141,MATCH("Retail operating margin",Input_ForRateCalc[[Cost item]:[Cost item]],0),MATCH(Calc_TUV_Net_1[[#This Row],[Decision ref]:[Decision ref]],Inputs!$H$17:$U$17,0))),"-")</f>
        <v>-</v>
      </c>
      <c r="L177" s="45" t="str" cm="1">
        <f t="array" ref="L177">IFERROR(SUM(L176:L176)*(INDEX(Inputs!$H$18:$U$141,MATCH("Retail operating margin",Input_ForRateCalc[[Cost item]:[Cost item]],0),MATCH(Calc_TUV_Net_1[[#This Row],[Decision ref]:[Decision ref]],Inputs!$H$17:$U$17,0))),"-")</f>
        <v>-</v>
      </c>
      <c r="M177" s="45" t="str" cm="1">
        <f t="array" ref="M177">IFERROR(SUM(M176:M176)*(INDEX(Inputs!$H$18:$U$141,MATCH("Retail operating margin",Input_ForRateCalc[[Cost item]:[Cost item]],0),MATCH(Calc_TUV_Net_1[[#This Row],[Decision ref]:[Decision ref]],Inputs!$H$17:$U$17,0))),"-")</f>
        <v>-</v>
      </c>
      <c r="N177" s="45" t="str" cm="1">
        <f t="array" ref="N177">IFERROR(SUM(N176:N176)*(INDEX(Inputs!$H$18:$U$141,MATCH("Retail operating margin",Input_ForRateCalc[[Cost item]:[Cost item]],0),MATCH(Calc_TUV_Net_1[[#This Row],[Decision ref]:[Decision ref]],Inputs!$H$17:$U$17,0))),"-")</f>
        <v>-</v>
      </c>
      <c r="O177" s="45" t="str" cm="1">
        <f t="array" ref="O177">IFERROR(SUM(O176:O176)*(INDEX(Inputs!$H$18:$U$141,MATCH("Retail operating margin",Input_ForRateCalc[[Cost item]:[Cost item]],0),MATCH(Calc_TUV_Net_1[[#This Row],[Decision ref]:[Decision ref]],Inputs!$H$17:$U$17,0))),"-")</f>
        <v>-</v>
      </c>
    </row>
    <row r="178" spans="3:15" hidden="1" outlineLevel="1" x14ac:dyDescent="0.25">
      <c r="C178" s="39" t="s">
        <v>421</v>
      </c>
      <c r="D178" s="14"/>
      <c r="E178" s="14"/>
      <c r="F178" s="14"/>
      <c r="G178" s="39"/>
      <c r="H178" s="14" t="s">
        <v>138</v>
      </c>
      <c r="I178" s="14" t="s">
        <v>71</v>
      </c>
      <c r="J178" s="39" t="s">
        <v>72</v>
      </c>
      <c r="K178" s="45" t="str">
        <f>IF(K175=0,"-",SUM(K176:K177)*GST)</f>
        <v>-</v>
      </c>
      <c r="L178" s="45" t="str">
        <f>IF(L175=0,"-",SUM(L176:L177)*GST)</f>
        <v>-</v>
      </c>
      <c r="M178" s="45" t="str">
        <f>IF(M175=0,"-",SUM(M176:M177)*GST)</f>
        <v>-</v>
      </c>
      <c r="N178" s="45" t="str">
        <f>IF(N175=0,"-",SUM(N176:N177)*GST)</f>
        <v>-</v>
      </c>
      <c r="O178" s="45" t="str">
        <f>IF(O175=0,"-",SUM(O176:O177)*GST)</f>
        <v>-</v>
      </c>
    </row>
    <row r="179" spans="3:15" hidden="1" outlineLevel="1" x14ac:dyDescent="0.25">
      <c r="C179" s="14" t="s">
        <v>458</v>
      </c>
      <c r="D179" s="14"/>
      <c r="E179" s="14"/>
      <c r="F179" s="14"/>
      <c r="G179" s="39"/>
      <c r="H179" s="14" t="s">
        <v>138</v>
      </c>
      <c r="I179" s="14" t="s">
        <v>71</v>
      </c>
      <c r="J179" s="39" t="s">
        <v>72</v>
      </c>
      <c r="K179" s="45" t="str">
        <f>IF(K175=0,"-",SUM(K176:K178))</f>
        <v>-</v>
      </c>
      <c r="L179" s="45" t="str">
        <f>IF(L175=0,"-",SUM(L176:L178))</f>
        <v>-</v>
      </c>
      <c r="M179" s="45" t="str">
        <f>IF(M175=0,"-",SUM(M176:M178))</f>
        <v>-</v>
      </c>
      <c r="N179" s="45" t="str">
        <f>IF(N175=0,"-",SUM(N176:N178))</f>
        <v>-</v>
      </c>
      <c r="O179" s="45" t="str">
        <f>IF(O175=0,"-",SUM(O176:O178))</f>
        <v>-</v>
      </c>
    </row>
    <row r="180" spans="3:15" hidden="1" outlineLevel="1" x14ac:dyDescent="0.25">
      <c r="C180" s="39"/>
      <c r="D180" s="39"/>
      <c r="E180" s="39"/>
      <c r="F180" s="39"/>
      <c r="H180" s="39"/>
      <c r="I180" s="14"/>
      <c r="J180" s="14"/>
      <c r="K180" s="87"/>
      <c r="L180" s="87"/>
      <c r="M180" s="87"/>
      <c r="N180" s="87"/>
      <c r="O180" s="87"/>
    </row>
    <row r="181" spans="3:15" hidden="1" outlineLevel="1" x14ac:dyDescent="0.25">
      <c r="C181" s="37" t="s">
        <v>459</v>
      </c>
      <c r="D181" s="39"/>
      <c r="E181" s="39"/>
      <c r="F181" s="39"/>
      <c r="G181" s="47"/>
      <c r="H181" s="39"/>
      <c r="I181" s="14"/>
      <c r="J181" s="14"/>
      <c r="K181" s="87"/>
      <c r="L181" s="87"/>
      <c r="M181" s="87"/>
      <c r="N181" s="87"/>
      <c r="O181" s="87"/>
    </row>
    <row r="182" spans="3:15" hidden="1" outlineLevel="1" x14ac:dyDescent="0.25">
      <c r="C182" s="39" t="s">
        <v>460</v>
      </c>
      <c r="D182" s="58" t="str">
        <f>$D$5</f>
        <v>VDO 2024-25 - Final</v>
      </c>
      <c r="E182" s="14" t="s">
        <v>322</v>
      </c>
      <c r="F182" s="58" t="str">
        <f>INDEX(Inputs!$C$17:$AZ$17,1,MATCH($D182,Inputs!$C$15:$AZ$15,0))</f>
        <v>F-NextVDO_Input</v>
      </c>
      <c r="G182" s="39"/>
      <c r="H182" s="14" t="s">
        <v>184</v>
      </c>
      <c r="I182" s="14" t="s">
        <v>225</v>
      </c>
      <c r="J182" s="39" t="s">
        <v>72</v>
      </c>
      <c r="K182" s="45" cm="1">
        <f t="array" ref="K182">IFERROR(INDEX(Input_ForRateCalc[],MATCH($C182&amp;" - "&amp;K$100,Input_ForRateCalc[[Cost item]:[Cost item]],0),MATCH(Calc_TUV_Net_1[[#This Row],[Decision ref]:[Decision ref]],Input_ForRateCalc[#Headers],0)),"-")</f>
        <v>23.801248423131881</v>
      </c>
      <c r="L182" s="45" cm="1">
        <f t="array" ref="L182">IFERROR(INDEX(Input_ForRateCalc[],MATCH($C182&amp;" - "&amp;L$100,Input_ForRateCalc[[Cost item]:[Cost item]],0),MATCH(Calc_TUV_Net_1[[#This Row],[Decision ref]:[Decision ref]],Input_ForRateCalc[#Headers],0)),"-")</f>
        <v>15.6</v>
      </c>
      <c r="M182" s="45" cm="1">
        <f t="array" ref="M182">IFERROR(INDEX(Input_ForRateCalc[],MATCH($C182&amp;" - "&amp;M$100,Input_ForRateCalc[[Cost item]:[Cost item]],0),MATCH(Calc_TUV_Net_1[[#This Row],[Decision ref]:[Decision ref]],Input_ForRateCalc[#Headers],0)),"-")</f>
        <v>17.367000000000001</v>
      </c>
      <c r="N182" s="45" cm="1">
        <f t="array" ref="N182">IFERROR(INDEX(Input_ForRateCalc[],MATCH($C182&amp;" - "&amp;N$100,Input_ForRateCalc[[Cost item]:[Cost item]],0),MATCH(Calc_TUV_Net_1[[#This Row],[Decision ref]:[Decision ref]],Input_ForRateCalc[#Headers],0)),"-")</f>
        <v>18.34</v>
      </c>
      <c r="O182" s="45" cm="1">
        <f t="array" ref="O182">IFERROR(INDEX(Input_ForRateCalc[],MATCH($C182&amp;" - "&amp;O$100,Input_ForRateCalc[[Cost item]:[Cost item]],0),MATCH(Calc_TUV_Net_1[[#This Row],[Decision ref]:[Decision ref]],Input_ForRateCalc[#Headers],0)),"-")</f>
        <v>17.39</v>
      </c>
    </row>
    <row r="183" spans="3:15" hidden="1" outlineLevel="1" x14ac:dyDescent="0.25">
      <c r="C183" s="39" t="s">
        <v>461</v>
      </c>
      <c r="D183" s="58" t="str">
        <f>$D$5</f>
        <v>VDO 2024-25 - Final</v>
      </c>
      <c r="E183" s="14" t="s">
        <v>322</v>
      </c>
      <c r="F183" s="58" t="str">
        <f>INDEX(Inputs!$C$17:$AZ$17,1,MATCH($D183,Inputs!$C$15:$AZ$15,0))</f>
        <v>F-NextVDO_Input</v>
      </c>
      <c r="G183" s="47"/>
      <c r="H183" s="14" t="s">
        <v>184</v>
      </c>
      <c r="I183" s="14" t="s">
        <v>225</v>
      </c>
      <c r="J183" s="39" t="s">
        <v>72</v>
      </c>
      <c r="K183" s="45" cm="1">
        <f t="array" ref="K183">IFERROR(INDEX(Input_ForRateCalc[],MATCH($C183&amp;" - "&amp;K$100,Input_ForRateCalc[[Cost item]:[Cost item]],0),MATCH(Calc_TUV_Net_1[[#This Row],[Decision ref]:[Decision ref]],Input_ForRateCalc[#Headers],0)),"-")</f>
        <v>4.827959617987136</v>
      </c>
      <c r="L183" s="45" cm="1">
        <f t="array" ref="L183">IFERROR(INDEX(Input_ForRateCalc[],MATCH($C183&amp;" - "&amp;L$100,Input_ForRateCalc[[Cost item]:[Cost item]],0),MATCH(Calc_TUV_Net_1[[#This Row],[Decision ref]:[Decision ref]],Input_ForRateCalc[#Headers],0)),"-")</f>
        <v>3.8999999999999995</v>
      </c>
      <c r="M183" s="45" cm="1">
        <f t="array" ref="M183">IFERROR(INDEX(Input_ForRateCalc[],MATCH($C183&amp;" - "&amp;M$100,Input_ForRateCalc[[Cost item]:[Cost item]],0),MATCH(Calc_TUV_Net_1[[#This Row],[Decision ref]:[Decision ref]],Input_ForRateCalc[#Headers],0)),"-")</f>
        <v>4.8860000000000001</v>
      </c>
      <c r="N183" s="45" cm="1">
        <f t="array" ref="N183">IFERROR(INDEX(Input_ForRateCalc[],MATCH($C183&amp;" - "&amp;N$100,Input_ForRateCalc[[Cost item]:[Cost item]],0),MATCH(Calc_TUV_Net_1[[#This Row],[Decision ref]:[Decision ref]],Input_ForRateCalc[#Headers],0)),"-")</f>
        <v>4.6100000000000003</v>
      </c>
      <c r="O183" s="45" cm="1">
        <f t="array" ref="O183">IFERROR(INDEX(Input_ForRateCalc[],MATCH($C183&amp;" - "&amp;O$100,Input_ForRateCalc[[Cost item]:[Cost item]],0),MATCH(Calc_TUV_Net_1[[#This Row],[Decision ref]:[Decision ref]],Input_ForRateCalc[#Headers],0)),"-")</f>
        <v>4.33</v>
      </c>
    </row>
    <row r="184" spans="3:15" hidden="1" outlineLevel="1" x14ac:dyDescent="0.25">
      <c r="C184" s="39" t="s">
        <v>417</v>
      </c>
      <c r="D184" s="58" t="str">
        <f>$D$5</f>
        <v>VDO 2024-25 - Final</v>
      </c>
      <c r="E184" s="14" t="s">
        <v>322</v>
      </c>
      <c r="F184" s="58" t="str">
        <f>INDEX(Inputs!$C$17:$AZ$17,1,MATCH($D184,Inputs!$C$15:$AZ$15,0))</f>
        <v>F-NextVDO_Input</v>
      </c>
      <c r="G184" s="38"/>
      <c r="H184" s="14" t="s">
        <v>184</v>
      </c>
      <c r="I184" s="14" t="s">
        <v>225</v>
      </c>
      <c r="J184" s="39" t="s">
        <v>72</v>
      </c>
      <c r="K184" s="46">
        <f>SUMIFS(TUNet_Usage_Actual_1[Value],TUNet_Usage_Actual_1[Customer type],Calc_TUV_Net_1[[#This Row],[Customer type]],TUNet_Usage_Actual_1[Description],"Usage per customer")*SUM(
IFERROR(K182/100*SUMIFS(#REF!,#REF!,Calc_TUV_Net_1[[#This Row],[Customer type]],#REF!,"Peak"),0),
IFERROR(K183/100*SUMIFS(#REF!,#REF!,Calc_TUV_Net_1[[#This Row],[Customer type]],#REF!,"Off peak"),0))</f>
        <v>0</v>
      </c>
      <c r="L184" s="46">
        <f>SUMIFS(TUNet_Usage_Actual_1[Value],TUNet_Usage_Actual_1[Customer type],Calc_TUV_Net_1[[#This Row],[Customer type]],TUNet_Usage_Actual_1[Description],"Usage per customer")*SUM(
IFERROR(L182/100*SUMIFS(#REF!,#REF!,Calc_TUV_Net_1[[#This Row],[Customer type]],#REF!,"Peak"),0),
IFERROR(L183/100*SUMIFS(#REF!,#REF!,Calc_TUV_Net_1[[#This Row],[Customer type]],#REF!,"Off peak"),0))</f>
        <v>0</v>
      </c>
      <c r="M184" s="46">
        <f>SUMIFS(TUNet_Usage_Actual_1[Value],TUNet_Usage_Actual_1[Customer type],Calc_TUV_Net_1[[#This Row],[Customer type]],TUNet_Usage_Actual_1[Description],"Usage per customer")*SUM(
IFERROR(M182/100*SUMIFS(#REF!,#REF!,Calc_TUV_Net_1[[#This Row],[Customer type]],#REF!,"Peak"),0),
IFERROR(M183/100*SUMIFS(#REF!,#REF!,Calc_TUV_Net_1[[#This Row],[Customer type]],#REF!,"Off peak"),0))</f>
        <v>0</v>
      </c>
      <c r="N184" s="46">
        <f>SUMIFS(TUNet_Usage_Actual_1[Value],TUNet_Usage_Actual_1[Customer type],Calc_TUV_Net_1[[#This Row],[Customer type]],TUNet_Usage_Actual_1[Description],"Usage per customer")*SUM(
IFERROR(N182/100*SUMIFS(#REF!,#REF!,Calc_TUV_Net_1[[#This Row],[Customer type]],#REF!,"Peak"),0),
IFERROR(N183/100*SUMIFS(#REF!,#REF!,Calc_TUV_Net_1[[#This Row],[Customer type]],#REF!,"Off peak"),0))</f>
        <v>0</v>
      </c>
      <c r="O184" s="46">
        <f>SUMIFS(TUNet_Usage_Actual_1[Value],TUNet_Usage_Actual_1[Customer type],Calc_TUV_Net_1[[#This Row],[Customer type]],TUNet_Usage_Actual_1[Description],"Usage per customer")*SUM(
IFERROR(O182/100*SUMIFS(#REF!,#REF!,Calc_TUV_Net_1[[#This Row],[Customer type]],#REF!,"Peak"),0),
IFERROR(O183/100*SUMIFS(#REF!,#REF!,Calc_TUV_Net_1[[#This Row],[Customer type]],#REF!,"Off peak"),0))</f>
        <v>0</v>
      </c>
    </row>
    <row r="185" spans="3:15" hidden="1" outlineLevel="1" x14ac:dyDescent="0.25">
      <c r="C185" s="39" t="s">
        <v>443</v>
      </c>
      <c r="D185" s="58" t="str">
        <f>INDEX(Input_DecisionActual[[Decision]:[Decision]],MATCH($D$5,Input_DecisionActual[[VDO period]:[VDO period]],0),1)</f>
        <v>VDO 2023-24 - Final</v>
      </c>
      <c r="E185" s="14" t="s">
        <v>102</v>
      </c>
      <c r="F185" s="58" t="str">
        <f>IF($D185="-","-",INDEX(Inputs!$C$17:$AZ$17,1,MATCH($D185,Inputs!$C$15:$AZ$15,0)))</f>
        <v>F-CurrentVDO_Input</v>
      </c>
      <c r="G185" s="38"/>
      <c r="H185" s="14" t="s">
        <v>184</v>
      </c>
      <c r="I185" s="14" t="s">
        <v>71</v>
      </c>
      <c r="J185" s="39" t="s">
        <v>72</v>
      </c>
      <c r="K185" s="45" cm="1">
        <f t="array" ref="K185">IFERROR(INDEX(Input_ForRateCalc[],MATCH($C185&amp;" - "&amp;K$100,Input_ForRateCalc[[Cost item]:[Cost item]],0),MATCH(Calc_TUV_Net_1[[#This Row],[Decision ref]:[Decision ref]],Input_ForRateCalc[#Headers],0)),"-")</f>
        <v>13.09807741874299</v>
      </c>
      <c r="L185" s="45" t="str" cm="1">
        <f t="array" ref="L185">IFERROR(INDEX(Input_ForRateCalc[],MATCH($C185&amp;" - "&amp;L$100,Input_ForRateCalc[[Cost item]:[Cost item]],0),MATCH(Calc_TUV_Net_1[[#This Row],[Decision ref]:[Decision ref]],Input_ForRateCalc[#Headers],0)),"-")</f>
        <v>-</v>
      </c>
      <c r="M185" s="45" t="str" cm="1">
        <f t="array" ref="M185">IFERROR(INDEX(Input_ForRateCalc[],MATCH($C185&amp;" - "&amp;M$100,Input_ForRateCalc[[Cost item]:[Cost item]],0),MATCH(Calc_TUV_Net_1[[#This Row],[Decision ref]:[Decision ref]],Input_ForRateCalc[#Headers],0)),"-")</f>
        <v>-</v>
      </c>
      <c r="N185" s="45" t="str" cm="1">
        <f t="array" ref="N185">IFERROR(INDEX(Input_ForRateCalc[],MATCH($C185&amp;" - "&amp;N$100,Input_ForRateCalc[[Cost item]:[Cost item]],0),MATCH(Calc_TUV_Net_1[[#This Row],[Decision ref]:[Decision ref]],Input_ForRateCalc[#Headers],0)),"-")</f>
        <v>-</v>
      </c>
      <c r="O185" s="45" t="str" cm="1">
        <f t="array" ref="O185">IFERROR(INDEX(Input_ForRateCalc[],MATCH($C185&amp;" - "&amp;O$100,Input_ForRateCalc[[Cost item]:[Cost item]],0),MATCH(Calc_TUV_Net_1[[#This Row],[Decision ref]:[Decision ref]],Input_ForRateCalc[#Headers],0)),"-")</f>
        <v>-</v>
      </c>
    </row>
    <row r="186" spans="3:15" hidden="1" outlineLevel="1" x14ac:dyDescent="0.25">
      <c r="C186" s="39" t="s">
        <v>444</v>
      </c>
      <c r="D186" s="58" t="str">
        <f>INDEX(Input_DecisionActual[[Decision]:[Decision]],MATCH($D$5,Input_DecisionActual[[VDO period]:[VDO period]],0),1)</f>
        <v>VDO 2023-24 - Final</v>
      </c>
      <c r="E186" s="14" t="s">
        <v>102</v>
      </c>
      <c r="F186" s="58" t="str">
        <f>IF($D186="-","-",INDEX(Inputs!$C$17:$AZ$17,1,MATCH($D186,Inputs!$C$15:$AZ$15,0)))</f>
        <v>F-CurrentVDO_Input</v>
      </c>
      <c r="G186" s="38"/>
      <c r="H186" s="14" t="s">
        <v>184</v>
      </c>
      <c r="I186" s="14" t="s">
        <v>225</v>
      </c>
      <c r="J186" s="39" t="s">
        <v>72</v>
      </c>
      <c r="K186" s="45" cm="1">
        <f t="array" ref="K186">IFERROR(INDEX(Input_ForRateCalc[],MATCH($C186&amp;" - "&amp;K$100,Input_ForRateCalc[[Cost item]:[Cost item]],0),MATCH(Calc_TUV_Net_1[[#This Row],[Decision ref]:[Decision ref]],Input_ForRateCalc[#Headers],0)),"-")</f>
        <v>13.989069468735993</v>
      </c>
      <c r="L186" s="45" t="str" cm="1">
        <f t="array" ref="L186">IFERROR(INDEX(Input_ForRateCalc[],MATCH($C186&amp;" - "&amp;L$100,Input_ForRateCalc[[Cost item]:[Cost item]],0),MATCH(Calc_TUV_Net_1[[#This Row],[Decision ref]:[Decision ref]],Input_ForRateCalc[#Headers],0)),"-")</f>
        <v>-</v>
      </c>
      <c r="M186" s="45" t="str" cm="1">
        <f t="array" ref="M186">IFERROR(INDEX(Input_ForRateCalc[],MATCH($C186&amp;" - "&amp;M$100,Input_ForRateCalc[[Cost item]:[Cost item]],0),MATCH(Calc_TUV_Net_1[[#This Row],[Decision ref]:[Decision ref]],Input_ForRateCalc[#Headers],0)),"-")</f>
        <v>-</v>
      </c>
      <c r="N186" s="45" t="str" cm="1">
        <f t="array" ref="N186">IFERROR(INDEX(Input_ForRateCalc[],MATCH($C186&amp;" - "&amp;N$100,Input_ForRateCalc[[Cost item]:[Cost item]],0),MATCH(Calc_TUV_Net_1[[#This Row],[Decision ref]:[Decision ref]],Input_ForRateCalc[#Headers],0)),"-")</f>
        <v>-</v>
      </c>
      <c r="O186" s="45" t="str" cm="1">
        <f t="array" ref="O186">IFERROR(INDEX(Input_ForRateCalc[],MATCH($C186&amp;" - "&amp;O$100,Input_ForRateCalc[[Cost item]:[Cost item]],0),MATCH(Calc_TUV_Net_1[[#This Row],[Decision ref]:[Decision ref]],Input_ForRateCalc[#Headers],0)),"-")</f>
        <v>-</v>
      </c>
    </row>
    <row r="187" spans="3:15" hidden="1" outlineLevel="1" x14ac:dyDescent="0.25">
      <c r="C187" s="39" t="s">
        <v>445</v>
      </c>
      <c r="D187" s="58" t="str">
        <f>INDEX(Input_DecisionActual[[Decision]:[Decision]],MATCH($D$5,Input_DecisionActual[[VDO period]:[VDO period]],0),1)</f>
        <v>VDO 2023-24 - Final</v>
      </c>
      <c r="E187" s="14" t="s">
        <v>102</v>
      </c>
      <c r="F187" s="58" t="str">
        <f>IF($D187="-","-",INDEX(Inputs!$C$17:$AZ$17,1,MATCH($D187,Inputs!$C$15:$AZ$15,0)))</f>
        <v>F-CurrentVDO_Input</v>
      </c>
      <c r="G187" s="38"/>
      <c r="H187" s="14" t="s">
        <v>184</v>
      </c>
      <c r="I187" s="14" t="s">
        <v>225</v>
      </c>
      <c r="J187" s="39" t="s">
        <v>72</v>
      </c>
      <c r="K187" s="45" t="str" cm="1">
        <f t="array" ref="K187">IFERROR(INDEX(Input_ForRateCalc[],MATCH($C187&amp;" - "&amp;K$100,Input_ForRateCalc[[Cost item]:[Cost item]],0),MATCH(Calc_TUV_Net_1[[#This Row],[Decision ref]:[Decision ref]],Input_ForRateCalc[#Headers],0)),"-")</f>
        <v>-</v>
      </c>
      <c r="L187" s="45" cm="1">
        <f t="array" ref="L187">IFERROR(INDEX(Input_ForRateCalc[],MATCH($C187&amp;" - "&amp;L$100,Input_ForRateCalc[[Cost item]:[Cost item]],0),MATCH(Calc_TUV_Net_1[[#This Row],[Decision ref]:[Decision ref]],Input_ForRateCalc[#Headers],0)),"-")</f>
        <v>7.37</v>
      </c>
      <c r="M187" s="45" cm="1">
        <f t="array" ref="M187">IFERROR(INDEX(Input_ForRateCalc[],MATCH($C187&amp;" - "&amp;M$100,Input_ForRateCalc[[Cost item]:[Cost item]],0),MATCH(Calc_TUV_Net_1[[#This Row],[Decision ref]:[Decision ref]],Input_ForRateCalc[#Headers],0)),"-")</f>
        <v>8.9770000000000003</v>
      </c>
      <c r="N187" s="45" cm="1">
        <f t="array" ref="N187">IFERROR(INDEX(Input_ForRateCalc[],MATCH($C187&amp;" - "&amp;N$100,Input_ForRateCalc[[Cost item]:[Cost item]],0),MATCH(Calc_TUV_Net_1[[#This Row],[Decision ref]:[Decision ref]],Input_ForRateCalc[#Headers],0)),"-")</f>
        <v>8.77</v>
      </c>
      <c r="O187" s="45" cm="1">
        <f t="array" ref="O187">IFERROR(INDEX(Input_ForRateCalc[],MATCH($C187&amp;" - "&amp;O$100,Input_ForRateCalc[[Cost item]:[Cost item]],0),MATCH(Calc_TUV_Net_1[[#This Row],[Decision ref]:[Decision ref]],Input_ForRateCalc[#Headers],0)),"-")</f>
        <v>8.5400000000000009</v>
      </c>
    </row>
    <row r="188" spans="3:15" hidden="1" outlineLevel="1" x14ac:dyDescent="0.25">
      <c r="C188" s="39" t="s">
        <v>417</v>
      </c>
      <c r="D188" s="58" t="str">
        <f>INDEX(Input_DecisionActual[[Decision]:[Decision]],MATCH($D$5,Input_DecisionActual[[VDO period]:[VDO period]],0),1)</f>
        <v>VDO 2023-24 - Final</v>
      </c>
      <c r="E188" s="14" t="s">
        <v>102</v>
      </c>
      <c r="F188" s="58" t="str">
        <f>IF($D188="-","-",INDEX(Inputs!$C$17:$AZ$17,1,MATCH($D188,Inputs!$C$15:$AZ$15,0)))</f>
        <v>F-CurrentVDO_Input</v>
      </c>
      <c r="G188" s="38"/>
      <c r="H188" s="14" t="s">
        <v>184</v>
      </c>
      <c r="I188" s="14" t="s">
        <v>225</v>
      </c>
      <c r="J188" s="39" t="s">
        <v>72</v>
      </c>
      <c r="K188" s="46">
        <f>SUMIFS(TUNet_Usage_Actual_1[Value],TUNet_Usage_Actual_1[Customer type],Calc_TUV_Net_1[[#This Row],[Customer type]],TUNet_Usage_Actual_1[Description],"Usage per customer")*SUM(
IFERROR(K185/100*SUMIFS(#REF!,#REF!,Calc_TUV_Net_1[[#This Row],[Customer type]],#REF!,"Block 1"),0),
IFERROR(K186/100*SUMIFS(#REF!,#REF!,Calc_TUV_Net_1[[#This Row],[Customer type]],#REF!,"Balance"),0),
IFERROR(K187/100*SUMIFS(#REF!,#REF!,Calc_TUV_Net_1[[#This Row],[Customer type]],#REF!,"Single rate"),0))</f>
        <v>0</v>
      </c>
      <c r="L188" s="46">
        <f>SUMIFS(TUNet_Usage_Actual_1[Value],TUNet_Usage_Actual_1[Customer type],Calc_TUV_Net_1[[#This Row],[Customer type]],TUNet_Usage_Actual_1[Description],"Usage per customer")*SUM(
IFERROR(L185/100*SUMIFS(#REF!,#REF!,Calc_TUV_Net_1[[#This Row],[Customer type]],#REF!,"Block 1"),0),
IFERROR(L186/100*SUMIFS(#REF!,#REF!,Calc_TUV_Net_1[[#This Row],[Customer type]],#REF!,"Balance"),0),
IFERROR(L187/100*SUMIFS(#REF!,#REF!,Calc_TUV_Net_1[[#This Row],[Customer type]],#REF!,"Single rate"),0))</f>
        <v>0</v>
      </c>
      <c r="M188" s="46">
        <f>SUMIFS(TUNet_Usage_Actual_1[Value],TUNet_Usage_Actual_1[Customer type],Calc_TUV_Net_1[[#This Row],[Customer type]],TUNet_Usage_Actual_1[Description],"Usage per customer")*SUM(
IFERROR(M185/100*SUMIFS(#REF!,#REF!,Calc_TUV_Net_1[[#This Row],[Customer type]],#REF!,"Block 1"),0),
IFERROR(M186/100*SUMIFS(#REF!,#REF!,Calc_TUV_Net_1[[#This Row],[Customer type]],#REF!,"Balance"),0),
IFERROR(M187/100*SUMIFS(#REF!,#REF!,Calc_TUV_Net_1[[#This Row],[Customer type]],#REF!,"Single rate"),0))</f>
        <v>0</v>
      </c>
      <c r="N188" s="46">
        <f>SUMIFS(TUNet_Usage_Actual_1[Value],TUNet_Usage_Actual_1[Customer type],Calc_TUV_Net_1[[#This Row],[Customer type]],TUNet_Usage_Actual_1[Description],"Usage per customer")*SUM(
IFERROR(N185/100*SUMIFS(#REF!,#REF!,Calc_TUV_Net_1[[#This Row],[Customer type]],#REF!,"Block 1"),0),
IFERROR(N186/100*SUMIFS(#REF!,#REF!,Calc_TUV_Net_1[[#This Row],[Customer type]],#REF!,"Balance"),0),
IFERROR(N187/100*SUMIFS(#REF!,#REF!,Calc_TUV_Net_1[[#This Row],[Customer type]],#REF!,"Single rate"),0))</f>
        <v>0</v>
      </c>
      <c r="O188" s="46">
        <f>SUMIFS(TUNet_Usage_Actual_1[Value],TUNet_Usage_Actual_1[Customer type],Calc_TUV_Net_1[[#This Row],[Customer type]],TUNet_Usage_Actual_1[Description],"Usage per customer")*SUM(
IFERROR(O185/100*SUMIFS(#REF!,#REF!,Calc_TUV_Net_1[[#This Row],[Customer type]],#REF!,"Block 1"),0),
IFERROR(O186/100*SUMIFS(#REF!,#REF!,Calc_TUV_Net_1[[#This Row],[Customer type]],#REF!,"Balance"),0),
IFERROR(O187/100*SUMIFS(#REF!,#REF!,Calc_TUV_Net_1[[#This Row],[Customer type]],#REF!,"Single rate"),0))</f>
        <v>0</v>
      </c>
    </row>
    <row r="189" spans="3:15" hidden="1" outlineLevel="1" x14ac:dyDescent="0.25">
      <c r="C189" s="39" t="s">
        <v>418</v>
      </c>
      <c r="D189" s="39"/>
      <c r="E189" s="39"/>
      <c r="F189" s="39"/>
      <c r="G189" s="39"/>
      <c r="H189" s="14" t="s">
        <v>184</v>
      </c>
      <c r="I189" s="14" t="s">
        <v>71</v>
      </c>
      <c r="J189" s="39" t="s">
        <v>72</v>
      </c>
      <c r="K189" s="44" t="str">
        <f>IF(K188=0,"-",K184-K188)</f>
        <v>-</v>
      </c>
      <c r="L189" s="44" t="str">
        <f>IF(L188=0,"-",L184-L188)</f>
        <v>-</v>
      </c>
      <c r="M189" s="44" t="str">
        <f>IF(M188=0,"-",M184-M188)</f>
        <v>-</v>
      </c>
      <c r="N189" s="44" t="str">
        <f>IF(N188=0,"-",N184-N188)</f>
        <v>-</v>
      </c>
      <c r="O189" s="44" t="str">
        <f>IF(O188=0,"-",O184-O188)</f>
        <v>-</v>
      </c>
    </row>
    <row r="190" spans="3:15" hidden="1" outlineLevel="1" x14ac:dyDescent="0.25">
      <c r="C190" s="39" t="s">
        <v>420</v>
      </c>
      <c r="D190" s="58" t="str">
        <f>INDEX(Input_DecisionActual[[Decision]:[Decision]],MATCH($D$5,Input_DecisionActual[[VDO period]:[VDO period]],0),1)</f>
        <v>VDO 2023-24 - Final</v>
      </c>
      <c r="E190" s="14" t="s">
        <v>102</v>
      </c>
      <c r="F190" s="58" t="str">
        <f>IF($D190="-","-",INDEX(Inputs!$C$17:$AZ$17,1,MATCH($D190,Inputs!$C$15:$AZ$15,0)))</f>
        <v>F-CurrentVDO_Input</v>
      </c>
      <c r="G190" s="39"/>
      <c r="H190" s="14" t="s">
        <v>184</v>
      </c>
      <c r="I190" s="14" t="s">
        <v>71</v>
      </c>
      <c r="J190" s="39" t="s">
        <v>72</v>
      </c>
      <c r="K190" s="45" t="str" cm="1">
        <f t="array" ref="K190">IFERROR(SUM(K189:K189)*(INDEX(Inputs!$H$18:$U$141,MATCH("Retail operating margin",Input_ForRateCalc[[Cost item]:[Cost item]],0),MATCH(Calc_TUV_Net_1[[#This Row],[Decision ref]:[Decision ref]],Inputs!$H$17:$U$17,0))),"-")</f>
        <v>-</v>
      </c>
      <c r="L190" s="45" t="str" cm="1">
        <f t="array" ref="L190">IFERROR(SUM(L189:L189)*(INDEX(Inputs!$H$18:$U$141,MATCH("Retail operating margin",Input_ForRateCalc[[Cost item]:[Cost item]],0),MATCH(Calc_TUV_Net_1[[#This Row],[Decision ref]:[Decision ref]],Inputs!$H$17:$U$17,0))),"-")</f>
        <v>-</v>
      </c>
      <c r="M190" s="45" t="str" cm="1">
        <f t="array" ref="M190">IFERROR(SUM(M189:M189)*(INDEX(Inputs!$H$18:$U$141,MATCH("Retail operating margin",Input_ForRateCalc[[Cost item]:[Cost item]],0),MATCH(Calc_TUV_Net_1[[#This Row],[Decision ref]:[Decision ref]],Inputs!$H$17:$U$17,0))),"-")</f>
        <v>-</v>
      </c>
      <c r="N190" s="45" t="str" cm="1">
        <f t="array" ref="N190">IFERROR(SUM(N189:N189)*(INDEX(Inputs!$H$18:$U$141,MATCH("Retail operating margin",Input_ForRateCalc[[Cost item]:[Cost item]],0),MATCH(Calc_TUV_Net_1[[#This Row],[Decision ref]:[Decision ref]],Inputs!$H$17:$U$17,0))),"-")</f>
        <v>-</v>
      </c>
      <c r="O190" s="45" t="str" cm="1">
        <f t="array" ref="O190">IFERROR(SUM(O189:O189)*(INDEX(Inputs!$H$18:$U$141,MATCH("Retail operating margin",Input_ForRateCalc[[Cost item]:[Cost item]],0),MATCH(Calc_TUV_Net_1[[#This Row],[Decision ref]:[Decision ref]],Inputs!$H$17:$U$17,0))),"-")</f>
        <v>-</v>
      </c>
    </row>
    <row r="191" spans="3:15" hidden="1" outlineLevel="1" x14ac:dyDescent="0.25">
      <c r="C191" s="39" t="s">
        <v>421</v>
      </c>
      <c r="D191" s="39"/>
      <c r="E191" s="39"/>
      <c r="F191" s="39"/>
      <c r="G191" s="39"/>
      <c r="H191" s="14" t="s">
        <v>184</v>
      </c>
      <c r="I191" s="14" t="s">
        <v>71</v>
      </c>
      <c r="J191" s="39" t="s">
        <v>72</v>
      </c>
      <c r="K191" s="45" t="str">
        <f>IF(K188=0,"-",SUM(K189:K190)*GST)</f>
        <v>-</v>
      </c>
      <c r="L191" s="45" t="str">
        <f>IF(L188=0,"-",SUM(L189:L190)*GST)</f>
        <v>-</v>
      </c>
      <c r="M191" s="45" t="str">
        <f>IF(M188=0,"-",SUM(M189:M190)*GST)</f>
        <v>-</v>
      </c>
      <c r="N191" s="45" t="str">
        <f>IF(N188=0,"-",SUM(N189:N190)*GST)</f>
        <v>-</v>
      </c>
      <c r="O191" s="45" t="str">
        <f>IF(O188=0,"-",SUM(O189:O190)*GST)</f>
        <v>-</v>
      </c>
    </row>
    <row r="192" spans="3:15" hidden="1" outlineLevel="1" x14ac:dyDescent="0.25">
      <c r="C192" s="14" t="s">
        <v>462</v>
      </c>
      <c r="D192" s="39"/>
      <c r="E192" s="39"/>
      <c r="F192" s="39"/>
      <c r="H192" s="14" t="s">
        <v>184</v>
      </c>
      <c r="I192" s="14" t="s">
        <v>71</v>
      </c>
      <c r="J192" s="39" t="s">
        <v>72</v>
      </c>
      <c r="K192" s="45" t="str">
        <f>IF(K188=0,"-",SUM(K189:K191))</f>
        <v>-</v>
      </c>
      <c r="L192" s="45" t="str">
        <f>IF(L188=0,"-",SUM(L189:L191))</f>
        <v>-</v>
      </c>
      <c r="M192" s="45" t="str">
        <f>IF(M188=0,"-",SUM(M189:M191))</f>
        <v>-</v>
      </c>
      <c r="N192" s="45" t="str">
        <f>IF(N188=0,"-",SUM(N189:N191))</f>
        <v>-</v>
      </c>
      <c r="O192" s="45" t="str">
        <f>IF(O188=0,"-",SUM(O189:O191))</f>
        <v>-</v>
      </c>
    </row>
    <row r="193" spans="3:15" hidden="1" outlineLevel="1" x14ac:dyDescent="0.25">
      <c r="C193" s="39"/>
      <c r="D193" s="39"/>
      <c r="E193" s="39"/>
      <c r="F193" s="39"/>
      <c r="G193" s="39"/>
      <c r="H193" s="14"/>
      <c r="I193" s="14"/>
      <c r="J193" s="39"/>
      <c r="K193" s="45"/>
      <c r="L193" s="45"/>
      <c r="M193" s="45"/>
      <c r="N193" s="45"/>
      <c r="O193" s="45"/>
    </row>
    <row r="194" spans="3:15" ht="15.75" hidden="1" outlineLevel="1" x14ac:dyDescent="0.25">
      <c r="C194" s="1" t="s">
        <v>319</v>
      </c>
      <c r="D194" s="39"/>
      <c r="E194" s="39"/>
      <c r="F194" s="39"/>
      <c r="G194" s="28" t="str">
        <f>INDEX(Input_TU_YesNo[],MATCH(Calc_TUV_Net_1[[#This Row],[Cost item]],Input_TU_YesNo[Component],0),MATCH($D$5,Inputs!$C$210:$BM$210,0))</f>
        <v>No</v>
      </c>
      <c r="H194" s="39"/>
      <c r="I194" s="14"/>
      <c r="J194" s="14"/>
      <c r="K194" s="44"/>
      <c r="L194" s="14"/>
      <c r="M194" s="14"/>
      <c r="N194" s="14"/>
      <c r="O194" s="14"/>
    </row>
    <row r="195" spans="3:15" hidden="1" outlineLevel="1" x14ac:dyDescent="0.25">
      <c r="C195" s="37" t="s">
        <v>463</v>
      </c>
      <c r="D195" s="37"/>
      <c r="E195" s="37"/>
      <c r="F195" s="37"/>
      <c r="G195" s="47"/>
      <c r="H195" s="47"/>
      <c r="I195" s="14"/>
      <c r="J195" s="14"/>
      <c r="K195" s="44"/>
      <c r="L195" s="14"/>
      <c r="M195" s="14"/>
      <c r="N195" s="14"/>
      <c r="O195" s="14"/>
    </row>
    <row r="196" spans="3:15" hidden="1" outlineLevel="1" x14ac:dyDescent="0.25">
      <c r="C196" s="39" t="s">
        <v>464</v>
      </c>
      <c r="D196" s="58" t="str">
        <f>$D$5</f>
        <v>VDO 2024-25 - Final</v>
      </c>
      <c r="E196" s="14" t="s">
        <v>322</v>
      </c>
      <c r="F196" s="58" t="str">
        <f>INDEX(Inputs!$C$17:$AZ$17,1,MATCH($D196,Inputs!$C$15:$AZ$15,0))</f>
        <v>F-NextVDO_Input</v>
      </c>
      <c r="G196" s="38"/>
      <c r="H196" s="14" t="s">
        <v>138</v>
      </c>
      <c r="I196" s="14" t="s">
        <v>71</v>
      </c>
      <c r="J196" s="39" t="s">
        <v>73</v>
      </c>
      <c r="K196" s="45" cm="1">
        <f t="array" ref="K196">IFERROR(INDEX(Input_ForRateCalc[],MATCH($C196&amp;" - "&amp;K$100,Input_ForRateCalc[[Cost item]:[Cost item]],0),MATCH(Calc_TUV_Net_1[[#This Row],[Decision ref]:[Decision ref]],Input_ForRateCalc[#Headers],0)),"-")*TUProp_Days_1</f>
        <v>0</v>
      </c>
      <c r="L196" s="45" cm="1">
        <f t="array" ref="L196">IFERROR(INDEX(Input_ForRateCalc[],MATCH($C196&amp;" - "&amp;L$100,Input_ForRateCalc[[Cost item]:[Cost item]],0),MATCH(Calc_TUV_Net_1[[#This Row],[Decision ref]:[Decision ref]],Input_ForRateCalc[#Headers],0)),"-")*TUProp_Days_1</f>
        <v>0</v>
      </c>
      <c r="M196" s="45" cm="1">
        <f t="array" ref="M196">IFERROR(INDEX(Input_ForRateCalc[],MATCH($C196&amp;" - "&amp;M$100,Input_ForRateCalc[[Cost item]:[Cost item]],0),MATCH(Calc_TUV_Net_1[[#This Row],[Decision ref]:[Decision ref]],Input_ForRateCalc[#Headers],0)),"-")*TUProp_Days_1</f>
        <v>0</v>
      </c>
      <c r="N196" s="45" cm="1">
        <f t="array" ref="N196">IFERROR(INDEX(Input_ForRateCalc[],MATCH($C196&amp;" - "&amp;N$100,Input_ForRateCalc[[Cost item]:[Cost item]],0),MATCH(Calc_TUV_Net_1[[#This Row],[Decision ref]:[Decision ref]],Input_ForRateCalc[#Headers],0)),"-")*TUProp_Days_1</f>
        <v>0</v>
      </c>
      <c r="O196" s="45" cm="1">
        <f t="array" ref="O196">IFERROR(INDEX(Input_ForRateCalc[],MATCH($C196&amp;" - "&amp;O$100,Input_ForRateCalc[[Cost item]:[Cost item]],0),MATCH(Calc_TUV_Net_1[[#This Row],[Decision ref]:[Decision ref]],Input_ForRateCalc[#Headers],0)),"-")*TUProp_Days_1</f>
        <v>0</v>
      </c>
    </row>
    <row r="197" spans="3:15" hidden="1" outlineLevel="1" x14ac:dyDescent="0.25">
      <c r="C197" s="39" t="s">
        <v>363</v>
      </c>
      <c r="D197" s="58" t="str">
        <f>$D$5</f>
        <v>VDO 2024-25 - Final</v>
      </c>
      <c r="E197" s="14" t="s">
        <v>322</v>
      </c>
      <c r="F197" s="58" t="str">
        <f>INDEX(Inputs!$C$17:$AZ$17,1,MATCH($D197,Inputs!$C$15:$AZ$15,0))</f>
        <v>F-NextVDO_Input</v>
      </c>
      <c r="G197" s="38"/>
      <c r="H197" s="14" t="s">
        <v>138</v>
      </c>
      <c r="I197" s="14" t="s">
        <v>71</v>
      </c>
      <c r="J197" s="39" t="s">
        <v>73</v>
      </c>
      <c r="K197" s="45" cm="1">
        <f t="array" ref="K197">IFERROR(INDEX(Input_ForRateCalc[],MATCH($C197&amp;" - "&amp;K$100,Input_ForRateCalc[[Cost item]:[Cost item]],0),MATCH(Calc_TUV_Net_1[[#This Row],[Decision ref]:[Decision ref]],Input_ForRateCalc[#Headers],0)),"-")*TUProp_Days_1</f>
        <v>0</v>
      </c>
      <c r="L197" s="45" cm="1">
        <f t="array" ref="L197">IFERROR(INDEX(Input_ForRateCalc[],MATCH($C197&amp;" - "&amp;L$100,Input_ForRateCalc[[Cost item]:[Cost item]],0),MATCH(Calc_TUV_Net_1[[#This Row],[Decision ref]:[Decision ref]],Input_ForRateCalc[#Headers],0)),"-")*TUProp_Days_1</f>
        <v>0</v>
      </c>
      <c r="M197" s="45" cm="1">
        <f t="array" ref="M197">IFERROR(INDEX(Input_ForRateCalc[],MATCH($C197&amp;" - "&amp;M$100,Input_ForRateCalc[[Cost item]:[Cost item]],0),MATCH(Calc_TUV_Net_1[[#This Row],[Decision ref]:[Decision ref]],Input_ForRateCalc[#Headers],0)),"-")*TUProp_Days_1</f>
        <v>0</v>
      </c>
      <c r="N197" s="45" cm="1">
        <f t="array" ref="N197">IFERROR(INDEX(Input_ForRateCalc[],MATCH($C197&amp;" - "&amp;N$100,Input_ForRateCalc[[Cost item]:[Cost item]],0),MATCH(Calc_TUV_Net_1[[#This Row],[Decision ref]:[Decision ref]],Input_ForRateCalc[#Headers],0)),"-")*TUProp_Days_1</f>
        <v>0</v>
      </c>
      <c r="O197" s="45" cm="1">
        <f t="array" ref="O197">IFERROR(INDEX(Input_ForRateCalc[],MATCH($C197&amp;" - "&amp;O$100,Input_ForRateCalc[[Cost item]:[Cost item]],0),MATCH(Calc_TUV_Net_1[[#This Row],[Decision ref]:[Decision ref]],Input_ForRateCalc[#Headers],0)),"-")*TUProp_Days_1</f>
        <v>0</v>
      </c>
    </row>
    <row r="198" spans="3:15" hidden="1" outlineLevel="1" x14ac:dyDescent="0.25">
      <c r="C198" s="39" t="s">
        <v>417</v>
      </c>
      <c r="D198" s="58" t="str">
        <f>$D$5</f>
        <v>VDO 2024-25 - Final</v>
      </c>
      <c r="E198" s="14" t="s">
        <v>322</v>
      </c>
      <c r="F198" s="58" t="str">
        <f>INDEX(Inputs!$C$17:$AZ$17,1,MATCH($D198,Inputs!$C$15:$AZ$15,0))</f>
        <v>F-NextVDO_Input</v>
      </c>
      <c r="G198" s="38"/>
      <c r="H198" s="14" t="s">
        <v>138</v>
      </c>
      <c r="I198" s="14" t="s">
        <v>71</v>
      </c>
      <c r="J198" s="39" t="s">
        <v>73</v>
      </c>
      <c r="K198" s="43">
        <f>IFERROR(SUM(K196:K197),"-")</f>
        <v>0</v>
      </c>
      <c r="L198" s="43">
        <f>IFERROR(SUM(L196:L197),"-")</f>
        <v>0</v>
      </c>
      <c r="M198" s="43">
        <f>IFERROR(SUM(M196:M197),"-")</f>
        <v>0</v>
      </c>
      <c r="N198" s="43">
        <f>IFERROR(SUM(N196:N197),"-")</f>
        <v>0</v>
      </c>
      <c r="O198" s="43">
        <f>IFERROR(SUM(O196:O197),"-")</f>
        <v>0</v>
      </c>
    </row>
    <row r="199" spans="3:15" hidden="1" outlineLevel="1" x14ac:dyDescent="0.25">
      <c r="C199" s="39" t="s">
        <v>451</v>
      </c>
      <c r="D199" s="58" t="str">
        <f>INDEX(Input_DecisionActual[[Decision]:[Decision]],MATCH($D$5,Input_DecisionActual[[VDO period]:[VDO period]],0),1)</f>
        <v>VDO 2023-24 - Final</v>
      </c>
      <c r="E199" s="14" t="s">
        <v>102</v>
      </c>
      <c r="F199" s="58" t="str">
        <f>IF($D199="-","-",INDEX(Inputs!$C$17:$AZ$17,1,MATCH($D199,Inputs!$C$15:$AZ$15,0)))</f>
        <v>F-CurrentVDO_Input</v>
      </c>
      <c r="G199" s="38"/>
      <c r="H199" s="14" t="s">
        <v>138</v>
      </c>
      <c r="I199" s="14" t="s">
        <v>71</v>
      </c>
      <c r="J199" s="39" t="s">
        <v>73</v>
      </c>
      <c r="K199" s="45" cm="1">
        <f t="array" ref="K199">IFERROR(INDEX(Input_ForRateCalc[],MATCH($C199&amp;" - "&amp;K$100,Input_ForRateCalc[[Cost item]:[Cost item]],0),MATCH(Calc_TUV_Net_1[[#This Row],[Decision ref]:[Decision ref]],Input_ForRateCalc[#Headers],0)),"-")*TUProp_Days_1</f>
        <v>0</v>
      </c>
      <c r="L199" s="45" cm="1">
        <f t="array" ref="L199">IFERROR(INDEX(Input_ForRateCalc[],MATCH($C199&amp;" - "&amp;L$100,Input_ForRateCalc[[Cost item]:[Cost item]],0),MATCH(Calc_TUV_Net_1[[#This Row],[Decision ref]:[Decision ref]],Input_ForRateCalc[#Headers],0)),"-")*TUProp_Days_1</f>
        <v>0</v>
      </c>
      <c r="M199" s="45" cm="1">
        <f t="array" ref="M199">IFERROR(INDEX(Input_ForRateCalc[],MATCH($C199&amp;" - "&amp;M$100,Input_ForRateCalc[[Cost item]:[Cost item]],0),MATCH(Calc_TUV_Net_1[[#This Row],[Decision ref]:[Decision ref]],Input_ForRateCalc[#Headers],0)),"-")*TUProp_Days_1</f>
        <v>0</v>
      </c>
      <c r="N199" s="45" cm="1">
        <f t="array" ref="N199">IFERROR(INDEX(Input_ForRateCalc[],MATCH($C199&amp;" - "&amp;N$100,Input_ForRateCalc[[Cost item]:[Cost item]],0),MATCH(Calc_TUV_Net_1[[#This Row],[Decision ref]:[Decision ref]],Input_ForRateCalc[#Headers],0)),"-")*TUProp_Days_1</f>
        <v>0</v>
      </c>
      <c r="O199" s="45" cm="1">
        <f t="array" ref="O199">IFERROR(INDEX(Input_ForRateCalc[],MATCH($C199&amp;" - "&amp;O$100,Input_ForRateCalc[[Cost item]:[Cost item]],0),MATCH(Calc_TUV_Net_1[[#This Row],[Decision ref]:[Decision ref]],Input_ForRateCalc[#Headers],0)),"-")*TUProp_Days_1</f>
        <v>0</v>
      </c>
    </row>
    <row r="200" spans="3:15" hidden="1" outlineLevel="1" x14ac:dyDescent="0.25">
      <c r="C200" s="39" t="s">
        <v>363</v>
      </c>
      <c r="D200" s="58" t="str">
        <f>INDEX(Input_DecisionActual[[Decision]:[Decision]],MATCH($D$5,Input_DecisionActual[[VDO period]:[VDO period]],0),1)</f>
        <v>VDO 2023-24 - Final</v>
      </c>
      <c r="E200" s="14" t="s">
        <v>102</v>
      </c>
      <c r="F200" s="58" t="str">
        <f>IF($D200="-","-",INDEX(Inputs!$C$17:$AZ$17,1,MATCH($D200,Inputs!$C$15:$AZ$15,0)))</f>
        <v>F-CurrentVDO_Input</v>
      </c>
      <c r="G200" s="38"/>
      <c r="H200" s="14" t="s">
        <v>138</v>
      </c>
      <c r="I200" s="14" t="s">
        <v>71</v>
      </c>
      <c r="J200" s="39" t="s">
        <v>73</v>
      </c>
      <c r="K200" s="45" cm="1">
        <f t="array" ref="K200">IFERROR(INDEX(Input_ForRateCalc[],MATCH($C200&amp;" - "&amp;K$100,Input_ForRateCalc[[Cost item]:[Cost item]],0),MATCH(Calc_TUV_Net_1[[#This Row],[Decision ref]:[Decision ref]],Input_ForRateCalc[#Headers],0)),"-")*TUProp_Days_1</f>
        <v>0</v>
      </c>
      <c r="L200" s="45" cm="1">
        <f t="array" ref="L200">IFERROR(INDEX(Input_ForRateCalc[],MATCH($C200&amp;" - "&amp;L$100,Input_ForRateCalc[[Cost item]:[Cost item]],0),MATCH(Calc_TUV_Net_1[[#This Row],[Decision ref]:[Decision ref]],Input_ForRateCalc[#Headers],0)),"-")*TUProp_Days_1</f>
        <v>0</v>
      </c>
      <c r="M200" s="45" cm="1">
        <f t="array" ref="M200">IFERROR(INDEX(Input_ForRateCalc[],MATCH($C200&amp;" - "&amp;M$100,Input_ForRateCalc[[Cost item]:[Cost item]],0),MATCH(Calc_TUV_Net_1[[#This Row],[Decision ref]:[Decision ref]],Input_ForRateCalc[#Headers],0)),"-")*TUProp_Days_1</f>
        <v>0</v>
      </c>
      <c r="N200" s="45" cm="1">
        <f t="array" ref="N200">IFERROR(INDEX(Input_ForRateCalc[],MATCH($C200&amp;" - "&amp;N$100,Input_ForRateCalc[[Cost item]:[Cost item]],0),MATCH(Calc_TUV_Net_1[[#This Row],[Decision ref]:[Decision ref]],Input_ForRateCalc[#Headers],0)),"-")*TUProp_Days_1</f>
        <v>0</v>
      </c>
      <c r="O200" s="45" cm="1">
        <f t="array" ref="O200">IFERROR(INDEX(Input_ForRateCalc[],MATCH($C200&amp;" - "&amp;O$100,Input_ForRateCalc[[Cost item]:[Cost item]],0),MATCH(Calc_TUV_Net_1[[#This Row],[Decision ref]:[Decision ref]],Input_ForRateCalc[#Headers],0)),"-")*TUProp_Days_1</f>
        <v>0</v>
      </c>
    </row>
    <row r="201" spans="3:15" hidden="1" outlineLevel="1" x14ac:dyDescent="0.25">
      <c r="C201" s="39" t="s">
        <v>417</v>
      </c>
      <c r="D201" s="58" t="str">
        <f>INDEX(Input_DecisionActual[[Decision]:[Decision]],MATCH($D$5,Input_DecisionActual[[VDO period]:[VDO period]],0),1)</f>
        <v>VDO 2023-24 - Final</v>
      </c>
      <c r="E201" s="14" t="s">
        <v>102</v>
      </c>
      <c r="F201" s="58" t="str">
        <f>IF($D201="-","-",INDEX(Inputs!$C$17:$AZ$17,1,MATCH($D201,Inputs!$C$15:$AZ$15,0)))</f>
        <v>F-CurrentVDO_Input</v>
      </c>
      <c r="G201" s="38"/>
      <c r="H201" s="14" t="s">
        <v>138</v>
      </c>
      <c r="I201" s="14" t="s">
        <v>71</v>
      </c>
      <c r="J201" s="39" t="s">
        <v>73</v>
      </c>
      <c r="K201" s="44">
        <f>SUM(K199:K200)</f>
        <v>0</v>
      </c>
      <c r="L201" s="44">
        <f>SUM(L199:L200)</f>
        <v>0</v>
      </c>
      <c r="M201" s="44">
        <f>SUM(M199:M200)</f>
        <v>0</v>
      </c>
      <c r="N201" s="44">
        <f>SUM(N199:N200)</f>
        <v>0</v>
      </c>
      <c r="O201" s="44">
        <f>SUM(O199:O200)</f>
        <v>0</v>
      </c>
    </row>
    <row r="202" spans="3:15" hidden="1" outlineLevel="1" x14ac:dyDescent="0.25">
      <c r="C202" s="39" t="s">
        <v>418</v>
      </c>
      <c r="D202" s="14"/>
      <c r="E202" s="14"/>
      <c r="F202" s="14"/>
      <c r="G202" s="39"/>
      <c r="H202" s="14" t="s">
        <v>138</v>
      </c>
      <c r="I202" s="14" t="s">
        <v>71</v>
      </c>
      <c r="J202" s="39" t="s">
        <v>73</v>
      </c>
      <c r="K202" s="44" t="str">
        <f>IF(K201=0,"-",K198-K201)</f>
        <v>-</v>
      </c>
      <c r="L202" s="44" t="str">
        <f>IF(L201=0,"-",L198-L201)</f>
        <v>-</v>
      </c>
      <c r="M202" s="44" t="str">
        <f>IF(M201=0,"-",M198-M201)</f>
        <v>-</v>
      </c>
      <c r="N202" s="44" t="str">
        <f>IF(N201=0,"-",N198-N201)</f>
        <v>-</v>
      </c>
      <c r="O202" s="44" t="str">
        <f>IF(O201=0,"-",O198-O201)</f>
        <v>-</v>
      </c>
    </row>
    <row r="203" spans="3:15" hidden="1" outlineLevel="1" x14ac:dyDescent="0.25">
      <c r="C203" s="39" t="s">
        <v>420</v>
      </c>
      <c r="D203" s="58" t="str">
        <f>INDEX(Input_DecisionActual[[Decision]:[Decision]],MATCH($D$5,Input_DecisionActual[[VDO period]:[VDO period]],0),1)</f>
        <v>VDO 2023-24 - Final</v>
      </c>
      <c r="E203" s="14" t="s">
        <v>102</v>
      </c>
      <c r="F203" s="58" t="str">
        <f>IF($D203="-","-",INDEX(Inputs!$C$17:$AZ$17,1,MATCH($D203,Inputs!$C$15:$AZ$15,0)))</f>
        <v>F-CurrentVDO_Input</v>
      </c>
      <c r="G203" s="39"/>
      <c r="H203" s="14" t="s">
        <v>138</v>
      </c>
      <c r="I203" s="14" t="s">
        <v>71</v>
      </c>
      <c r="J203" s="39" t="s">
        <v>73</v>
      </c>
      <c r="K203" s="45" t="str" cm="1">
        <f t="array" ref="K203">IFERROR(SUM(K202:K202)*(INDEX(Inputs!$H$18:$U$141,MATCH("Retail operating margin",Input_ForRateCalc[[Cost item]:[Cost item]],0),MATCH(Calc_TUV_Net_1[[#This Row],[Decision ref]:[Decision ref]],Inputs!$H$17:$U$17,0))),"-")</f>
        <v>-</v>
      </c>
      <c r="L203" s="45" t="str" cm="1">
        <f t="array" ref="L203">IFERROR(SUM(L202:L202)*(INDEX(Inputs!$H$18:$U$141,MATCH("Retail operating margin",Input_ForRateCalc[[Cost item]:[Cost item]],0),MATCH(Calc_TUV_Net_1[[#This Row],[Decision ref]:[Decision ref]],Inputs!$H$17:$U$17,0))),"-")</f>
        <v>-</v>
      </c>
      <c r="M203" s="45" t="str" cm="1">
        <f t="array" ref="M203">IFERROR(SUM(M202:M202)*(INDEX(Inputs!$H$18:$U$141,MATCH("Retail operating margin",Input_ForRateCalc[[Cost item]:[Cost item]],0),MATCH(Calc_TUV_Net_1[[#This Row],[Decision ref]:[Decision ref]],Inputs!$H$17:$U$17,0))),"-")</f>
        <v>-</v>
      </c>
      <c r="N203" s="45" t="str" cm="1">
        <f t="array" ref="N203">IFERROR(SUM(N202:N202)*(INDEX(Inputs!$H$18:$U$141,MATCH("Retail operating margin",Input_ForRateCalc[[Cost item]:[Cost item]],0),MATCH(Calc_TUV_Net_1[[#This Row],[Decision ref]:[Decision ref]],Inputs!$H$17:$U$17,0))),"-")</f>
        <v>-</v>
      </c>
      <c r="O203" s="45" t="str" cm="1">
        <f t="array" ref="O203">IFERROR(SUM(O202:O202)*(INDEX(Inputs!$H$18:$U$141,MATCH("Retail operating margin",Input_ForRateCalc[[Cost item]:[Cost item]],0),MATCH(Calc_TUV_Net_1[[#This Row],[Decision ref]:[Decision ref]],Inputs!$H$17:$U$17,0))),"-")</f>
        <v>-</v>
      </c>
    </row>
    <row r="204" spans="3:15" hidden="1" outlineLevel="1" x14ac:dyDescent="0.25">
      <c r="C204" s="39" t="s">
        <v>421</v>
      </c>
      <c r="D204" s="14"/>
      <c r="E204" s="14"/>
      <c r="F204" s="14"/>
      <c r="G204" s="39"/>
      <c r="H204" s="14" t="s">
        <v>138</v>
      </c>
      <c r="I204" s="14" t="s">
        <v>71</v>
      </c>
      <c r="J204" s="39" t="s">
        <v>73</v>
      </c>
      <c r="K204" s="45" t="str">
        <f>IF(K201=0,"-",SUM(K202:K203)*GST)</f>
        <v>-</v>
      </c>
      <c r="L204" s="45" t="str">
        <f>IF(L201=0,"-",SUM(L202:L203)*GST)</f>
        <v>-</v>
      </c>
      <c r="M204" s="45" t="str">
        <f>IF(M201=0,"-",SUM(M202:M203)*GST)</f>
        <v>-</v>
      </c>
      <c r="N204" s="45" t="str">
        <f>IF(N201=0,"-",SUM(N202:N203)*GST)</f>
        <v>-</v>
      </c>
      <c r="O204" s="45" t="str">
        <f>IF(O201=0,"-",SUM(O202:O203)*GST)</f>
        <v>-</v>
      </c>
    </row>
    <row r="205" spans="3:15" hidden="1" outlineLevel="1" x14ac:dyDescent="0.25">
      <c r="C205" s="14" t="s">
        <v>458</v>
      </c>
      <c r="D205" s="14"/>
      <c r="E205" s="14"/>
      <c r="F205" s="14"/>
      <c r="G205" s="39"/>
      <c r="H205" s="14" t="s">
        <v>138</v>
      </c>
      <c r="I205" s="14" t="s">
        <v>71</v>
      </c>
      <c r="J205" s="39" t="s">
        <v>73</v>
      </c>
      <c r="K205" s="45" t="str">
        <f>IF(K201=0,"-",SUM(K202:K204))</f>
        <v>-</v>
      </c>
      <c r="L205" s="45" t="str">
        <f>IF(L201=0,"-",SUM(L202:L204))</f>
        <v>-</v>
      </c>
      <c r="M205" s="45" t="str">
        <f>IF(M201=0,"-",SUM(M202:M204))</f>
        <v>-</v>
      </c>
      <c r="N205" s="45" t="str">
        <f>IF(N201=0,"-",SUM(N202:N204))</f>
        <v>-</v>
      </c>
      <c r="O205" s="45" t="str">
        <f>IF(O201=0,"-",SUM(O202:O204))</f>
        <v>-</v>
      </c>
    </row>
    <row r="206" spans="3:15" hidden="1" outlineLevel="1" x14ac:dyDescent="0.25">
      <c r="C206" s="39"/>
      <c r="D206" s="39"/>
      <c r="E206" s="39"/>
      <c r="F206" s="39"/>
      <c r="H206" s="39"/>
      <c r="I206" s="14"/>
      <c r="J206" s="14"/>
      <c r="K206" s="87"/>
      <c r="L206" s="87"/>
      <c r="M206" s="87"/>
      <c r="N206" s="87"/>
      <c r="O206" s="87"/>
    </row>
    <row r="207" spans="3:15" hidden="1" outlineLevel="1" x14ac:dyDescent="0.25">
      <c r="C207" s="37" t="s">
        <v>465</v>
      </c>
      <c r="D207" s="39"/>
      <c r="E207" s="39"/>
      <c r="F207" s="39"/>
      <c r="G207" s="47"/>
      <c r="H207" s="39"/>
      <c r="I207" s="14"/>
      <c r="J207" s="14"/>
      <c r="K207" s="87"/>
      <c r="L207" s="87"/>
      <c r="M207" s="87"/>
      <c r="N207" s="87"/>
      <c r="O207" s="87"/>
    </row>
    <row r="208" spans="3:15" hidden="1" outlineLevel="1" x14ac:dyDescent="0.25">
      <c r="C208" s="39" t="s">
        <v>466</v>
      </c>
      <c r="D208" s="58" t="str">
        <f>$D$5</f>
        <v>VDO 2024-25 - Final</v>
      </c>
      <c r="E208" s="14" t="s">
        <v>322</v>
      </c>
      <c r="F208" s="58" t="str">
        <f>INDEX(Inputs!$C$17:$AZ$17,1,MATCH($D208,Inputs!$C$15:$AZ$15,0))</f>
        <v>F-NextVDO_Input</v>
      </c>
      <c r="G208" s="39"/>
      <c r="H208" s="14" t="s">
        <v>184</v>
      </c>
      <c r="I208" s="14" t="s">
        <v>225</v>
      </c>
      <c r="J208" s="39" t="s">
        <v>73</v>
      </c>
      <c r="K208" s="45" cm="1">
        <f t="array" ref="K208">IFERROR(INDEX(Input_ForRateCalc[],MATCH($C208&amp;" - "&amp;K$100,Input_ForRateCalc[[Cost item]:[Cost item]],0),MATCH(Calc_TUV_Net_1[[#This Row],[Decision ref]:[Decision ref]],Input_ForRateCalc[#Headers],0)),"-")</f>
        <v>20.308918974741299</v>
      </c>
      <c r="L208" s="45" cm="1">
        <f t="array" ref="L208">IFERROR(INDEX(Input_ForRateCalc[],MATCH($C208&amp;" - "&amp;L$100,Input_ForRateCalc[[Cost item]:[Cost item]],0),MATCH(Calc_TUV_Net_1[[#This Row],[Decision ref]:[Decision ref]],Input_ForRateCalc[#Headers],0)),"-")</f>
        <v>14.25</v>
      </c>
      <c r="M208" s="45" cm="1">
        <f t="array" ref="M208">IFERROR(INDEX(Input_ForRateCalc[],MATCH($C208&amp;" - "&amp;M$100,Input_ForRateCalc[[Cost item]:[Cost item]],0),MATCH(Calc_TUV_Net_1[[#This Row],[Decision ref]:[Decision ref]],Input_ForRateCalc[#Headers],0)),"-")</f>
        <v>17.986000000000001</v>
      </c>
      <c r="N208" s="45" cm="1">
        <f t="array" ref="N208">IFERROR(INDEX(Input_ForRateCalc[],MATCH($C208&amp;" - "&amp;N$100,Input_ForRateCalc[[Cost item]:[Cost item]],0),MATCH(Calc_TUV_Net_1[[#This Row],[Decision ref]:[Decision ref]],Input_ForRateCalc[#Headers],0)),"-")</f>
        <v>18.73</v>
      </c>
      <c r="O208" s="45" cm="1">
        <f t="array" ref="O208">IFERROR(INDEX(Input_ForRateCalc[],MATCH($C208&amp;" - "&amp;O$100,Input_ForRateCalc[[Cost item]:[Cost item]],0),MATCH(Calc_TUV_Net_1[[#This Row],[Decision ref]:[Decision ref]],Input_ForRateCalc[#Headers],0)),"-")</f>
        <v>16.41</v>
      </c>
    </row>
    <row r="209" spans="3:15" hidden="1" outlineLevel="1" x14ac:dyDescent="0.25">
      <c r="C209" s="39" t="s">
        <v>467</v>
      </c>
      <c r="D209" s="58" t="str">
        <f>$D$5</f>
        <v>VDO 2024-25 - Final</v>
      </c>
      <c r="E209" s="14" t="s">
        <v>322</v>
      </c>
      <c r="F209" s="58" t="str">
        <f>INDEX(Inputs!$C$17:$AZ$17,1,MATCH($D209,Inputs!$C$15:$AZ$15,0))</f>
        <v>F-NextVDO_Input</v>
      </c>
      <c r="G209" s="47"/>
      <c r="H209" s="14" t="s">
        <v>184</v>
      </c>
      <c r="I209" s="14" t="s">
        <v>225</v>
      </c>
      <c r="J209" s="39" t="s">
        <v>73</v>
      </c>
      <c r="K209" s="45" cm="1">
        <f t="array" ref="K209">IFERROR(INDEX(Input_ForRateCalc[],MATCH($C209&amp;" - "&amp;K$100,Input_ForRateCalc[[Cost item]:[Cost item]],0),MATCH(Calc_TUV_Net_1[[#This Row],[Decision ref]:[Decision ref]],Input_ForRateCalc[#Headers],0)),"-")</f>
        <v>4.815168339090425</v>
      </c>
      <c r="L209" s="45" cm="1">
        <f t="array" ref="L209">IFERROR(INDEX(Input_ForRateCalc[],MATCH($C209&amp;" - "&amp;L$100,Input_ForRateCalc[[Cost item]:[Cost item]],0),MATCH(Calc_TUV_Net_1[[#This Row],[Decision ref]:[Decision ref]],Input_ForRateCalc[#Headers],0)),"-")</f>
        <v>3.1599999999999997</v>
      </c>
      <c r="M209" s="45" cm="1">
        <f t="array" ref="M209">IFERROR(INDEX(Input_ForRateCalc[],MATCH($C209&amp;" - "&amp;M$100,Input_ForRateCalc[[Cost item]:[Cost item]],0),MATCH(Calc_TUV_Net_1[[#This Row],[Decision ref]:[Decision ref]],Input_ForRateCalc[#Headers],0)),"-")</f>
        <v>3.8610000000000002</v>
      </c>
      <c r="N209" s="45" cm="1">
        <f t="array" ref="N209">IFERROR(INDEX(Input_ForRateCalc[],MATCH($C209&amp;" - "&amp;N$100,Input_ForRateCalc[[Cost item]:[Cost item]],0),MATCH(Calc_TUV_Net_1[[#This Row],[Decision ref]:[Decision ref]],Input_ForRateCalc[#Headers],0)),"-")</f>
        <v>4.16</v>
      </c>
      <c r="O209" s="45" cm="1">
        <f t="array" ref="O209">IFERROR(INDEX(Input_ForRateCalc[],MATCH($C209&amp;" - "&amp;O$100,Input_ForRateCalc[[Cost item]:[Cost item]],0),MATCH(Calc_TUV_Net_1[[#This Row],[Decision ref]:[Decision ref]],Input_ForRateCalc[#Headers],0)),"-")</f>
        <v>3.64</v>
      </c>
    </row>
    <row r="210" spans="3:15" hidden="1" outlineLevel="1" x14ac:dyDescent="0.25">
      <c r="C210" s="39" t="s">
        <v>417</v>
      </c>
      <c r="D210" s="58" t="str">
        <f>$D$5</f>
        <v>VDO 2024-25 - Final</v>
      </c>
      <c r="E210" s="14" t="s">
        <v>322</v>
      </c>
      <c r="F210" s="58" t="str">
        <f>INDEX(Inputs!$C$17:$AZ$17,1,MATCH($D210,Inputs!$C$15:$AZ$15,0))</f>
        <v>F-NextVDO_Input</v>
      </c>
      <c r="G210" s="38"/>
      <c r="H210" s="14" t="s">
        <v>184</v>
      </c>
      <c r="I210" s="14" t="s">
        <v>225</v>
      </c>
      <c r="J210" s="39" t="s">
        <v>73</v>
      </c>
      <c r="K210" s="46">
        <f>SUMIFS(TUNet_Usage_Actual_1[Value],TUNet_Usage_Actual_1[Customer type],Calc_TUV_Net_1[[#This Row],[Customer type]],TUNet_Usage_Actual_1[Description],"Usage per customer")*SUM(
IFERROR(K208/100*SUMIFS(#REF!,#REF!,Calc_TUV_Net_1[[#This Row],[Customer type]],#REF!,"Peak"),0),
IFERROR(K209/100*SUMIFS(#REF!,#REF!,Calc_TUV_Net_1[[#This Row],[Customer type]],#REF!,"Off peak"),0))</f>
        <v>0</v>
      </c>
      <c r="L210" s="46">
        <f>SUMIFS(TUNet_Usage_Actual_1[Value],TUNet_Usage_Actual_1[Customer type],Calc_TUV_Net_1[[#This Row],[Customer type]],TUNet_Usage_Actual_1[Description],"Usage per customer")*SUM(
IFERROR(L208/100*SUMIFS(#REF!,#REF!,Calc_TUV_Net_1[[#This Row],[Customer type]],#REF!,"Peak"),0),
IFERROR(L209/100*SUMIFS(#REF!,#REF!,Calc_TUV_Net_1[[#This Row],[Customer type]],#REF!,"Off peak"),0))</f>
        <v>0</v>
      </c>
      <c r="M210" s="46">
        <f>SUMIFS(TUNet_Usage_Actual_1[Value],TUNet_Usage_Actual_1[Customer type],Calc_TUV_Net_1[[#This Row],[Customer type]],TUNet_Usage_Actual_1[Description],"Usage per customer")*SUM(
IFERROR(M208/100*SUMIFS(#REF!,#REF!,Calc_TUV_Net_1[[#This Row],[Customer type]],#REF!,"Peak"),0),
IFERROR(M209/100*SUMIFS(#REF!,#REF!,Calc_TUV_Net_1[[#This Row],[Customer type]],#REF!,"Off peak"),0))</f>
        <v>0</v>
      </c>
      <c r="N210" s="46">
        <f>SUMIFS(TUNet_Usage_Actual_1[Value],TUNet_Usage_Actual_1[Customer type],Calc_TUV_Net_1[[#This Row],[Customer type]],TUNet_Usage_Actual_1[Description],"Usage per customer")*SUM(
IFERROR(N208/100*SUMIFS(#REF!,#REF!,Calc_TUV_Net_1[[#This Row],[Customer type]],#REF!,"Peak"),0),
IFERROR(N209/100*SUMIFS(#REF!,#REF!,Calc_TUV_Net_1[[#This Row],[Customer type]],#REF!,"Off peak"),0))</f>
        <v>0</v>
      </c>
      <c r="O210" s="46">
        <f>SUMIFS(TUNet_Usage_Actual_1[Value],TUNet_Usage_Actual_1[Customer type],Calc_TUV_Net_1[[#This Row],[Customer type]],TUNet_Usage_Actual_1[Description],"Usage per customer")*SUM(
IFERROR(O208/100*SUMIFS(#REF!,#REF!,Calc_TUV_Net_1[[#This Row],[Customer type]],#REF!,"Peak"),0),
IFERROR(O209/100*SUMIFS(#REF!,#REF!,Calc_TUV_Net_1[[#This Row],[Customer type]],#REF!,"Off peak"),0))</f>
        <v>0</v>
      </c>
    </row>
    <row r="211" spans="3:15" hidden="1" outlineLevel="1" x14ac:dyDescent="0.25">
      <c r="C211" s="39" t="s">
        <v>453</v>
      </c>
      <c r="D211" s="58" t="str">
        <f>INDEX(Input_DecisionActual[[Decision]:[Decision]],MATCH($D$5,Input_DecisionActual[[VDO period]:[VDO period]],0),1)</f>
        <v>VDO 2023-24 - Final</v>
      </c>
      <c r="E211" s="14" t="s">
        <v>102</v>
      </c>
      <c r="F211" s="58" t="str">
        <f>IF($D211="-","-",INDEX(Inputs!$C$17:$AZ$17,1,MATCH($D211,Inputs!$C$15:$AZ$15,0)))</f>
        <v>F-CurrentVDO_Input</v>
      </c>
      <c r="G211" s="38"/>
      <c r="H211" s="14" t="s">
        <v>184</v>
      </c>
      <c r="I211" s="14" t="s">
        <v>71</v>
      </c>
      <c r="J211" s="39" t="s">
        <v>73</v>
      </c>
      <c r="K211" s="45" cm="1">
        <f t="array" ref="K211">IFERROR(INDEX(Input_ForRateCalc[],MATCH($C211&amp;" - "&amp;K$100,Input_ForRateCalc[[Cost item]:[Cost item]],0),MATCH(Calc_TUV_Net_1[[#This Row],[Decision ref]:[Decision ref]],Input_ForRateCalc[#Headers],0)),"-")</f>
        <v>18.668411930490375</v>
      </c>
      <c r="L211" s="45" t="str" cm="1">
        <f t="array" ref="L211">IFERROR(INDEX(Input_ForRateCalc[],MATCH($C211&amp;" - "&amp;L$100,Input_ForRateCalc[[Cost item]:[Cost item]],0),MATCH(Calc_TUV_Net_1[[#This Row],[Decision ref]:[Decision ref]],Input_ForRateCalc[#Headers],0)),"-")</f>
        <v>-</v>
      </c>
      <c r="M211" s="45" t="str" cm="1">
        <f t="array" ref="M211">IFERROR(INDEX(Input_ForRateCalc[],MATCH($C211&amp;" - "&amp;M$100,Input_ForRateCalc[[Cost item]:[Cost item]],0),MATCH(Calc_TUV_Net_1[[#This Row],[Decision ref]:[Decision ref]],Input_ForRateCalc[#Headers],0)),"-")</f>
        <v>-</v>
      </c>
      <c r="N211" s="45" t="str" cm="1">
        <f t="array" ref="N211">IFERROR(INDEX(Input_ForRateCalc[],MATCH($C211&amp;" - "&amp;N$100,Input_ForRateCalc[[Cost item]:[Cost item]],0),MATCH(Calc_TUV_Net_1[[#This Row],[Decision ref]:[Decision ref]],Input_ForRateCalc[#Headers],0)),"-")</f>
        <v>-</v>
      </c>
      <c r="O211" s="45" t="str" cm="1">
        <f t="array" ref="O211">IFERROR(INDEX(Input_ForRateCalc[],MATCH($C211&amp;" - "&amp;O$100,Input_ForRateCalc[[Cost item]:[Cost item]],0),MATCH(Calc_TUV_Net_1[[#This Row],[Decision ref]:[Decision ref]],Input_ForRateCalc[#Headers],0)),"-")</f>
        <v>-</v>
      </c>
    </row>
    <row r="212" spans="3:15" hidden="1" outlineLevel="1" x14ac:dyDescent="0.25">
      <c r="C212" s="39" t="s">
        <v>454</v>
      </c>
      <c r="D212" s="58" t="str">
        <f>INDEX(Input_DecisionActual[[Decision]:[Decision]],MATCH($D$5,Input_DecisionActual[[VDO period]:[VDO period]],0),1)</f>
        <v>VDO 2023-24 - Final</v>
      </c>
      <c r="E212" s="14" t="s">
        <v>102</v>
      </c>
      <c r="F212" s="58" t="str">
        <f>IF($D212="-","-",INDEX(Inputs!$C$17:$AZ$17,1,MATCH($D212,Inputs!$C$15:$AZ$15,0)))</f>
        <v>F-CurrentVDO_Input</v>
      </c>
      <c r="G212" s="38"/>
      <c r="H212" s="14" t="s">
        <v>184</v>
      </c>
      <c r="I212" s="14" t="s">
        <v>225</v>
      </c>
      <c r="J212" s="39" t="s">
        <v>73</v>
      </c>
      <c r="K212" s="45" cm="1">
        <f t="array" ref="K212">IFERROR(INDEX(Input_ForRateCalc[],MATCH($C212&amp;" - "&amp;K$100,Input_ForRateCalc[[Cost item]:[Cost item]],0),MATCH(Calc_TUV_Net_1[[#This Row],[Decision ref]:[Decision ref]],Input_ForRateCalc[#Headers],0)),"-")</f>
        <v>20.620858559880922</v>
      </c>
      <c r="L212" s="45" t="str" cm="1">
        <f t="array" ref="L212">IFERROR(INDEX(Input_ForRateCalc[],MATCH($C212&amp;" - "&amp;L$100,Input_ForRateCalc[[Cost item]:[Cost item]],0),MATCH(Calc_TUV_Net_1[[#This Row],[Decision ref]:[Decision ref]],Input_ForRateCalc[#Headers],0)),"-")</f>
        <v>-</v>
      </c>
      <c r="M212" s="45" t="str" cm="1">
        <f t="array" ref="M212">IFERROR(INDEX(Input_ForRateCalc[],MATCH($C212&amp;" - "&amp;M$100,Input_ForRateCalc[[Cost item]:[Cost item]],0),MATCH(Calc_TUV_Net_1[[#This Row],[Decision ref]:[Decision ref]],Input_ForRateCalc[#Headers],0)),"-")</f>
        <v>-</v>
      </c>
      <c r="N212" s="45" t="str" cm="1">
        <f t="array" ref="N212">IFERROR(INDEX(Input_ForRateCalc[],MATCH($C212&amp;" - "&amp;N$100,Input_ForRateCalc[[Cost item]:[Cost item]],0),MATCH(Calc_TUV_Net_1[[#This Row],[Decision ref]:[Decision ref]],Input_ForRateCalc[#Headers],0)),"-")</f>
        <v>-</v>
      </c>
      <c r="O212" s="45" t="str" cm="1">
        <f t="array" ref="O212">IFERROR(INDEX(Input_ForRateCalc[],MATCH($C212&amp;" - "&amp;O$100,Input_ForRateCalc[[Cost item]:[Cost item]],0),MATCH(Calc_TUV_Net_1[[#This Row],[Decision ref]:[Decision ref]],Input_ForRateCalc[#Headers],0)),"-")</f>
        <v>-</v>
      </c>
    </row>
    <row r="213" spans="3:15" hidden="1" outlineLevel="1" x14ac:dyDescent="0.25">
      <c r="C213" s="39" t="s">
        <v>455</v>
      </c>
      <c r="D213" s="58" t="str">
        <f>INDEX(Input_DecisionActual[[Decision]:[Decision]],MATCH($D$5,Input_DecisionActual[[VDO period]:[VDO period]],0),1)</f>
        <v>VDO 2023-24 - Final</v>
      </c>
      <c r="E213" s="14" t="s">
        <v>102</v>
      </c>
      <c r="F213" s="58" t="str">
        <f>IF($D213="-","-",INDEX(Inputs!$C$17:$AZ$17,1,MATCH($D213,Inputs!$C$15:$AZ$15,0)))</f>
        <v>F-CurrentVDO_Input</v>
      </c>
      <c r="G213" s="38"/>
      <c r="H213" s="14" t="s">
        <v>184</v>
      </c>
      <c r="I213" s="14" t="s">
        <v>225</v>
      </c>
      <c r="J213" s="39" t="s">
        <v>73</v>
      </c>
      <c r="K213" s="45" t="str" cm="1">
        <f t="array" ref="K213">IFERROR(INDEX(Input_ForRateCalc[],MATCH($C213&amp;" - "&amp;K$100,Input_ForRateCalc[[Cost item]:[Cost item]],0),MATCH(Calc_TUV_Net_1[[#This Row],[Decision ref]:[Decision ref]],Input_ForRateCalc[#Headers],0)),"-")</f>
        <v>-</v>
      </c>
      <c r="L213" s="45" cm="1">
        <f t="array" ref="L213">IFERROR(INDEX(Input_ForRateCalc[],MATCH($C213&amp;" - "&amp;L$100,Input_ForRateCalc[[Cost item]:[Cost item]],0),MATCH(Calc_TUV_Net_1[[#This Row],[Decision ref]:[Decision ref]],Input_ForRateCalc[#Headers],0)),"-")</f>
        <v>8.15</v>
      </c>
      <c r="M213" s="45" cm="1">
        <f t="array" ref="M213">IFERROR(INDEX(Input_ForRateCalc[],MATCH($C213&amp;" - "&amp;M$100,Input_ForRateCalc[[Cost item]:[Cost item]],0),MATCH(Calc_TUV_Net_1[[#This Row],[Decision ref]:[Decision ref]],Input_ForRateCalc[#Headers],0)),"-")</f>
        <v>11.834</v>
      </c>
      <c r="N213" s="45" cm="1">
        <f t="array" ref="N213">IFERROR(INDEX(Input_ForRateCalc[],MATCH($C213&amp;" - "&amp;N$100,Input_ForRateCalc[[Cost item]:[Cost item]],0),MATCH(Calc_TUV_Net_1[[#This Row],[Decision ref]:[Decision ref]],Input_ForRateCalc[#Headers],0)),"-")</f>
        <v>9.81</v>
      </c>
      <c r="O213" s="45" cm="1">
        <f t="array" ref="O213">IFERROR(INDEX(Input_ForRateCalc[],MATCH($C213&amp;" - "&amp;O$100,Input_ForRateCalc[[Cost item]:[Cost item]],0),MATCH(Calc_TUV_Net_1[[#This Row],[Decision ref]:[Decision ref]],Input_ForRateCalc[#Headers],0)),"-")</f>
        <v>9.39</v>
      </c>
    </row>
    <row r="214" spans="3:15" hidden="1" outlineLevel="1" x14ac:dyDescent="0.25">
      <c r="C214" s="39" t="s">
        <v>417</v>
      </c>
      <c r="D214" s="58" t="str">
        <f>INDEX(Input_DecisionActual[[Decision]:[Decision]],MATCH($D$5,Input_DecisionActual[[VDO period]:[VDO period]],0),1)</f>
        <v>VDO 2023-24 - Final</v>
      </c>
      <c r="E214" s="14" t="s">
        <v>102</v>
      </c>
      <c r="F214" s="58" t="str">
        <f>IF($D214="-","-",INDEX(Inputs!$C$17:$AZ$17,1,MATCH($D214,Inputs!$C$15:$AZ$15,0)))</f>
        <v>F-CurrentVDO_Input</v>
      </c>
      <c r="G214" s="38"/>
      <c r="H214" s="14" t="s">
        <v>184</v>
      </c>
      <c r="I214" s="14" t="s">
        <v>225</v>
      </c>
      <c r="J214" s="39" t="s">
        <v>73</v>
      </c>
      <c r="K214" s="46">
        <f>SUMIFS(TUNet_Usage_Actual_1[Value],TUNet_Usage_Actual_1[Customer type],Calc_TUV_Net_1[[#This Row],[Customer type]],TUNet_Usage_Actual_1[Description],"Usage per customer")*SUM(
IFERROR(K211/100*SUMIFS(#REF!,#REF!,Calc_TUV_Net_1[[#This Row],[Customer type]],#REF!,"Block 1"),0),
IFERROR(K212/100*SUMIFS(#REF!,#REF!,Calc_TUV_Net_1[[#This Row],[Customer type]],#REF!,"Balance"),0),
IFERROR(K213/100*SUMIFS(#REF!,#REF!,Calc_TUV_Net_1[[#This Row],[Customer type]],#REF!,"Single rate"),0))</f>
        <v>0</v>
      </c>
      <c r="L214" s="46">
        <f>SUMIFS(TUNet_Usage_Actual_1[Value],TUNet_Usage_Actual_1[Customer type],Calc_TUV_Net_1[[#This Row],[Customer type]],TUNet_Usage_Actual_1[Description],"Usage per customer")*SUM(
IFERROR(L211/100*SUMIFS(#REF!,#REF!,Calc_TUV_Net_1[[#This Row],[Customer type]],#REF!,"Block 1"),0),
IFERROR(L212/100*SUMIFS(#REF!,#REF!,Calc_TUV_Net_1[[#This Row],[Customer type]],#REF!,"Balance"),0),
IFERROR(L213/100*SUMIFS(#REF!,#REF!,Calc_TUV_Net_1[[#This Row],[Customer type]],#REF!,"Single rate"),0))</f>
        <v>0</v>
      </c>
      <c r="M214" s="46">
        <f>SUMIFS(TUNet_Usage_Actual_1[Value],TUNet_Usage_Actual_1[Customer type],Calc_TUV_Net_1[[#This Row],[Customer type]],TUNet_Usage_Actual_1[Description],"Usage per customer")*SUM(
IFERROR(M211/100*SUMIFS(#REF!,#REF!,Calc_TUV_Net_1[[#This Row],[Customer type]],#REF!,"Block 1"),0),
IFERROR(M212/100*SUMIFS(#REF!,#REF!,Calc_TUV_Net_1[[#This Row],[Customer type]],#REF!,"Balance"),0),
IFERROR(M213/100*SUMIFS(#REF!,#REF!,Calc_TUV_Net_1[[#This Row],[Customer type]],#REF!,"Single rate"),0))</f>
        <v>0</v>
      </c>
      <c r="N214" s="46">
        <f>SUMIFS(TUNet_Usage_Actual_1[Value],TUNet_Usage_Actual_1[Customer type],Calc_TUV_Net_1[[#This Row],[Customer type]],TUNet_Usage_Actual_1[Description],"Usage per customer")*SUM(
IFERROR(N211/100*SUMIFS(#REF!,#REF!,Calc_TUV_Net_1[[#This Row],[Customer type]],#REF!,"Block 1"),0),
IFERROR(N212/100*SUMIFS(#REF!,#REF!,Calc_TUV_Net_1[[#This Row],[Customer type]],#REF!,"Balance"),0),
IFERROR(N213/100*SUMIFS(#REF!,#REF!,Calc_TUV_Net_1[[#This Row],[Customer type]],#REF!,"Single rate"),0))</f>
        <v>0</v>
      </c>
      <c r="O214" s="46">
        <f>SUMIFS(TUNet_Usage_Actual_1[Value],TUNet_Usage_Actual_1[Customer type],Calc_TUV_Net_1[[#This Row],[Customer type]],TUNet_Usage_Actual_1[Description],"Usage per customer")*SUM(
IFERROR(O211/100*SUMIFS(#REF!,#REF!,Calc_TUV_Net_1[[#This Row],[Customer type]],#REF!,"Block 1"),0),
IFERROR(O212/100*SUMIFS(#REF!,#REF!,Calc_TUV_Net_1[[#This Row],[Customer type]],#REF!,"Balance"),0),
IFERROR(O213/100*SUMIFS(#REF!,#REF!,Calc_TUV_Net_1[[#This Row],[Customer type]],#REF!,"Single rate"),0))</f>
        <v>0</v>
      </c>
    </row>
    <row r="215" spans="3:15" hidden="1" outlineLevel="1" x14ac:dyDescent="0.25">
      <c r="C215" s="39" t="s">
        <v>418</v>
      </c>
      <c r="D215" s="39"/>
      <c r="E215" s="39"/>
      <c r="F215" s="39"/>
      <c r="G215" s="39"/>
      <c r="H215" s="14" t="s">
        <v>184</v>
      </c>
      <c r="I215" s="14" t="s">
        <v>71</v>
      </c>
      <c r="J215" s="39" t="s">
        <v>73</v>
      </c>
      <c r="K215" s="44" t="str">
        <f>IF(K214=0,"-",K210-K214)</f>
        <v>-</v>
      </c>
      <c r="L215" s="44" t="str">
        <f>IF(L214=0,"-",L210-L214)</f>
        <v>-</v>
      </c>
      <c r="M215" s="44" t="str">
        <f>IF(M214=0,"-",M210-M214)</f>
        <v>-</v>
      </c>
      <c r="N215" s="44" t="str">
        <f>IF(N214=0,"-",N210-N214)</f>
        <v>-</v>
      </c>
      <c r="O215" s="44" t="str">
        <f>IF(O214=0,"-",O210-O214)</f>
        <v>-</v>
      </c>
    </row>
    <row r="216" spans="3:15" hidden="1" outlineLevel="1" x14ac:dyDescent="0.25">
      <c r="C216" s="39" t="s">
        <v>420</v>
      </c>
      <c r="D216" s="58" t="str">
        <f>INDEX(Input_DecisionActual[[Decision]:[Decision]],MATCH($D$5,Input_DecisionActual[[VDO period]:[VDO period]],0),1)</f>
        <v>VDO 2023-24 - Final</v>
      </c>
      <c r="E216" s="14" t="s">
        <v>102</v>
      </c>
      <c r="F216" s="58" t="str">
        <f>IF($D216="-","-",INDEX(Inputs!$C$17:$AZ$17,1,MATCH($D216,Inputs!$C$15:$AZ$15,0)))</f>
        <v>F-CurrentVDO_Input</v>
      </c>
      <c r="G216" s="39"/>
      <c r="H216" s="14" t="s">
        <v>184</v>
      </c>
      <c r="I216" s="14" t="s">
        <v>71</v>
      </c>
      <c r="J216" s="39" t="s">
        <v>73</v>
      </c>
      <c r="K216" s="45" t="str" cm="1">
        <f t="array" ref="K216">IFERROR(SUM(K215:K215)*(INDEX(Inputs!$H$18:$U$141,MATCH("Retail operating margin",Input_ForRateCalc[[Cost item]:[Cost item]],0),MATCH(Calc_TUV_Net_1[[#This Row],[Decision ref]:[Decision ref]],Inputs!$H$17:$U$17,0))),"-")</f>
        <v>-</v>
      </c>
      <c r="L216" s="45" t="str" cm="1">
        <f t="array" ref="L216">IFERROR(SUM(L215:L215)*(INDEX(Inputs!$H$18:$U$141,MATCH("Retail operating margin",Input_ForRateCalc[[Cost item]:[Cost item]],0),MATCH(Calc_TUV_Net_1[[#This Row],[Decision ref]:[Decision ref]],Inputs!$H$17:$U$17,0))),"-")</f>
        <v>-</v>
      </c>
      <c r="M216" s="45" t="str" cm="1">
        <f t="array" ref="M216">IFERROR(SUM(M215:M215)*(INDEX(Inputs!$H$18:$U$141,MATCH("Retail operating margin",Input_ForRateCalc[[Cost item]:[Cost item]],0),MATCH(Calc_TUV_Net_1[[#This Row],[Decision ref]:[Decision ref]],Inputs!$H$17:$U$17,0))),"-")</f>
        <v>-</v>
      </c>
      <c r="N216" s="45" t="str" cm="1">
        <f t="array" ref="N216">IFERROR(SUM(N215:N215)*(INDEX(Inputs!$H$18:$U$141,MATCH("Retail operating margin",Input_ForRateCalc[[Cost item]:[Cost item]],0),MATCH(Calc_TUV_Net_1[[#This Row],[Decision ref]:[Decision ref]],Inputs!$H$17:$U$17,0))),"-")</f>
        <v>-</v>
      </c>
      <c r="O216" s="45" t="str" cm="1">
        <f t="array" ref="O216">IFERROR(SUM(O215:O215)*(INDEX(Inputs!$H$18:$U$141,MATCH("Retail operating margin",Input_ForRateCalc[[Cost item]:[Cost item]],0),MATCH(Calc_TUV_Net_1[[#This Row],[Decision ref]:[Decision ref]],Inputs!$H$17:$U$17,0))),"-")</f>
        <v>-</v>
      </c>
    </row>
    <row r="217" spans="3:15" hidden="1" outlineLevel="1" x14ac:dyDescent="0.25">
      <c r="C217" s="39" t="s">
        <v>421</v>
      </c>
      <c r="D217" s="39"/>
      <c r="E217" s="39"/>
      <c r="F217" s="39"/>
      <c r="G217" s="39"/>
      <c r="H217" s="14" t="s">
        <v>184</v>
      </c>
      <c r="I217" s="14" t="s">
        <v>71</v>
      </c>
      <c r="J217" s="39" t="s">
        <v>73</v>
      </c>
      <c r="K217" s="45" t="str">
        <f>IF(K214=0,"-",SUM(K215:K216)*GST)</f>
        <v>-</v>
      </c>
      <c r="L217" s="45" t="str">
        <f>IF(L214=0,"-",SUM(L215:L216)*GST)</f>
        <v>-</v>
      </c>
      <c r="M217" s="45" t="str">
        <f>IF(M214=0,"-",SUM(M215:M216)*GST)</f>
        <v>-</v>
      </c>
      <c r="N217" s="45" t="str">
        <f>IF(N214=0,"-",SUM(N215:N216)*GST)</f>
        <v>-</v>
      </c>
      <c r="O217" s="45" t="str">
        <f>IF(O214=0,"-",SUM(O215:O216)*GST)</f>
        <v>-</v>
      </c>
    </row>
    <row r="218" spans="3:15" hidden="1" outlineLevel="1" x14ac:dyDescent="0.25">
      <c r="C218" s="14" t="s">
        <v>462</v>
      </c>
      <c r="D218" s="39"/>
      <c r="E218" s="39"/>
      <c r="F218" s="39"/>
      <c r="H218" s="14" t="s">
        <v>184</v>
      </c>
      <c r="I218" s="14" t="s">
        <v>71</v>
      </c>
      <c r="J218" s="39" t="s">
        <v>73</v>
      </c>
      <c r="K218" s="45" t="str">
        <f>IF(K214=0,"-",SUM(K215:K217))</f>
        <v>-</v>
      </c>
      <c r="L218" s="45" t="str">
        <f>IF(L214=0,"-",SUM(L215:L217))</f>
        <v>-</v>
      </c>
      <c r="M218" s="45" t="str">
        <f>IF(M214=0,"-",SUM(M215:M217))</f>
        <v>-</v>
      </c>
      <c r="N218" s="45" t="str">
        <f>IF(N214=0,"-",SUM(N215:N217))</f>
        <v>-</v>
      </c>
      <c r="O218" s="45" t="str">
        <f>IF(O214=0,"-",SUM(O215:O217))</f>
        <v>-</v>
      </c>
    </row>
    <row r="219" spans="3:15" hidden="1" outlineLevel="1" x14ac:dyDescent="0.25">
      <c r="C219" s="37"/>
      <c r="D219" s="37"/>
      <c r="E219" s="37"/>
      <c r="F219" s="37"/>
      <c r="G219" s="47"/>
      <c r="H219" s="47"/>
      <c r="I219" s="14"/>
      <c r="J219" s="14"/>
      <c r="K219" s="44"/>
      <c r="L219" s="14"/>
      <c r="M219" s="14"/>
      <c r="N219" s="14"/>
      <c r="O219" s="14"/>
    </row>
    <row r="220" spans="3:15" hidden="1" outlineLevel="1" x14ac:dyDescent="0.25"/>
    <row r="221" spans="3:15" hidden="1" x14ac:dyDescent="0.25"/>
    <row r="222" spans="3:15" hidden="1" x14ac:dyDescent="0.25"/>
    <row r="223" spans="3:15" hidden="1" x14ac:dyDescent="0.25"/>
    <row r="224" spans="3:15" ht="15.75" hidden="1" x14ac:dyDescent="0.25">
      <c r="C224" s="36" t="s">
        <v>49</v>
      </c>
      <c r="D224" s="28" t="str">
        <f>Calc_Rates!$D$267</f>
        <v>VDO 2023-24 - Final</v>
      </c>
    </row>
    <row r="225" spans="2:17" hidden="1" x14ac:dyDescent="0.25"/>
    <row r="226" spans="2:17" ht="16.5" hidden="1" collapsed="1" thickBot="1" x14ac:dyDescent="0.3">
      <c r="B226" s="155">
        <f ca="1">MAX(B$3:B225)+0.01</f>
        <v>14.03</v>
      </c>
      <c r="C226" s="24" t="s">
        <v>405</v>
      </c>
      <c r="D226" s="19"/>
      <c r="E226" s="19"/>
      <c r="F226" s="19"/>
      <c r="G226" s="19"/>
      <c r="H226" s="19"/>
      <c r="I226" s="19"/>
      <c r="J226" s="19"/>
      <c r="K226" s="19"/>
      <c r="L226" s="19"/>
      <c r="M226" s="19"/>
      <c r="N226" s="19"/>
      <c r="O226" s="19"/>
      <c r="P226" s="19"/>
      <c r="Q226" s="19"/>
    </row>
    <row r="227" spans="2:17" hidden="1" outlineLevel="1" x14ac:dyDescent="0.25"/>
    <row r="228" spans="2:17" ht="15.75" hidden="1" outlineLevel="1" x14ac:dyDescent="0.25">
      <c r="C228" s="36" t="s">
        <v>406</v>
      </c>
      <c r="D228" s="100">
        <v>12</v>
      </c>
      <c r="H228" s="29" t="s">
        <v>51</v>
      </c>
      <c r="I228" s="29" t="s">
        <v>62</v>
      </c>
      <c r="J228" s="29" t="s">
        <v>63</v>
      </c>
      <c r="K228" s="32" t="s">
        <v>65</v>
      </c>
      <c r="L228" s="32" t="s">
        <v>66</v>
      </c>
      <c r="M228" s="32" t="s">
        <v>67</v>
      </c>
      <c r="N228" s="32" t="s">
        <v>68</v>
      </c>
      <c r="O228" s="32" t="s">
        <v>69</v>
      </c>
      <c r="P228" s="32" t="s">
        <v>407</v>
      </c>
    </row>
    <row r="229" spans="2:17" ht="15.75" hidden="1" outlineLevel="1" x14ac:dyDescent="0.25">
      <c r="C229" s="36" t="s">
        <v>408</v>
      </c>
      <c r="D229" s="101">
        <f>D228/MiY</f>
        <v>1</v>
      </c>
      <c r="H229" s="39" t="s">
        <v>409</v>
      </c>
      <c r="I229" s="14" t="s">
        <v>185</v>
      </c>
      <c r="J229" s="39" t="s">
        <v>139</v>
      </c>
      <c r="K229" s="91">
        <f>INDEX(Calc_TUV_Env_2[[Ausnet]:[United Energy]],MATCH($H229,Calc_TUV_Env_2[[Cost item]:[Cost item]],0),MATCH(K$228,Calc_TUV_Env_2[[#Headers],[Ausnet]:[United Energy]],0))*1000</f>
        <v>7.1411889574377815E-2</v>
      </c>
      <c r="L229" s="91">
        <f>INDEX(Calc_TUV_Env_2[[Ausnet]:[United Energy]],MATCH($H229,Calc_TUV_Env_2[[Cost item]:[Cost item]],0),MATCH(L$228,Calc_TUV_Env_2[[#Headers],[Ausnet]:[United Energy]],0))*1000</f>
        <v>6.9262229545457424E-2</v>
      </c>
      <c r="M229" s="91">
        <f>INDEX(Calc_TUV_Env_2[[Ausnet]:[United Energy]],MATCH($H229,Calc_TUV_Env_2[[Cost item]:[Cost item]],0),MATCH(M$228,Calc_TUV_Env_2[[#Headers],[Ausnet]:[United Energy]],0))*1000</f>
        <v>6.8672733182471399E-2</v>
      </c>
      <c r="N229" s="91">
        <f>INDEX(Calc_TUV_Env_2[[Ausnet]:[United Energy]],MATCH($H229,Calc_TUV_Env_2[[Cost item]:[Cost item]],0),MATCH(N$228,Calc_TUV_Env_2[[#Headers],[Ausnet]:[United Energy]],0))*1000</f>
        <v>7.0779916457632069E-2</v>
      </c>
      <c r="O229" s="91">
        <f>INDEX(Calc_TUV_Env_2[[Ausnet]:[United Energy]],MATCH($H229,Calc_TUV_Env_2[[Cost item]:[Cost item]],0),MATCH(O$228,Calc_TUV_Env_2[[#Headers],[Ausnet]:[United Energy]],0))*1000</f>
        <v>6.9073799593706769E-2</v>
      </c>
      <c r="P229" s="91">
        <f>AVERAGE(K229:O229)</f>
        <v>6.9840113670729093E-2</v>
      </c>
    </row>
    <row r="230" spans="2:17" hidden="1" outlineLevel="1" x14ac:dyDescent="0.25">
      <c r="H230" s="39" t="s">
        <v>411</v>
      </c>
      <c r="I230" s="14" t="s">
        <v>185</v>
      </c>
      <c r="J230" s="39" t="s">
        <v>139</v>
      </c>
      <c r="K230" s="91">
        <f>INDEX(Calc_TUV_Env_2[[Ausnet]:[United Energy]],MATCH($H230,Calc_TUV_Env_2[[Cost item]:[Cost item]],0),MATCH(K$228,Calc_TUV_Env_2[[#Headers],[Ausnet]:[United Energy]],0))*1000</f>
        <v>-1.5204731141753007</v>
      </c>
      <c r="L230" s="91">
        <f>INDEX(Calc_TUV_Env_2[[Ausnet]:[United Energy]],MATCH($H230,Calc_TUV_Env_2[[Cost item]:[Cost item]],0),MATCH(L$228,Calc_TUV_Env_2[[#Headers],[Ausnet]:[United Energy]],0))*1000</f>
        <v>-1.4747034209481451</v>
      </c>
      <c r="M230" s="91">
        <f>INDEX(Calc_TUV_Env_2[[Ausnet]:[United Energy]],MATCH($H230,Calc_TUV_Env_2[[Cost item]:[Cost item]],0),MATCH(M$228,Calc_TUV_Env_2[[#Headers],[Ausnet]:[United Energy]],0))*1000</f>
        <v>-1.462152102446892</v>
      </c>
      <c r="N230" s="91">
        <f>INDEX(Calc_TUV_Env_2[[Ausnet]:[United Energy]],MATCH($H230,Calc_TUV_Env_2[[Cost item]:[Cost item]],0),MATCH(N$228,Calc_TUV_Env_2[[#Headers],[Ausnet]:[United Energy]],0))*1000</f>
        <v>-1.5070173977866077</v>
      </c>
      <c r="O230" s="91">
        <f>INDEX(Calc_TUV_Env_2[[Ausnet]:[United Energy]],MATCH($H230,Calc_TUV_Env_2[[Cost item]:[Cost item]],0),MATCH(O$228,Calc_TUV_Env_2[[#Headers],[Ausnet]:[United Energy]],0))*1000</f>
        <v>-1.4706914465101379</v>
      </c>
      <c r="P230" s="91">
        <f>AVERAGE(K230:O230)</f>
        <v>-1.4870074963734168</v>
      </c>
    </row>
    <row r="231" spans="2:17" hidden="1" outlineLevel="1" x14ac:dyDescent="0.25">
      <c r="H231" s="39" t="s">
        <v>412</v>
      </c>
      <c r="I231" s="14" t="s">
        <v>185</v>
      </c>
      <c r="J231" s="39" t="s">
        <v>139</v>
      </c>
      <c r="K231" s="91">
        <f>INDEX(Calc_TUV_Env_2[[Ausnet]:[United Energy]],MATCH($H231,Calc_TUV_Env_2[[Cost item]:[Cost item]],0),MATCH(K$228,Calc_TUV_Env_2[[#Headers],[Ausnet]:[United Energy]],0))*1000</f>
        <v>-8.1204149442636335E-4</v>
      </c>
      <c r="L231" s="91">
        <f>INDEX(Calc_TUV_Env_2[[Ausnet]:[United Energy]],MATCH($H231,Calc_TUV_Env_2[[Cost item]:[Cost item]],0),MATCH(L$228,Calc_TUV_Env_2[[#Headers],[Ausnet]:[United Energy]],0))*1000</f>
        <v>-7.8759720156704855E-4</v>
      </c>
      <c r="M231" s="91">
        <f>INDEX(Calc_TUV_Env_2[[Ausnet]:[United Energy]],MATCH($H231,Calc_TUV_Env_2[[Cost item]:[Cost item]],0),MATCH(M$228,Calc_TUV_Env_2[[#Headers],[Ausnet]:[United Energy]],0))*1000</f>
        <v>-7.8089389893199509E-4</v>
      </c>
      <c r="N231" s="91">
        <f>INDEX(Calc_TUV_Env_2[[Ausnet]:[United Energy]],MATCH($H231,Calc_TUV_Env_2[[Cost item]:[Cost item]],0),MATCH(N$228,Calc_TUV_Env_2[[#Headers],[Ausnet]:[United Energy]],0))*1000</f>
        <v>-8.048551785731047E-4</v>
      </c>
      <c r="O231" s="91">
        <f>INDEX(Calc_TUV_Env_2[[Ausnet]:[United Energy]],MATCH($H231,Calc_TUV_Env_2[[Cost item]:[Cost item]],0),MATCH(O$228,Calc_TUV_Env_2[[#Headers],[Ausnet]:[United Energy]],0))*1000</f>
        <v>-7.8545451999782712E-4</v>
      </c>
      <c r="P231" s="91">
        <f>AVERAGE(K231:O231)</f>
        <v>-7.9416845869926774E-4</v>
      </c>
    </row>
    <row r="232" spans="2:17" hidden="1" outlineLevel="1" x14ac:dyDescent="0.25"/>
    <row r="233" spans="2:17" ht="15.75" hidden="1" outlineLevel="1" x14ac:dyDescent="0.25">
      <c r="C233" s="20" t="s">
        <v>468</v>
      </c>
    </row>
    <row r="234" spans="2:17" ht="15.75" hidden="1" outlineLevel="1" x14ac:dyDescent="0.25">
      <c r="C234" s="30" t="s">
        <v>51</v>
      </c>
      <c r="D234" s="30" t="s">
        <v>49</v>
      </c>
      <c r="E234" s="30" t="s">
        <v>414</v>
      </c>
      <c r="F234" s="30" t="s">
        <v>415</v>
      </c>
      <c r="G234" s="30" t="s">
        <v>416</v>
      </c>
      <c r="H234" s="30" t="s">
        <v>114</v>
      </c>
      <c r="I234" s="30" t="s">
        <v>62</v>
      </c>
      <c r="J234" s="29" t="s">
        <v>63</v>
      </c>
      <c r="K234" s="40" t="s">
        <v>65</v>
      </c>
      <c r="L234" s="40" t="s">
        <v>66</v>
      </c>
      <c r="M234" s="40" t="s">
        <v>67</v>
      </c>
      <c r="N234" s="40" t="s">
        <v>68</v>
      </c>
      <c r="O234" s="40" t="s">
        <v>69</v>
      </c>
    </row>
    <row r="235" spans="2:17" hidden="1" outlineLevel="1" x14ac:dyDescent="0.25">
      <c r="C235" s="14"/>
      <c r="D235" s="14"/>
      <c r="E235" s="14"/>
      <c r="F235" s="14"/>
      <c r="G235" s="14"/>
      <c r="H235" s="14"/>
      <c r="I235" s="14"/>
      <c r="J235" s="14"/>
      <c r="K235" s="14"/>
      <c r="L235" s="14"/>
      <c r="M235" s="14"/>
      <c r="N235" s="14"/>
      <c r="O235" s="14"/>
    </row>
    <row r="236" spans="2:17" hidden="1" outlineLevel="1" x14ac:dyDescent="0.25">
      <c r="C236" s="37" t="s">
        <v>311</v>
      </c>
      <c r="D236" s="37"/>
      <c r="E236" s="37"/>
      <c r="F236" s="37"/>
      <c r="G236" s="28" t="str">
        <f>INDEX(Input_TU_YesNo[],MATCH(Calc_TUV_Env_2[[#This Row],[Cost item]],Input_TU_YesNo[Component],0),MATCH($D$224,Inputs!$C$210:$BM$210,0))</f>
        <v>Yes</v>
      </c>
      <c r="H236" s="47"/>
      <c r="I236" s="14"/>
      <c r="J236" s="14"/>
      <c r="K236" s="14"/>
      <c r="L236" s="14"/>
      <c r="M236" s="14"/>
      <c r="N236" s="14"/>
      <c r="O236" s="14"/>
    </row>
    <row r="237" spans="2:17" hidden="1" outlineLevel="1" x14ac:dyDescent="0.25">
      <c r="C237" s="14" t="s">
        <v>207</v>
      </c>
      <c r="D237" s="58" t="str">
        <f>Calc_TU_values!$D$224</f>
        <v>VDO 2023-24 - Final</v>
      </c>
      <c r="E237" s="14" t="s">
        <v>322</v>
      </c>
      <c r="F237" s="58" t="str">
        <f>INDEX(Inputs!$C$17:$AZ$17,1,MATCH($D237,Inputs!$C$15:$AZ$15,0))</f>
        <v>F-CurrentVDO_Input</v>
      </c>
      <c r="G237" s="38"/>
      <c r="H237" s="14" t="s">
        <v>184</v>
      </c>
      <c r="I237" s="14" t="s">
        <v>206</v>
      </c>
      <c r="J237" s="39" t="s">
        <v>139</v>
      </c>
      <c r="K237" s="44">
        <f>IFERROR(INDEX(Input_TUEnv_Actual[],MATCH($C237,Input_TUEnv_Actual[Cost item],0),MATCH($F237,Input_TUEnv_Actual[#Headers],0)),"-")</f>
        <v>35.46</v>
      </c>
      <c r="L237" s="44">
        <f>IFERROR(INDEX(Input_TUEnv_Actual[],MATCH($C237,Input_TUEnv_Actual[Cost item],0),MATCH($F237,Input_TUEnv_Actual[#Headers],0)),"-")</f>
        <v>35.46</v>
      </c>
      <c r="M237" s="44">
        <f>IFERROR(INDEX(Input_TUEnv_Actual[],MATCH($C237,Input_TUEnv_Actual[Cost item],0),MATCH($F237,Input_TUEnv_Actual[#Headers],0)),"-")</f>
        <v>35.46</v>
      </c>
      <c r="N237" s="44">
        <f>IFERROR(INDEX(Input_TUEnv_Actual[],MATCH($C237,Input_TUEnv_Actual[Cost item],0),MATCH($F237,Input_TUEnv_Actual[#Headers],0)),"-")</f>
        <v>35.46</v>
      </c>
      <c r="O237" s="44">
        <f>IFERROR(INDEX(Input_TUEnv_Actual[],MATCH($C237,Input_TUEnv_Actual[Cost item],0),MATCH($F237,Input_TUEnv_Actual[#Headers],0)),"-")</f>
        <v>35.46</v>
      </c>
    </row>
    <row r="238" spans="2:17" hidden="1" outlineLevel="1" x14ac:dyDescent="0.25">
      <c r="C238" s="14" t="s">
        <v>211</v>
      </c>
      <c r="D238" s="58" t="str">
        <f>Calc_TU_values!$D$224</f>
        <v>VDO 2023-24 - Final</v>
      </c>
      <c r="E238" s="14" t="s">
        <v>322</v>
      </c>
      <c r="F238" s="58" t="str">
        <f>INDEX(Inputs!$C$17:$AZ$17,1,MATCH($D238,Inputs!$C$15:$AZ$15,0))</f>
        <v>F-CurrentVDO_Input</v>
      </c>
      <c r="G238" s="38"/>
      <c r="H238" s="14" t="s">
        <v>184</v>
      </c>
      <c r="I238" s="14" t="s">
        <v>210</v>
      </c>
      <c r="J238" s="39" t="s">
        <v>139</v>
      </c>
      <c r="K238" s="46">
        <f>IFERROR(INDEX(Input_TUEnv_Actual[],MATCH($C238,Input_TUEnv_Actual[Cost item],0),MATCH($F238,Input_TUEnv_Actual[#Headers],0)),"-")</f>
        <v>0.188</v>
      </c>
      <c r="L238" s="46">
        <f>IFERROR(INDEX(Input_TUEnv_Actual[],MATCH($C238,Input_TUEnv_Actual[Cost item],0),MATCH($F238,Input_TUEnv_Actual[#Headers],0)),"-")</f>
        <v>0.188</v>
      </c>
      <c r="M238" s="46">
        <f>IFERROR(INDEX(Input_TUEnv_Actual[],MATCH($C238,Input_TUEnv_Actual[Cost item],0),MATCH($F238,Input_TUEnv_Actual[#Headers],0)),"-")</f>
        <v>0.188</v>
      </c>
      <c r="N238" s="46">
        <f>IFERROR(INDEX(Input_TUEnv_Actual[],MATCH($C238,Input_TUEnv_Actual[Cost item],0),MATCH($F238,Input_TUEnv_Actual[#Headers],0)),"-")</f>
        <v>0.188</v>
      </c>
      <c r="O238" s="46">
        <f>IFERROR(INDEX(Input_TUEnv_Actual[],MATCH($C238,Input_TUEnv_Actual[Cost item],0),MATCH($F238,Input_TUEnv_Actual[#Headers],0)),"-")</f>
        <v>0.188</v>
      </c>
    </row>
    <row r="239" spans="2:17" hidden="1" outlineLevel="1" x14ac:dyDescent="0.25">
      <c r="C239" s="14" t="s">
        <v>417</v>
      </c>
      <c r="D239" s="58" t="str">
        <f>Calc_TU_values!$D$224</f>
        <v>VDO 2023-24 - Final</v>
      </c>
      <c r="E239" s="14" t="s">
        <v>322</v>
      </c>
      <c r="F239" s="58" t="str">
        <f>INDEX(Inputs!$C$17:$AZ$17,1,MATCH($D239,Inputs!$C$15:$AZ$15,0))</f>
        <v>F-CurrentVDO_Input</v>
      </c>
      <c r="G239" s="38"/>
      <c r="H239" s="14" t="s">
        <v>184</v>
      </c>
      <c r="I239" s="14" t="s">
        <v>75</v>
      </c>
      <c r="J239" s="39" t="s">
        <v>139</v>
      </c>
      <c r="K239" s="43">
        <f>IFERROR(K237*K238/1000,"-")</f>
        <v>6.6664799999999998E-3</v>
      </c>
      <c r="L239" s="43">
        <f>IFERROR(L237*L238/1000,"-")</f>
        <v>6.6664799999999998E-3</v>
      </c>
      <c r="M239" s="43">
        <f>IFERROR(M237*M238/1000,"-")</f>
        <v>6.6664799999999998E-3</v>
      </c>
      <c r="N239" s="43">
        <f>IFERROR(N237*N238/1000,"-")</f>
        <v>6.6664799999999998E-3</v>
      </c>
      <c r="O239" s="43">
        <f>IFERROR(O237*O238/1000,"-")</f>
        <v>6.6664799999999998E-3</v>
      </c>
    </row>
    <row r="240" spans="2:17" hidden="1" outlineLevel="1" x14ac:dyDescent="0.25">
      <c r="C240" s="14" t="s">
        <v>207</v>
      </c>
      <c r="D240" s="58" t="str">
        <f>INDEX(Input_DecisionActual[[Decision]:[Decision]],MATCH(Calc_TU_values!$D$224,Input_DecisionActual[[VDO period]:[VDO period]],0),1)</f>
        <v>VDO 2022-23 - Final</v>
      </c>
      <c r="E240" s="14" t="s">
        <v>102</v>
      </c>
      <c r="F240" s="58" t="str">
        <f>IF($D240="-","-",INDEX(Inputs!$C$17:$AZ$17,1,MATCH($D240,Inputs!$C$15:$AZ$15,0)))</f>
        <v>F-PreviousVDO_Input3</v>
      </c>
      <c r="G240" s="38"/>
      <c r="H240" s="14" t="s">
        <v>184</v>
      </c>
      <c r="I240" s="14" t="s">
        <v>206</v>
      </c>
      <c r="J240" s="39" t="s">
        <v>139</v>
      </c>
      <c r="K240" s="45">
        <f>IFERROR(INDEX(Input_ForRateCalc[],MATCH($C240,Input_ForRateCalc[Cost item],0),MATCH($F240,Inputs!$C$17:$AZ$17,0)),"-")</f>
        <v>35.46</v>
      </c>
      <c r="L240" s="45">
        <f>IFERROR(INDEX(Input_ForRateCalc[],MATCH($C240,Input_ForRateCalc[Cost item],0),MATCH($F240,Inputs!$C$17:$AZ$17,0)),"-")</f>
        <v>35.46</v>
      </c>
      <c r="M240" s="45">
        <f>IFERROR(INDEX(Input_ForRateCalc[],MATCH($C240,Input_ForRateCalc[Cost item],0),MATCH($F240,Inputs!$C$17:$AZ$17,0)),"-")</f>
        <v>35.46</v>
      </c>
      <c r="N240" s="45">
        <f>IFERROR(INDEX(Input_ForRateCalc[],MATCH($C240,Input_ForRateCalc[Cost item],0),MATCH($F240,Inputs!$C$17:$AZ$17,0)),"-")</f>
        <v>35.46</v>
      </c>
      <c r="O240" s="45">
        <f>IFERROR(INDEX(Input_ForRateCalc[],MATCH($C240,Input_ForRateCalc[Cost item],0),MATCH($F240,Inputs!$C$17:$AZ$17,0)),"-")</f>
        <v>35.46</v>
      </c>
    </row>
    <row r="241" spans="3:20" hidden="1" outlineLevel="1" x14ac:dyDescent="0.25">
      <c r="C241" s="14" t="s">
        <v>211</v>
      </c>
      <c r="D241" s="58" t="str">
        <f>INDEX(Input_DecisionActual[[Decision]:[Decision]],MATCH(Calc_TU_values!$D$224,Input_DecisionActual[[VDO period]:[VDO period]],0),1)</f>
        <v>VDO 2022-23 - Final</v>
      </c>
      <c r="E241" s="14" t="s">
        <v>102</v>
      </c>
      <c r="F241" s="58" t="str">
        <f>IF($D241="-","-",INDEX(Inputs!$C$17:$AZ$17,1,MATCH($D241,Inputs!$C$15:$AZ$15,0)))</f>
        <v>F-PreviousVDO_Input3</v>
      </c>
      <c r="G241" s="38"/>
      <c r="H241" s="14" t="s">
        <v>184</v>
      </c>
      <c r="I241" s="14" t="s">
        <v>210</v>
      </c>
      <c r="J241" s="39" t="s">
        <v>139</v>
      </c>
      <c r="K241" s="46">
        <f>IFERROR(INDEX(Input_ForRateCalc[],MATCH($C241,Input_ForRateCalc[Cost item],0),MATCH($F241,Inputs!$C$17:$AZ$17,0)),"-")</f>
        <v>0.18640000000000001</v>
      </c>
      <c r="L241" s="46">
        <f>IFERROR(INDEX(Input_ForRateCalc[],MATCH($C241,Input_ForRateCalc[Cost item],0),MATCH($F241,Inputs!$C$17:$AZ$17,0)),"-")</f>
        <v>0.18640000000000001</v>
      </c>
      <c r="M241" s="46">
        <f>IFERROR(INDEX(Input_ForRateCalc[],MATCH($C241,Input_ForRateCalc[Cost item],0),MATCH($F241,Inputs!$C$17:$AZ$17,0)),"-")</f>
        <v>0.18640000000000001</v>
      </c>
      <c r="N241" s="46">
        <f>IFERROR(INDEX(Input_ForRateCalc[],MATCH($C241,Input_ForRateCalc[Cost item],0),MATCH($F241,Inputs!$C$17:$AZ$17,0)),"-")</f>
        <v>0.18640000000000001</v>
      </c>
      <c r="O241" s="46">
        <f>IFERROR(INDEX(Input_ForRateCalc[],MATCH($C241,Input_ForRateCalc[Cost item],0),MATCH($F241,Inputs!$C$17:$AZ$17,0)),"-")</f>
        <v>0.18640000000000001</v>
      </c>
      <c r="T241" s="84"/>
    </row>
    <row r="242" spans="3:20" hidden="1" outlineLevel="1" x14ac:dyDescent="0.25">
      <c r="C242" s="14" t="s">
        <v>417</v>
      </c>
      <c r="D242" s="58" t="str">
        <f>INDEX(Input_DecisionActual[[Decision]:[Decision]],MATCH(Calc_TU_values!$D$224,Input_DecisionActual[[VDO period]:[VDO period]],0),1)</f>
        <v>VDO 2022-23 - Final</v>
      </c>
      <c r="E242" s="14" t="s">
        <v>102</v>
      </c>
      <c r="F242" s="58" t="str">
        <f>IF($D242="-","-",INDEX(Inputs!$C$17:$AZ$17,1,MATCH($D242,Inputs!$C$15:$AZ$15,0)))</f>
        <v>F-PreviousVDO_Input3</v>
      </c>
      <c r="G242" s="38"/>
      <c r="H242" s="14" t="s">
        <v>184</v>
      </c>
      <c r="I242" s="14" t="s">
        <v>75</v>
      </c>
      <c r="J242" s="39" t="s">
        <v>139</v>
      </c>
      <c r="K242" s="43">
        <f>IFERROR(K240*K241/1000,"-")</f>
        <v>6.6097440000000007E-3</v>
      </c>
      <c r="L242" s="43">
        <f>IFERROR(L240*L241/1000,"-")</f>
        <v>6.6097440000000007E-3</v>
      </c>
      <c r="M242" s="43">
        <f>IFERROR(M240*M241/1000,"-")</f>
        <v>6.6097440000000007E-3</v>
      </c>
      <c r="N242" s="43">
        <f>IFERROR(N240*N241/1000,"-")</f>
        <v>6.6097440000000007E-3</v>
      </c>
      <c r="O242" s="43">
        <f>IFERROR(O240*O241/1000,"-")</f>
        <v>6.6097440000000007E-3</v>
      </c>
    </row>
    <row r="243" spans="3:20" hidden="1" outlineLevel="1" x14ac:dyDescent="0.25">
      <c r="C243" s="14" t="s">
        <v>418</v>
      </c>
      <c r="D243" s="14"/>
      <c r="E243" s="14"/>
      <c r="F243" s="14"/>
      <c r="G243" s="14"/>
      <c r="H243" s="14" t="s">
        <v>184</v>
      </c>
      <c r="I243" s="14" t="s">
        <v>75</v>
      </c>
      <c r="J243" s="14" t="s">
        <v>139</v>
      </c>
      <c r="K243" s="86">
        <f>IFERROR(K239-K242,"-")</f>
        <v>5.6735999999999072E-5</v>
      </c>
      <c r="L243" s="86">
        <f>IFERROR(L239-L242,"-")</f>
        <v>5.6735999999999072E-5</v>
      </c>
      <c r="M243" s="86">
        <f>IFERROR(M239-M242,"-")</f>
        <v>5.6735999999999072E-5</v>
      </c>
      <c r="N243" s="86">
        <f>IFERROR(N239-N242,"-")</f>
        <v>5.6735999999999072E-5</v>
      </c>
      <c r="O243" s="86">
        <f>IFERROR(O239-O242,"-")</f>
        <v>5.6735999999999072E-5</v>
      </c>
      <c r="Q243" s="92"/>
    </row>
    <row r="244" spans="3:20" hidden="1" outlineLevel="1" x14ac:dyDescent="0.25">
      <c r="C244" s="14" t="s">
        <v>419</v>
      </c>
      <c r="D244" s="58" t="str">
        <f>INDEX(Input_DecisionActual[[Decision]:[Decision]],MATCH(Calc_TU_values!$D$224,Input_DecisionActual[[VDO period]:[VDO period]],0),1)</f>
        <v>VDO 2022-23 - Final</v>
      </c>
      <c r="E244" s="14" t="s">
        <v>102</v>
      </c>
      <c r="F244" s="58" t="str">
        <f>IF($D244="-","-",INDEX(Inputs!$C$17:$AZ$17,1,MATCH($D244,Inputs!$C$15:$AZ$15,0)))</f>
        <v>F-PreviousVDO_Input3</v>
      </c>
      <c r="G244" s="14"/>
      <c r="H244" s="14" t="s">
        <v>184</v>
      </c>
      <c r="I244" s="14" t="s">
        <v>75</v>
      </c>
      <c r="J244" s="14" t="s">
        <v>139</v>
      </c>
      <c r="K244" s="87">
        <f>IFERROR(K243*(INDEX(Inputs!$C$18:$AZ$141,MATCH("Marginal loss factor - "&amp;K$15,Input_ForRateCalc[Cost item],0),MATCH($F244,Inputs!$C$17:$AZ$17,0))*INDEX(Inputs!$C$18:$AZ$141,MATCH("Distribution loss factor - "&amp;K$15,Input_ForRateCalc[Cost item],0),MATCH($F244,Inputs!$C$17:$AZ$17,0))-1),"-")</f>
        <v>4.4860856403920447E-6</v>
      </c>
      <c r="L244" s="87">
        <f>IFERROR(L243*(INDEX(Inputs!$C$18:$AZ$141,MATCH("Marginal loss factor - "&amp;L$15,Input_ForRateCalc[Cost item],0),MATCH($F244,Inputs!$C$17:$AZ$17,0))*INDEX(Inputs!$C$18:$AZ$141,MATCH("Distribution loss factor - "&amp;L$15,Input_ForRateCalc[Cost item],0),MATCH($F244,Inputs!$C$17:$AZ$17,0))-1),"-")</f>
        <v>2.6431618475519522E-6</v>
      </c>
      <c r="M244" s="87">
        <f>IFERROR(M243*(INDEX(Inputs!$C$18:$AZ$141,MATCH("Marginal loss factor - "&amp;M$15,Input_ForRateCalc[Cost item],0),MATCH($F244,Inputs!$C$17:$AZ$17,0))*INDEX(Inputs!$C$18:$AZ$141,MATCH("Distribution loss factor - "&amp;M$15,Input_ForRateCalc[Cost item],0),MATCH($F244,Inputs!$C$17:$AZ$17,0))-1),"-")</f>
        <v>2.1377810624399695E-6</v>
      </c>
      <c r="N244" s="87">
        <f>IFERROR(N243*(INDEX(Inputs!$C$18:$AZ$141,MATCH("Marginal loss factor - "&amp;N$15,Input_ForRateCalc[Cost item],0),MATCH($F244,Inputs!$C$17:$AZ$17,0))*INDEX(Inputs!$C$18:$AZ$141,MATCH("Distribution loss factor - "&amp;N$15,Input_ForRateCalc[Cost item],0),MATCH($F244,Inputs!$C$17:$AZ$17,0))-1),"-")</f>
        <v>3.9442891341458991E-6</v>
      </c>
      <c r="O244" s="87">
        <f>IFERROR(O243*(INDEX(Inputs!$C$18:$AZ$141,MATCH("Marginal loss factor - "&amp;O$15,Input_ForRateCalc[Cost item],0),MATCH($F244,Inputs!$C$17:$AZ$17,0))*INDEX(Inputs!$C$18:$AZ$141,MATCH("Distribution loss factor - "&amp;O$15,Input_ForRateCalc[Cost item],0),MATCH($F244,Inputs!$C$17:$AZ$17,0))-1),"-")</f>
        <v>2.4816190748841288E-6</v>
      </c>
      <c r="T244" s="78"/>
    </row>
    <row r="245" spans="3:20" hidden="1" outlineLevel="1" x14ac:dyDescent="0.25">
      <c r="C245" s="14" t="s">
        <v>420</v>
      </c>
      <c r="D245" s="58" t="str">
        <f>INDEX(Input_DecisionActual[[Decision]:[Decision]],MATCH(Calc_TU_values!$D$224,Input_DecisionActual[[VDO period]:[VDO period]],0),1)</f>
        <v>VDO 2022-23 - Final</v>
      </c>
      <c r="E245" s="14" t="s">
        <v>102</v>
      </c>
      <c r="F245" s="58" t="str">
        <f>IF($D245="-","-",INDEX(Inputs!$C$17:$AZ$17,1,MATCH($D245,Inputs!$C$15:$AZ$15,0)))</f>
        <v>F-PreviousVDO_Input3</v>
      </c>
      <c r="G245" s="14"/>
      <c r="H245" s="14" t="s">
        <v>184</v>
      </c>
      <c r="I245" s="14" t="s">
        <v>75</v>
      </c>
      <c r="J245" s="14" t="s">
        <v>139</v>
      </c>
      <c r="K245" s="87">
        <f>IFERROR(SUM(K243:K244)*(INDEX(Inputs!$C$18:$AZ$141,MATCH("Retail operating margin",Input_ForRateCalc[Cost item],0),MATCH($F245,Inputs!$C$17:$AZ$17,0))),"-")</f>
        <v>3.6978139726796235E-6</v>
      </c>
      <c r="L245" s="87">
        <f>IFERROR(SUM(L243:L244)*(INDEX(Inputs!$C$18:$AZ$141,MATCH("Retail operating margin",Input_ForRateCalc[Cost item],0),MATCH($F245,Inputs!$C$17:$AZ$17,0))),"-")</f>
        <v>3.5865013755920819E-6</v>
      </c>
      <c r="M245" s="87">
        <f>IFERROR(SUM(M243:M244)*(INDEX(Inputs!$C$18:$AZ$141,MATCH("Retail operating margin",Input_ForRateCalc[Cost item],0),MATCH($F245,Inputs!$C$17:$AZ$17,0))),"-")</f>
        <v>3.5559763761713181E-6</v>
      </c>
      <c r="N245" s="87">
        <f>IFERROR(SUM(N243:N244)*(INDEX(Inputs!$C$18:$AZ$141,MATCH("Retail operating margin",Input_ForRateCalc[Cost item],0),MATCH($F245,Inputs!$C$17:$AZ$17,0))),"-")</f>
        <v>3.6650894637023566E-6</v>
      </c>
      <c r="O245" s="87">
        <f>IFERROR(SUM(O243:O244)*(INDEX(Inputs!$C$18:$AZ$141,MATCH("Retail operating margin",Input_ForRateCalc[Cost item],0),MATCH($F245,Inputs!$C$17:$AZ$17,0))),"-")</f>
        <v>3.5767441921229453E-6</v>
      </c>
    </row>
    <row r="246" spans="3:20" hidden="1" outlineLevel="1" x14ac:dyDescent="0.25">
      <c r="C246" s="14" t="s">
        <v>421</v>
      </c>
      <c r="D246" s="14"/>
      <c r="E246" s="14"/>
      <c r="F246" s="14"/>
      <c r="G246" s="14"/>
      <c r="H246" s="14" t="s">
        <v>184</v>
      </c>
      <c r="I246" s="14" t="s">
        <v>75</v>
      </c>
      <c r="J246" s="14" t="s">
        <v>139</v>
      </c>
      <c r="K246" s="87">
        <f>SUM(K243:K245)*GST</f>
        <v>6.491989961307075E-6</v>
      </c>
      <c r="L246" s="87">
        <f>SUM(L243:L245)*GST</f>
        <v>6.2965663223143106E-6</v>
      </c>
      <c r="M246" s="87">
        <f>SUM(M243:M245)*GST</f>
        <v>6.2429757438610369E-6</v>
      </c>
      <c r="N246" s="87">
        <f>SUM(N243:N245)*GST</f>
        <v>6.4345378597847339E-6</v>
      </c>
      <c r="O246" s="87">
        <f>SUM(O243:O245)*GST</f>
        <v>6.2794363267006159E-6</v>
      </c>
    </row>
    <row r="247" spans="3:20" hidden="1" outlineLevel="1" x14ac:dyDescent="0.25">
      <c r="C247" s="39" t="s">
        <v>409</v>
      </c>
      <c r="D247" s="39"/>
      <c r="E247" s="39"/>
      <c r="F247" s="39"/>
      <c r="H247" s="39" t="s">
        <v>184</v>
      </c>
      <c r="I247" s="39" t="s">
        <v>75</v>
      </c>
      <c r="J247" s="39" t="s">
        <v>139</v>
      </c>
      <c r="K247" s="87">
        <f>SUM(K243:K246)</f>
        <v>7.1411889574377822E-5</v>
      </c>
      <c r="L247" s="87">
        <f>SUM(L243:L246)</f>
        <v>6.9262229545457419E-5</v>
      </c>
      <c r="M247" s="87">
        <f>SUM(M243:M246)</f>
        <v>6.8672733182471396E-5</v>
      </c>
      <c r="N247" s="87">
        <f>SUM(N243:N246)</f>
        <v>7.0779916457632067E-5</v>
      </c>
      <c r="O247" s="87">
        <f>SUM(O243:O246)</f>
        <v>6.9073799593706765E-5</v>
      </c>
    </row>
    <row r="248" spans="3:20" hidden="1" outlineLevel="1" x14ac:dyDescent="0.25">
      <c r="C248" s="14"/>
      <c r="D248" s="14"/>
      <c r="E248" s="14"/>
      <c r="F248" s="14"/>
      <c r="G248" s="14"/>
      <c r="H248" s="14"/>
      <c r="I248" s="14"/>
      <c r="J248" s="14"/>
      <c r="K248" s="87"/>
      <c r="L248" s="87"/>
      <c r="M248" s="87"/>
      <c r="N248" s="87"/>
      <c r="O248" s="87"/>
    </row>
    <row r="249" spans="3:20" hidden="1" outlineLevel="1" x14ac:dyDescent="0.25">
      <c r="C249" s="37" t="s">
        <v>314</v>
      </c>
      <c r="D249" s="37"/>
      <c r="E249" s="37"/>
      <c r="F249" s="37"/>
      <c r="G249" s="28" t="str">
        <f>INDEX(Input_TU_YesNo[],MATCH(Calc_TUV_Env_2[[#This Row],[Cost item]],Input_TU_YesNo[Component],0),MATCH($D$224,Inputs!$C$210:$BM$210,0))</f>
        <v>Yes</v>
      </c>
      <c r="H249" s="47"/>
      <c r="I249" s="14"/>
      <c r="J249" s="14"/>
      <c r="K249" s="14"/>
      <c r="L249" s="14"/>
      <c r="M249" s="14"/>
      <c r="N249" s="14"/>
      <c r="O249" s="14"/>
    </row>
    <row r="250" spans="3:20" hidden="1" outlineLevel="1" x14ac:dyDescent="0.25">
      <c r="C250" s="14" t="s">
        <v>208</v>
      </c>
      <c r="D250" s="58" t="str">
        <f>Calc_TU_values!$D$224</f>
        <v>VDO 2023-24 - Final</v>
      </c>
      <c r="E250" s="14" t="s">
        <v>322</v>
      </c>
      <c r="F250" s="58" t="str">
        <f>INDEX(Inputs!$C$17:$AZ$17,1,MATCH($D250,Inputs!$C$15:$AZ$15,0))</f>
        <v>F-CurrentVDO_Input</v>
      </c>
      <c r="G250" s="38"/>
      <c r="H250" s="14" t="s">
        <v>184</v>
      </c>
      <c r="I250" s="14" t="s">
        <v>206</v>
      </c>
      <c r="J250" s="39" t="s">
        <v>139</v>
      </c>
      <c r="K250" s="44">
        <f>IFERROR(INDEX(Input_TUEnv_Actual[],MATCH($C250,Input_TUEnv_Actual[Cost item],0),MATCH($F250,Input_TUEnv_Actual[#Headers],0)),"-")</f>
        <v>40</v>
      </c>
      <c r="L250" s="44">
        <f>IFERROR(INDEX(Input_TUEnv_Actual[],MATCH($C250,Input_TUEnv_Actual[Cost item],0),MATCH($F250,Input_TUEnv_Actual[#Headers],0)),"-")</f>
        <v>40</v>
      </c>
      <c r="M250" s="44">
        <f>IFERROR(INDEX(Input_TUEnv_Actual[],MATCH($C250,Input_TUEnv_Actual[Cost item],0),MATCH($F250,Input_TUEnv_Actual[#Headers],0)),"-")</f>
        <v>40</v>
      </c>
      <c r="N250" s="44">
        <f>IFERROR(INDEX(Input_TUEnv_Actual[],MATCH($C250,Input_TUEnv_Actual[Cost item],0),MATCH($F250,Input_TUEnv_Actual[#Headers],0)),"-")</f>
        <v>40</v>
      </c>
      <c r="O250" s="44">
        <f>IFERROR(INDEX(Input_TUEnv_Actual[],MATCH($C250,Input_TUEnv_Actual[Cost item],0),MATCH($F250,Input_TUEnv_Actual[#Headers],0)),"-")</f>
        <v>40</v>
      </c>
    </row>
    <row r="251" spans="3:20" hidden="1" outlineLevel="1" x14ac:dyDescent="0.25">
      <c r="C251" s="39" t="s">
        <v>213</v>
      </c>
      <c r="D251" s="58" t="str">
        <f>Calc_TU_values!$D$224</f>
        <v>VDO 2023-24 - Final</v>
      </c>
      <c r="E251" s="14" t="s">
        <v>322</v>
      </c>
      <c r="F251" s="58" t="str">
        <f>INDEX(Inputs!$C$17:$AZ$17,1,MATCH($D251,Inputs!$C$15:$AZ$15,0))</f>
        <v>F-CurrentVDO_Input</v>
      </c>
      <c r="G251" s="38"/>
      <c r="H251" s="14" t="s">
        <v>184</v>
      </c>
      <c r="I251" s="14" t="s">
        <v>210</v>
      </c>
      <c r="J251" s="39" t="s">
        <v>139</v>
      </c>
      <c r="K251" s="46">
        <f>IFERROR(INDEX(Input_TUEnv_Actual[],MATCH($C251,Input_TUEnv_Actual[Cost item],0),MATCH($F251,Input_TUEnv_Actual[#Headers],0)),"-")</f>
        <v>0.21779999999999999</v>
      </c>
      <c r="L251" s="46">
        <f>IFERROR(INDEX(Input_TUEnv_Actual[],MATCH($C251,Input_TUEnv_Actual[Cost item],0),MATCH($F251,Input_TUEnv_Actual[#Headers],0)),"-")</f>
        <v>0.21779999999999999</v>
      </c>
      <c r="M251" s="46">
        <f>IFERROR(INDEX(Input_TUEnv_Actual[],MATCH($C251,Input_TUEnv_Actual[Cost item],0),MATCH($F251,Input_TUEnv_Actual[#Headers],0)),"-")</f>
        <v>0.21779999999999999</v>
      </c>
      <c r="N251" s="46">
        <f>IFERROR(INDEX(Input_TUEnv_Actual[],MATCH($C251,Input_TUEnv_Actual[Cost item],0),MATCH($F251,Input_TUEnv_Actual[#Headers],0)),"-")</f>
        <v>0.21779999999999999</v>
      </c>
      <c r="O251" s="46">
        <f>IFERROR(INDEX(Input_TUEnv_Actual[],MATCH($C251,Input_TUEnv_Actual[Cost item],0),MATCH($F251,Input_TUEnv_Actual[#Headers],0)),"-")</f>
        <v>0.21779999999999999</v>
      </c>
    </row>
    <row r="252" spans="3:20" hidden="1" outlineLevel="1" x14ac:dyDescent="0.25">
      <c r="C252" s="14" t="s">
        <v>417</v>
      </c>
      <c r="D252" s="58" t="str">
        <f>Calc_TU_values!$D$224</f>
        <v>VDO 2023-24 - Final</v>
      </c>
      <c r="E252" s="14" t="s">
        <v>322</v>
      </c>
      <c r="F252" s="58" t="str">
        <f>INDEX(Inputs!$C$17:$AZ$17,1,MATCH($D252,Inputs!$C$15:$AZ$15,0))</f>
        <v>F-CurrentVDO_Input</v>
      </c>
      <c r="G252" s="38"/>
      <c r="H252" s="14" t="s">
        <v>184</v>
      </c>
      <c r="I252" s="14" t="s">
        <v>75</v>
      </c>
      <c r="J252" s="39" t="s">
        <v>139</v>
      </c>
      <c r="K252" s="43">
        <f>IFERROR(K250*K251/1000,"-")</f>
        <v>8.7119999999999993E-3</v>
      </c>
      <c r="L252" s="43">
        <f>IFERROR(L250*L251/1000,"-")</f>
        <v>8.7119999999999993E-3</v>
      </c>
      <c r="M252" s="43">
        <f>IFERROR(M250*M251/1000,"-")</f>
        <v>8.7119999999999993E-3</v>
      </c>
      <c r="N252" s="43">
        <f>IFERROR(N250*N251/1000,"-")</f>
        <v>8.7119999999999993E-3</v>
      </c>
      <c r="O252" s="43">
        <f>IFERROR(O250*O251/1000,"-")</f>
        <v>8.7119999999999993E-3</v>
      </c>
    </row>
    <row r="253" spans="3:20" hidden="1" outlineLevel="1" x14ac:dyDescent="0.25">
      <c r="C253" s="14" t="s">
        <v>208</v>
      </c>
      <c r="D253" s="58" t="str">
        <f>INDEX(Input_DecisionActual[[Decision]:[Decision]],MATCH(Calc_TU_values!$D$224,Input_DecisionActual[[VDO period]:[VDO period]],0),1)</f>
        <v>VDO 2022-23 - Final</v>
      </c>
      <c r="E253" s="14" t="s">
        <v>102</v>
      </c>
      <c r="F253" s="58" t="str">
        <f>IF($D253="-","-",INDEX(Inputs!$C$17:$AZ$17,1,MATCH($D253,Inputs!$C$15:$AZ$15,0)))</f>
        <v>F-PreviousVDO_Input3</v>
      </c>
      <c r="G253" s="38"/>
      <c r="H253" s="14" t="s">
        <v>184</v>
      </c>
      <c r="I253" s="14" t="s">
        <v>206</v>
      </c>
      <c r="J253" s="39" t="s">
        <v>139</v>
      </c>
      <c r="K253" s="45">
        <f>IFERROR(INDEX(Input_ForRateCalc[],MATCH($C253,Input_ForRateCalc[Cost item],0),MATCH($F253,Inputs!$C$17:$AZ$17,0)),"-")</f>
        <v>40</v>
      </c>
      <c r="L253" s="45">
        <f>IFERROR(INDEX(Input_ForRateCalc[],MATCH($C253,Input_ForRateCalc[Cost item],0),MATCH($F253,Inputs!$C$17:$AZ$17,0)),"-")</f>
        <v>40</v>
      </c>
      <c r="M253" s="45">
        <f>IFERROR(INDEX(Input_ForRateCalc[],MATCH($C253,Input_ForRateCalc[Cost item],0),MATCH($F253,Inputs!$C$17:$AZ$17,0)),"-")</f>
        <v>40</v>
      </c>
      <c r="N253" s="45">
        <f>IFERROR(INDEX(Input_ForRateCalc[],MATCH($C253,Input_ForRateCalc[Cost item],0),MATCH($F253,Inputs!$C$17:$AZ$17,0)),"-")</f>
        <v>40</v>
      </c>
      <c r="O253" s="45">
        <f>IFERROR(INDEX(Input_ForRateCalc[],MATCH($C253,Input_ForRateCalc[Cost item],0),MATCH($F253,Inputs!$C$17:$AZ$17,0)),"-")</f>
        <v>40</v>
      </c>
    </row>
    <row r="254" spans="3:20" hidden="1" outlineLevel="1" x14ac:dyDescent="0.25">
      <c r="C254" s="39" t="s">
        <v>213</v>
      </c>
      <c r="D254" s="58" t="str">
        <f>INDEX(Input_DecisionActual[[Decision]:[Decision]],MATCH(Calc_TU_values!$D$224,Input_DecisionActual[[VDO period]:[VDO period]],0),1)</f>
        <v>VDO 2022-23 - Final</v>
      </c>
      <c r="E254" s="14" t="s">
        <v>102</v>
      </c>
      <c r="F254" s="58" t="str">
        <f>IF($D254="-","-",INDEX(Inputs!$C$17:$AZ$17,1,MATCH($D254,Inputs!$C$15:$AZ$15,0)))</f>
        <v>F-PreviousVDO_Input3</v>
      </c>
      <c r="G254" s="38"/>
      <c r="H254" s="14" t="s">
        <v>184</v>
      </c>
      <c r="I254" s="14" t="s">
        <v>210</v>
      </c>
      <c r="J254" s="39" t="s">
        <v>139</v>
      </c>
      <c r="K254" s="46">
        <f>IFERROR(INDEX(Input_ForRateCalc[],MATCH($C254,Input_ForRateCalc[Cost item],0),MATCH($F254,Inputs!$C$17:$AZ$17,0)),"-")</f>
        <v>0.248</v>
      </c>
      <c r="L254" s="46">
        <f>IFERROR(INDEX(Input_ForRateCalc[],MATCH($C254,Input_ForRateCalc[Cost item],0),MATCH($F254,Inputs!$C$17:$AZ$17,0)),"-")</f>
        <v>0.248</v>
      </c>
      <c r="M254" s="46">
        <f>IFERROR(INDEX(Input_ForRateCalc[],MATCH($C254,Input_ForRateCalc[Cost item],0),MATCH($F254,Inputs!$C$17:$AZ$17,0)),"-")</f>
        <v>0.248</v>
      </c>
      <c r="N254" s="46">
        <f>IFERROR(INDEX(Input_ForRateCalc[],MATCH($C254,Input_ForRateCalc[Cost item],0),MATCH($F254,Inputs!$C$17:$AZ$17,0)),"-")</f>
        <v>0.248</v>
      </c>
      <c r="O254" s="46">
        <f>IFERROR(INDEX(Input_ForRateCalc[],MATCH($C254,Input_ForRateCalc[Cost item],0),MATCH($F254,Inputs!$C$17:$AZ$17,0)),"-")</f>
        <v>0.248</v>
      </c>
    </row>
    <row r="255" spans="3:20" hidden="1" outlineLevel="1" x14ac:dyDescent="0.25">
      <c r="C255" s="14" t="s">
        <v>417</v>
      </c>
      <c r="D255" s="58" t="str">
        <f>INDEX(Input_DecisionActual[[Decision]:[Decision]],MATCH(Calc_TU_values!$D$224,Input_DecisionActual[[VDO period]:[VDO period]],0),1)</f>
        <v>VDO 2022-23 - Final</v>
      </c>
      <c r="E255" s="14" t="s">
        <v>102</v>
      </c>
      <c r="F255" s="58" t="str">
        <f>IF($D255="-","-",INDEX(Inputs!$C$17:$AZ$17,1,MATCH($D255,Inputs!$C$15:$AZ$15,0)))</f>
        <v>F-PreviousVDO_Input3</v>
      </c>
      <c r="G255" s="38"/>
      <c r="H255" s="14" t="s">
        <v>184</v>
      </c>
      <c r="I255" s="14" t="s">
        <v>75</v>
      </c>
      <c r="J255" s="39" t="s">
        <v>139</v>
      </c>
      <c r="K255" s="43">
        <f>IFERROR(K253*K254/1000,"-")</f>
        <v>9.92E-3</v>
      </c>
      <c r="L255" s="43">
        <f>IFERROR(L253*L254/1000,"-")</f>
        <v>9.92E-3</v>
      </c>
      <c r="M255" s="43">
        <f>IFERROR(M253*M254/1000,"-")</f>
        <v>9.92E-3</v>
      </c>
      <c r="N255" s="43">
        <f>IFERROR(N253*N254/1000,"-")</f>
        <v>9.92E-3</v>
      </c>
      <c r="O255" s="43">
        <f>IFERROR(O253*O254/1000,"-")</f>
        <v>9.92E-3</v>
      </c>
    </row>
    <row r="256" spans="3:20" hidden="1" outlineLevel="1" x14ac:dyDescent="0.25">
      <c r="C256" s="14" t="s">
        <v>418</v>
      </c>
      <c r="D256" s="14"/>
      <c r="E256" s="14"/>
      <c r="F256" s="14"/>
      <c r="G256" s="14"/>
      <c r="H256" s="14" t="s">
        <v>184</v>
      </c>
      <c r="I256" s="14" t="s">
        <v>75</v>
      </c>
      <c r="J256" s="14" t="s">
        <v>139</v>
      </c>
      <c r="K256" s="86">
        <f>IFERROR(K252-K255,"-")</f>
        <v>-1.2080000000000007E-3</v>
      </c>
      <c r="L256" s="86">
        <f>IFERROR(L252-L255,"-")</f>
        <v>-1.2080000000000007E-3</v>
      </c>
      <c r="M256" s="86">
        <f>IFERROR(M252-M255,"-")</f>
        <v>-1.2080000000000007E-3</v>
      </c>
      <c r="N256" s="86">
        <f>IFERROR(N252-N255,"-")</f>
        <v>-1.2080000000000007E-3</v>
      </c>
      <c r="O256" s="86">
        <f>IFERROR(O252-O255,"-")</f>
        <v>-1.2080000000000007E-3</v>
      </c>
    </row>
    <row r="257" spans="2:15" hidden="1" outlineLevel="1" x14ac:dyDescent="0.25">
      <c r="C257" s="14" t="s">
        <v>419</v>
      </c>
      <c r="D257" s="58" t="str">
        <f>INDEX(Input_DecisionActual[[Decision]:[Decision]],MATCH(Calc_TU_values!$D$224,Input_DecisionActual[[VDO period]:[VDO period]],0),1)</f>
        <v>VDO 2022-23 - Final</v>
      </c>
      <c r="E257" s="14" t="s">
        <v>102</v>
      </c>
      <c r="F257" s="58" t="str">
        <f>IF($D257="-","-",INDEX(Inputs!$C$17:$AZ$17,1,MATCH($D257,Inputs!$C$15:$AZ$15,0)))</f>
        <v>F-PreviousVDO_Input3</v>
      </c>
      <c r="G257" s="14"/>
      <c r="H257" s="14" t="s">
        <v>184</v>
      </c>
      <c r="I257" s="14" t="s">
        <v>75</v>
      </c>
      <c r="J257" s="14" t="s">
        <v>139</v>
      </c>
      <c r="K257" s="87">
        <f>IFERROR(K256*(INDEX(Inputs!$C$18:$AZ$141,MATCH("Marginal loss factor - "&amp;K$15,Input_ForRateCalc[Cost item],0),MATCH($F257,Inputs!$C$17:$AZ$17,0))*INDEX(Inputs!$C$18:$AZ$141,MATCH("Distribution loss factor - "&amp;K$15,Input_ForRateCalc[Cost item],0),MATCH($F257,Inputs!$C$17:$AZ$17,0))-1),"-")</f>
        <v>-9.5515923815455472E-5</v>
      </c>
      <c r="L257" s="87">
        <f>IFERROR(L256*(INDEX(Inputs!$C$18:$AZ$141,MATCH("Marginal loss factor - "&amp;L$15,Input_ForRateCalc[Cost item],0),MATCH($F257,Inputs!$C$17:$AZ$17,0))*INDEX(Inputs!$C$18:$AZ$141,MATCH("Distribution loss factor - "&amp;L$15,Input_ForRateCalc[Cost item],0),MATCH($F257,Inputs!$C$17:$AZ$17,0))-1),"-")</f>
        <v>-5.6277134655999936E-5</v>
      </c>
      <c r="M257" s="87">
        <f>IFERROR(M256*(INDEX(Inputs!$C$18:$AZ$141,MATCH("Marginal loss factor - "&amp;M$15,Input_ForRateCalc[Cost item],0),MATCH($F257,Inputs!$C$17:$AZ$17,0))*INDEX(Inputs!$C$18:$AZ$141,MATCH("Distribution loss factor - "&amp;M$15,Input_ForRateCalc[Cost item],0),MATCH($F257,Inputs!$C$17:$AZ$17,0))-1),"-")</f>
        <v>-4.5516771070000129E-5</v>
      </c>
      <c r="N257" s="87">
        <f>IFERROR(N256*(INDEX(Inputs!$C$18:$AZ$141,MATCH("Marginal loss factor - "&amp;N$15,Input_ForRateCalc[Cost item],0),MATCH($F257,Inputs!$C$17:$AZ$17,0))*INDEX(Inputs!$C$18:$AZ$141,MATCH("Distribution loss factor - "&amp;N$15,Input_ForRateCalc[Cost item],0),MATCH($F257,Inputs!$C$17:$AZ$17,0))-1),"-")</f>
        <v>-8.3980211401021003E-5</v>
      </c>
      <c r="O257" s="87">
        <f>IFERROR(O256*(INDEX(Inputs!$C$18:$AZ$141,MATCH("Marginal loss factor - "&amp;O$15,Input_ForRateCalc[Cost item],0),MATCH($F257,Inputs!$C$17:$AZ$17,0))*INDEX(Inputs!$C$18:$AZ$141,MATCH("Distribution loss factor - "&amp;O$15,Input_ForRateCalc[Cost item],0),MATCH($F257,Inputs!$C$17:$AZ$17,0))-1),"-")</f>
        <v>-5.2837631177031839E-5</v>
      </c>
    </row>
    <row r="258" spans="2:15" hidden="1" outlineLevel="1" x14ac:dyDescent="0.25">
      <c r="C258" s="14" t="s">
        <v>420</v>
      </c>
      <c r="D258" s="58" t="str">
        <f>INDEX(Input_DecisionActual[[Decision]:[Decision]],MATCH(Calc_TU_values!$D$224,Input_DecisionActual[[VDO period]:[VDO period]],0),1)</f>
        <v>VDO 2022-23 - Final</v>
      </c>
      <c r="E258" s="14" t="s">
        <v>102</v>
      </c>
      <c r="F258" s="58" t="str">
        <f>IF($D258="-","-",INDEX(Inputs!$C$17:$AZ$17,1,MATCH($D258,Inputs!$C$15:$AZ$15,0)))</f>
        <v>F-PreviousVDO_Input3</v>
      </c>
      <c r="G258" s="14"/>
      <c r="H258" s="14" t="s">
        <v>184</v>
      </c>
      <c r="I258" s="14" t="s">
        <v>75</v>
      </c>
      <c r="J258" s="14" t="s">
        <v>139</v>
      </c>
      <c r="K258" s="87">
        <f>IFERROR(SUM(K256:K257)*(INDEX(Inputs!$C$18:$AZ$141,MATCH("Retail operating margin",Input_ForRateCalc[Cost item],0),MATCH($F258,Inputs!$C$17:$AZ$17,0))),"-")</f>
        <v>-7.873236179845356E-5</v>
      </c>
      <c r="L258" s="87">
        <f>IFERROR(SUM(L256:L257)*(INDEX(Inputs!$C$18:$AZ$141,MATCH("Retail operating margin",Input_ForRateCalc[Cost item],0),MATCH($F258,Inputs!$C$17:$AZ$17,0))),"-")</f>
        <v>-7.6362338933222442E-5</v>
      </c>
      <c r="M258" s="87">
        <f>IFERROR(SUM(M256:M257)*(INDEX(Inputs!$C$18:$AZ$141,MATCH("Retail operating margin",Input_ForRateCalc[Cost item],0),MATCH($F258,Inputs!$C$17:$AZ$17,0))),"-")</f>
        <v>-7.5712412972628055E-5</v>
      </c>
      <c r="N258" s="87">
        <f>IFERROR(SUM(N256:N257)*(INDEX(Inputs!$C$18:$AZ$141,MATCH("Retail operating margin",Input_ForRateCalc[Cost item],0),MATCH($F258,Inputs!$C$17:$AZ$17,0))),"-")</f>
        <v>-7.8035604768621718E-5</v>
      </c>
      <c r="O258" s="87">
        <f>IFERROR(SUM(O256:O257)*(INDEX(Inputs!$C$18:$AZ$141,MATCH("Retail operating margin",Input_ForRateCalc[Cost item],0),MATCH($F258,Inputs!$C$17:$AZ$17,0))),"-")</f>
        <v>-7.6154592923092775E-5</v>
      </c>
    </row>
    <row r="259" spans="2:15" hidden="1" outlineLevel="1" x14ac:dyDescent="0.25">
      <c r="C259" s="14" t="s">
        <v>421</v>
      </c>
      <c r="D259" s="14"/>
      <c r="E259" s="14"/>
      <c r="F259" s="14"/>
      <c r="G259" s="14"/>
      <c r="H259" s="14" t="s">
        <v>184</v>
      </c>
      <c r="I259" s="14" t="s">
        <v>75</v>
      </c>
      <c r="J259" s="14" t="s">
        <v>139</v>
      </c>
      <c r="K259" s="87">
        <f>SUM(K256:K258)*GST</f>
        <v>-1.3822482856139099E-4</v>
      </c>
      <c r="L259" s="87">
        <f>SUM(L256:L258)*GST</f>
        <v>-1.3406394735892231E-4</v>
      </c>
      <c r="M259" s="87">
        <f>SUM(M256:M258)*GST</f>
        <v>-1.329229184042629E-4</v>
      </c>
      <c r="N259" s="87">
        <f>SUM(N256:N258)*GST</f>
        <v>-1.3700158161696435E-4</v>
      </c>
      <c r="O259" s="87">
        <f>SUM(O256:O258)*GST</f>
        <v>-1.3369922241001253E-4</v>
      </c>
    </row>
    <row r="260" spans="2:15" hidden="1" outlineLevel="1" x14ac:dyDescent="0.25">
      <c r="C260" s="39" t="s">
        <v>411</v>
      </c>
      <c r="D260" s="39"/>
      <c r="E260" s="39"/>
      <c r="F260" s="39"/>
      <c r="H260" s="39" t="s">
        <v>184</v>
      </c>
      <c r="I260" s="39" t="s">
        <v>75</v>
      </c>
      <c r="J260" s="39" t="s">
        <v>139</v>
      </c>
      <c r="K260" s="87">
        <f>SUM(K256:K259)</f>
        <v>-1.5204731141753008E-3</v>
      </c>
      <c r="L260" s="87">
        <f>SUM(L256:L259)</f>
        <v>-1.4747034209481452E-3</v>
      </c>
      <c r="M260" s="87">
        <f>SUM(M256:M259)</f>
        <v>-1.4621521024468919E-3</v>
      </c>
      <c r="N260" s="87">
        <f>SUM(N256:N259)</f>
        <v>-1.5070173977866077E-3</v>
      </c>
      <c r="O260" s="87">
        <f>SUM(O256:O259)</f>
        <v>-1.470691446510138E-3</v>
      </c>
    </row>
    <row r="261" spans="2:15" hidden="1" outlineLevel="1" x14ac:dyDescent="0.25">
      <c r="C261" s="14"/>
      <c r="D261" s="14"/>
      <c r="E261" s="14"/>
      <c r="F261" s="14"/>
      <c r="G261" s="14"/>
      <c r="H261" s="14"/>
      <c r="I261" s="14"/>
      <c r="J261" s="14"/>
      <c r="K261" s="44"/>
      <c r="L261" s="44"/>
      <c r="M261" s="44"/>
      <c r="N261" s="44"/>
      <c r="O261" s="44"/>
    </row>
    <row r="262" spans="2:15" hidden="1" outlineLevel="1" x14ac:dyDescent="0.25">
      <c r="C262" s="37" t="s">
        <v>315</v>
      </c>
      <c r="D262" s="37"/>
      <c r="E262" s="37"/>
      <c r="F262" s="37"/>
      <c r="G262" s="28" t="str">
        <f>INDEX(Input_TU_YesNo[],MATCH(Calc_TUV_Env_2[[#This Row],[Cost item]],Input_TU_YesNo[Component],0),MATCH($D$224,Inputs!$C$210:$BM$210,0))</f>
        <v>No</v>
      </c>
      <c r="H262" s="47"/>
      <c r="I262" s="14"/>
      <c r="J262" s="14"/>
      <c r="K262" s="14"/>
      <c r="L262" s="14"/>
      <c r="M262" s="14"/>
      <c r="N262" s="14"/>
      <c r="O262" s="14"/>
    </row>
    <row r="263" spans="2:15" hidden="1" outlineLevel="1" x14ac:dyDescent="0.25">
      <c r="C263" s="14" t="s">
        <v>205</v>
      </c>
      <c r="D263" s="58" t="str">
        <f>Calc_TU_values!$D$224</f>
        <v>VDO 2023-24 - Final</v>
      </c>
      <c r="E263" s="14" t="s">
        <v>322</v>
      </c>
      <c r="F263" s="58" t="str">
        <f>INDEX(Inputs!$C$17:$AZ$17,1,MATCH($D263,Inputs!$C$15:$AZ$15,0))</f>
        <v>F-CurrentVDO_Input</v>
      </c>
      <c r="G263" s="38"/>
      <c r="H263" s="14" t="s">
        <v>184</v>
      </c>
      <c r="I263" s="14" t="s">
        <v>206</v>
      </c>
      <c r="J263" s="39" t="s">
        <v>139</v>
      </c>
      <c r="K263" s="44">
        <f>IFERROR(INDEX(Input_TUEnv_Actual[],MATCH($C263,Input_TUEnv_Actual[Cost item],0),MATCH($F263,Input_TUEnv_Actual[#Headers],0)),"-")</f>
        <v>73.62</v>
      </c>
      <c r="L263" s="44">
        <f>IFERROR(INDEX(Input_TUEnv_Actual[],MATCH($C263,Input_TUEnv_Actual[Cost item],0),MATCH($F263,Input_TUEnv_Actual[#Headers],0)),"-")</f>
        <v>73.62</v>
      </c>
      <c r="M263" s="44">
        <f>IFERROR(INDEX(Input_TUEnv_Actual[],MATCH($C263,Input_TUEnv_Actual[Cost item],0),MATCH($F263,Input_TUEnv_Actual[#Headers],0)),"-")</f>
        <v>73.62</v>
      </c>
      <c r="N263" s="44">
        <f>IFERROR(INDEX(Input_TUEnv_Actual[],MATCH($C263,Input_TUEnv_Actual[Cost item],0),MATCH($F263,Input_TUEnv_Actual[#Headers],0)),"-")</f>
        <v>73.62</v>
      </c>
      <c r="O263" s="44">
        <f>IFERROR(INDEX(Input_TUEnv_Actual[],MATCH($C263,Input_TUEnv_Actual[Cost item],0),MATCH($F263,Input_TUEnv_Actual[#Headers],0)),"-")</f>
        <v>73.62</v>
      </c>
    </row>
    <row r="264" spans="2:15" hidden="1" outlineLevel="1" x14ac:dyDescent="0.25">
      <c r="C264" s="14" t="s">
        <v>209</v>
      </c>
      <c r="D264" s="58" t="str">
        <f>Calc_TU_values!$D$224</f>
        <v>VDO 2023-24 - Final</v>
      </c>
      <c r="E264" s="14" t="s">
        <v>322</v>
      </c>
      <c r="F264" s="58" t="str">
        <f>INDEX(Inputs!$C$17:$AZ$17,1,MATCH($D264,Inputs!$C$15:$AZ$15,0))</f>
        <v>F-CurrentVDO_Input</v>
      </c>
      <c r="G264" s="38"/>
      <c r="H264" s="14" t="s">
        <v>184</v>
      </c>
      <c r="I264" s="14" t="s">
        <v>210</v>
      </c>
      <c r="J264" s="39" t="s">
        <v>139</v>
      </c>
      <c r="K264" s="46">
        <f>IFERROR(INDEX(Input_TUEnv_Actual[],MATCH($C264,Input_TUEnv_Actual[Cost item],0),MATCH($F264,Input_TUEnv_Actual[#Headers],0)),"-")</f>
        <v>0.16113</v>
      </c>
      <c r="L264" s="46">
        <f>IFERROR(INDEX(Input_TUEnv_Actual[],MATCH($C264,Input_TUEnv_Actual[Cost item],0),MATCH($F264,Input_TUEnv_Actual[#Headers],0)),"-")</f>
        <v>0.16113</v>
      </c>
      <c r="M264" s="46">
        <f>IFERROR(INDEX(Input_TUEnv_Actual[],MATCH($C264,Input_TUEnv_Actual[Cost item],0),MATCH($F264,Input_TUEnv_Actual[#Headers],0)),"-")</f>
        <v>0.16113</v>
      </c>
      <c r="N264" s="46">
        <f>IFERROR(INDEX(Input_TUEnv_Actual[],MATCH($C264,Input_TUEnv_Actual[Cost item],0),MATCH($F264,Input_TUEnv_Actual[#Headers],0)),"-")</f>
        <v>0.16113</v>
      </c>
      <c r="O264" s="46">
        <f>IFERROR(INDEX(Input_TUEnv_Actual[],MATCH($C264,Input_TUEnv_Actual[Cost item],0),MATCH($F264,Input_TUEnv_Actual[#Headers],0)),"-")</f>
        <v>0.16113</v>
      </c>
    </row>
    <row r="265" spans="2:15" hidden="1" outlineLevel="1" x14ac:dyDescent="0.25">
      <c r="C265" s="14" t="s">
        <v>417</v>
      </c>
      <c r="D265" s="58" t="str">
        <f>Calc_TU_values!$D$224</f>
        <v>VDO 2023-24 - Final</v>
      </c>
      <c r="E265" s="14" t="s">
        <v>322</v>
      </c>
      <c r="F265" s="58" t="str">
        <f>INDEX(Inputs!$C$17:$AZ$17,1,MATCH($D265,Inputs!$C$15:$AZ$15,0))</f>
        <v>F-CurrentVDO_Input</v>
      </c>
      <c r="G265" s="38"/>
      <c r="H265" s="14" t="s">
        <v>184</v>
      </c>
      <c r="I265" s="14" t="s">
        <v>75</v>
      </c>
      <c r="J265" s="39" t="s">
        <v>139</v>
      </c>
      <c r="K265" s="43">
        <f>IFERROR(K263*K264/1000,"-")</f>
        <v>1.1862390600000002E-2</v>
      </c>
      <c r="L265" s="43">
        <f>IFERROR(L263*L264/1000,"-")</f>
        <v>1.1862390600000002E-2</v>
      </c>
      <c r="M265" s="43">
        <f>IFERROR(M263*M264/1000,"-")</f>
        <v>1.1862390600000002E-2</v>
      </c>
      <c r="N265" s="43">
        <f>IFERROR(N263*N264/1000,"-")</f>
        <v>1.1862390600000002E-2</v>
      </c>
      <c r="O265" s="43">
        <f>IFERROR(O263*O264/1000,"-")</f>
        <v>1.1862390600000002E-2</v>
      </c>
    </row>
    <row r="266" spans="2:15" hidden="1" outlineLevel="1" x14ac:dyDescent="0.25">
      <c r="C266" s="14" t="s">
        <v>205</v>
      </c>
      <c r="D266" s="58" t="str">
        <f>INDEX(Input_DecisionActual[[Decision]:[Decision]],MATCH(Calc_TU_values!$D$224,Input_DecisionActual[[VDO period]:[VDO period]],0),1)</f>
        <v>VDO 2022-23 - Final</v>
      </c>
      <c r="E266" s="14" t="s">
        <v>102</v>
      </c>
      <c r="F266" s="58" t="str">
        <f>IF($D266="-","-",INDEX(Inputs!$C$17:$AZ$17,1,MATCH($D266,Inputs!$C$15:$AZ$15,0)))</f>
        <v>F-PreviousVDO_Input3</v>
      </c>
      <c r="G266" s="38"/>
      <c r="H266" s="14" t="s">
        <v>184</v>
      </c>
      <c r="I266" s="14" t="s">
        <v>206</v>
      </c>
      <c r="J266" s="39" t="s">
        <v>139</v>
      </c>
      <c r="K266" s="45">
        <f>IFERROR(INDEX(Input_ForRateCalc[],MATCH($C266,Input_ForRateCalc[Cost item],0),MATCH($F266,Inputs!$C$17:$AZ$17,0)),"-")</f>
        <v>73.624003962523105</v>
      </c>
      <c r="L266" s="45">
        <f>IFERROR(INDEX(Input_ForRateCalc[],MATCH($C266,Input_ForRateCalc[Cost item],0),MATCH($F266,Inputs!$C$17:$AZ$17,0)),"-")</f>
        <v>73.624003962523105</v>
      </c>
      <c r="M266" s="45">
        <f>IFERROR(INDEX(Input_ForRateCalc[],MATCH($C266,Input_ForRateCalc[Cost item],0),MATCH($F266,Inputs!$C$17:$AZ$17,0)),"-")</f>
        <v>73.624003962523105</v>
      </c>
      <c r="N266" s="45">
        <f>IFERROR(INDEX(Input_ForRateCalc[],MATCH($C266,Input_ForRateCalc[Cost item],0),MATCH($F266,Inputs!$C$17:$AZ$17,0)),"-")</f>
        <v>73.624003962523105</v>
      </c>
      <c r="O266" s="45">
        <f>IFERROR(INDEX(Input_ForRateCalc[],MATCH($C266,Input_ForRateCalc[Cost item],0),MATCH($F266,Inputs!$C$17:$AZ$17,0)),"-")</f>
        <v>73.624003962523105</v>
      </c>
    </row>
    <row r="267" spans="2:15" hidden="1" outlineLevel="1" x14ac:dyDescent="0.25">
      <c r="B267"/>
      <c r="C267" s="14" t="s">
        <v>209</v>
      </c>
      <c r="D267" s="58" t="str">
        <f>INDEX(Input_DecisionActual[[Decision]:[Decision]],MATCH(Calc_TU_values!$D$224,Input_DecisionActual[[VDO period]:[VDO period]],0),1)</f>
        <v>VDO 2022-23 - Final</v>
      </c>
      <c r="E267" s="14" t="s">
        <v>102</v>
      </c>
      <c r="F267" s="58" t="str">
        <f>IF($D267="-","-",INDEX(Inputs!$C$17:$AZ$17,1,MATCH($D267,Inputs!$C$15:$AZ$15,0)))</f>
        <v>F-PreviousVDO_Input3</v>
      </c>
      <c r="G267" s="38"/>
      <c r="H267" s="14" t="s">
        <v>184</v>
      </c>
      <c r="I267" s="14" t="s">
        <v>210</v>
      </c>
      <c r="J267" s="39" t="s">
        <v>139</v>
      </c>
      <c r="K267" s="46">
        <f>IFERROR(INDEX(Input_ForRateCalc[],MATCH($C267,Input_ForRateCalc[Cost item],0),MATCH($F267,Inputs!$C$17:$AZ$17,0)),"-")</f>
        <v>0.16113</v>
      </c>
      <c r="L267" s="46">
        <f>IFERROR(INDEX(Input_ForRateCalc[],MATCH($C267,Input_ForRateCalc[Cost item],0),MATCH($F267,Inputs!$C$17:$AZ$17,0)),"-")</f>
        <v>0.16113</v>
      </c>
      <c r="M267" s="46">
        <f>IFERROR(INDEX(Input_ForRateCalc[],MATCH($C267,Input_ForRateCalc[Cost item],0),MATCH($F267,Inputs!$C$17:$AZ$17,0)),"-")</f>
        <v>0.16113</v>
      </c>
      <c r="N267" s="46">
        <f>IFERROR(INDEX(Input_ForRateCalc[],MATCH($C267,Input_ForRateCalc[Cost item],0),MATCH($F267,Inputs!$C$17:$AZ$17,0)),"-")</f>
        <v>0.16113</v>
      </c>
      <c r="O267" s="46">
        <f>IFERROR(INDEX(Input_ForRateCalc[],MATCH($C267,Input_ForRateCalc[Cost item],0),MATCH($F267,Inputs!$C$17:$AZ$17,0)),"-")</f>
        <v>0.16113</v>
      </c>
    </row>
    <row r="268" spans="2:15" hidden="1" outlineLevel="1" x14ac:dyDescent="0.25">
      <c r="B268"/>
      <c r="C268" s="14" t="s">
        <v>417</v>
      </c>
      <c r="D268" s="58" t="str">
        <f>INDEX(Input_DecisionActual[[Decision]:[Decision]],MATCH(Calc_TU_values!$D$224,Input_DecisionActual[[VDO period]:[VDO period]],0),1)</f>
        <v>VDO 2022-23 - Final</v>
      </c>
      <c r="E268" s="14" t="s">
        <v>102</v>
      </c>
      <c r="F268" s="58" t="str">
        <f>IF($D268="-","-",INDEX(Inputs!$C$17:$AZ$17,1,MATCH($D268,Inputs!$C$15:$AZ$15,0)))</f>
        <v>F-PreviousVDO_Input3</v>
      </c>
      <c r="G268" s="38"/>
      <c r="H268" s="14" t="s">
        <v>184</v>
      </c>
      <c r="I268" s="14" t="s">
        <v>75</v>
      </c>
      <c r="J268" s="39" t="s">
        <v>139</v>
      </c>
      <c r="K268" s="43">
        <f>IFERROR(K266*K267/1000,"-")</f>
        <v>1.1863035758481346E-2</v>
      </c>
      <c r="L268" s="43">
        <f>IFERROR(L266*L267/1000,"-")</f>
        <v>1.1863035758481346E-2</v>
      </c>
      <c r="M268" s="43">
        <f>IFERROR(M266*M267/1000,"-")</f>
        <v>1.1863035758481346E-2</v>
      </c>
      <c r="N268" s="43">
        <f>IFERROR(N266*N267/1000,"-")</f>
        <v>1.1863035758481346E-2</v>
      </c>
      <c r="O268" s="43">
        <f>IFERROR(O266*O267/1000,"-")</f>
        <v>1.1863035758481346E-2</v>
      </c>
    </row>
    <row r="269" spans="2:15" hidden="1" outlineLevel="1" x14ac:dyDescent="0.25">
      <c r="C269" s="14" t="s">
        <v>418</v>
      </c>
      <c r="D269" s="14"/>
      <c r="E269" s="14"/>
      <c r="F269" s="14"/>
      <c r="G269" s="14"/>
      <c r="H269" s="14" t="s">
        <v>184</v>
      </c>
      <c r="I269" s="14" t="s">
        <v>75</v>
      </c>
      <c r="J269" s="14" t="s">
        <v>139</v>
      </c>
      <c r="K269" s="86">
        <f>IFERROR(K265-K268,"-")</f>
        <v>-6.4515848134487352E-7</v>
      </c>
      <c r="L269" s="86">
        <f>IFERROR(L265-L268,"-")</f>
        <v>-6.4515848134487352E-7</v>
      </c>
      <c r="M269" s="86">
        <f>IFERROR(M265-M268,"-")</f>
        <v>-6.4515848134487352E-7</v>
      </c>
      <c r="N269" s="86">
        <f>IFERROR(N265-N268,"-")</f>
        <v>-6.4515848134487352E-7</v>
      </c>
      <c r="O269" s="86">
        <f>IFERROR(O265-O268,"-")</f>
        <v>-6.4515848134487352E-7</v>
      </c>
    </row>
    <row r="270" spans="2:15" hidden="1" outlineLevel="1" x14ac:dyDescent="0.25">
      <c r="C270" s="14" t="s">
        <v>419</v>
      </c>
      <c r="D270" s="58" t="str">
        <f>INDEX(Input_DecisionActual[[Decision]:[Decision]],MATCH(Calc_TU_values!$D$224,Input_DecisionActual[[VDO period]:[VDO period]],0),1)</f>
        <v>VDO 2022-23 - Final</v>
      </c>
      <c r="E270" s="14" t="s">
        <v>102</v>
      </c>
      <c r="F270" s="58" t="str">
        <f>IF($D270="-","-",INDEX(Inputs!$C$17:$AZ$17,1,MATCH($D270,Inputs!$C$15:$AZ$15,0)))</f>
        <v>F-PreviousVDO_Input3</v>
      </c>
      <c r="G270" s="14"/>
      <c r="H270" s="14" t="s">
        <v>184</v>
      </c>
      <c r="I270" s="14" t="s">
        <v>75</v>
      </c>
      <c r="J270" s="14" t="s">
        <v>139</v>
      </c>
      <c r="K270" s="87">
        <f>IFERROR(K269*(INDEX(Inputs!$C$18:$AZ$141,MATCH("Marginal loss factor - "&amp;K$15,Input_ForRateCalc[Cost item],0),MATCH($F270,Inputs!$C$17:$AZ$17,0))*INDEX(Inputs!$C$18:$AZ$141,MATCH("Distribution loss factor - "&amp;K$15,Input_ForRateCalc[Cost item],0),MATCH($F270,Inputs!$C$17:$AZ$17,0))-1),"-")</f>
        <v>-5.101234135184756E-8</v>
      </c>
      <c r="L270" s="87">
        <f>IFERROR(L269*(INDEX(Inputs!$C$18:$AZ$141,MATCH("Marginal loss factor - "&amp;L$15,Input_ForRateCalc[Cost item],0),MATCH($F270,Inputs!$C$17:$AZ$17,0))*INDEX(Inputs!$C$18:$AZ$141,MATCH("Distribution loss factor - "&amp;L$15,Input_ForRateCalc[Cost item],0),MATCH($F270,Inputs!$C$17:$AZ$17,0))-1),"-")</f>
        <v>-3.0056018815484974E-8</v>
      </c>
      <c r="M270" s="87">
        <f>IFERROR(M269*(INDEX(Inputs!$C$18:$AZ$141,MATCH("Marginal loss factor - "&amp;M$15,Input_ForRateCalc[Cost item],0),MATCH($F270,Inputs!$C$17:$AZ$17,0))*INDEX(Inputs!$C$18:$AZ$141,MATCH("Distribution loss factor - "&amp;M$15,Input_ForRateCalc[Cost item],0),MATCH($F270,Inputs!$C$17:$AZ$17,0))-1),"-")</f>
        <v>-2.4309214320565841E-8</v>
      </c>
      <c r="N270" s="87">
        <f>IFERROR(N269*(INDEX(Inputs!$C$18:$AZ$141,MATCH("Marginal loss factor - "&amp;N$15,Input_ForRateCalc[Cost item],0),MATCH($F270,Inputs!$C$17:$AZ$17,0))*INDEX(Inputs!$C$18:$AZ$141,MATCH("Distribution loss factor - "&amp;N$15,Input_ForRateCalc[Cost item],0),MATCH($F270,Inputs!$C$17:$AZ$17,0))-1),"-")</f>
        <v>-4.4851445074920615E-8</v>
      </c>
      <c r="O270" s="87">
        <f>IFERROR(O269*(INDEX(Inputs!$C$18:$AZ$141,MATCH("Marginal loss factor - "&amp;O$15,Input_ForRateCalc[Cost item],0),MATCH($F270,Inputs!$C$17:$AZ$17,0))*INDEX(Inputs!$C$18:$AZ$141,MATCH("Distribution loss factor - "&amp;O$15,Input_ForRateCalc[Cost item],0),MATCH($F270,Inputs!$C$17:$AZ$17,0))-1),"-")</f>
        <v>-2.8219077721882768E-8</v>
      </c>
    </row>
    <row r="271" spans="2:15" hidden="1" outlineLevel="1" x14ac:dyDescent="0.25">
      <c r="B271"/>
      <c r="C271" s="14" t="s">
        <v>420</v>
      </c>
      <c r="D271" s="58" t="str">
        <f>INDEX(Input_DecisionActual[[Decision]:[Decision]],MATCH(Calc_TU_values!$D$224,Input_DecisionActual[[VDO period]:[VDO period]],0),1)</f>
        <v>VDO 2022-23 - Final</v>
      </c>
      <c r="E271" s="14" t="s">
        <v>102</v>
      </c>
      <c r="F271" s="58" t="str">
        <f>IF($D271="-","-",INDEX(Inputs!$C$17:$AZ$17,1,MATCH($D271,Inputs!$C$15:$AZ$15,0)))</f>
        <v>F-PreviousVDO_Input3</v>
      </c>
      <c r="G271" s="14"/>
      <c r="H271" s="14" t="s">
        <v>184</v>
      </c>
      <c r="I271" s="14" t="s">
        <v>75</v>
      </c>
      <c r="J271" s="14" t="s">
        <v>139</v>
      </c>
      <c r="K271" s="87">
        <f>IFERROR(SUM(K269:K270)*(INDEX(Inputs!$C$18:$AZ$141,MATCH("Retail operating margin",Input_ForRateCalc[Cost item],0),MATCH($F271,Inputs!$C$17:$AZ$17,0))),"-")</f>
        <v>-4.2048717690881954E-8</v>
      </c>
      <c r="L271" s="87">
        <f>IFERROR(SUM(L269:L270)*(INDEX(Inputs!$C$18:$AZ$141,MATCH("Retail operating margin",Input_ForRateCalc[Cost item],0),MATCH($F271,Inputs!$C$17:$AZ$17,0))),"-")</f>
        <v>-4.0782955809685654E-8</v>
      </c>
      <c r="M271" s="87">
        <f>IFERROR(SUM(M269:M270)*(INDEX(Inputs!$C$18:$AZ$141,MATCH("Retail operating margin",Input_ForRateCalc[Cost item],0),MATCH($F271,Inputs!$C$17:$AZ$17,0))),"-")</f>
        <v>-4.0435848818192538E-8</v>
      </c>
      <c r="N271" s="87">
        <f>IFERROR(SUM(N269:N270)*(INDEX(Inputs!$C$18:$AZ$141,MATCH("Retail operating margin",Input_ForRateCalc[Cost item],0),MATCH($F271,Inputs!$C$17:$AZ$17,0))),"-")</f>
        <v>-4.1676599555755566E-8</v>
      </c>
      <c r="O271" s="87">
        <f>IFERROR(SUM(O269:O270)*(INDEX(Inputs!$C$18:$AZ$141,MATCH("Retail operating margin",Input_ForRateCalc[Cost item],0),MATCH($F271,Inputs!$C$17:$AZ$17,0))),"-")</f>
        <v>-4.0672004567632079E-8</v>
      </c>
    </row>
    <row r="272" spans="2:15" hidden="1" outlineLevel="1" x14ac:dyDescent="0.25">
      <c r="B272"/>
      <c r="C272" s="14" t="s">
        <v>421</v>
      </c>
      <c r="D272" s="14"/>
      <c r="E272" s="14"/>
      <c r="F272" s="14"/>
      <c r="G272" s="14"/>
      <c r="H272" s="14" t="s">
        <v>184</v>
      </c>
      <c r="I272" s="14" t="s">
        <v>75</v>
      </c>
      <c r="J272" s="14" t="s">
        <v>139</v>
      </c>
      <c r="K272" s="87">
        <f>SUM(K269:K271)*GST</f>
        <v>-7.382195403876031E-8</v>
      </c>
      <c r="L272" s="87">
        <f>SUM(L269:L271)*GST</f>
        <v>-7.1599745597004419E-8</v>
      </c>
      <c r="M272" s="87">
        <f>SUM(M269:M271)*GST</f>
        <v>-7.0990354448363195E-8</v>
      </c>
      <c r="N272" s="87">
        <f>SUM(N269:N271)*GST</f>
        <v>-7.3168652597554977E-8</v>
      </c>
      <c r="O272" s="87">
        <f>SUM(O269:O271)*GST</f>
        <v>-7.1404956363438844E-8</v>
      </c>
    </row>
    <row r="273" spans="2:17" ht="15.75" hidden="1" outlineLevel="1" x14ac:dyDescent="0.25">
      <c r="B273" s="6"/>
      <c r="C273" s="31" t="s">
        <v>412</v>
      </c>
      <c r="D273" s="31"/>
      <c r="E273" s="31"/>
      <c r="F273" s="31"/>
      <c r="G273" s="48"/>
      <c r="H273" s="14" t="s">
        <v>184</v>
      </c>
      <c r="I273" s="14" t="s">
        <v>75</v>
      </c>
      <c r="J273" s="39" t="s">
        <v>139</v>
      </c>
      <c r="K273" s="87">
        <f>SUM(K269:K272)</f>
        <v>-8.1204149442636333E-7</v>
      </c>
      <c r="L273" s="87">
        <f>SUM(L269:L272)</f>
        <v>-7.8759720156704853E-7</v>
      </c>
      <c r="M273" s="87">
        <f>SUM(M269:M272)</f>
        <v>-7.8089389893199512E-7</v>
      </c>
      <c r="N273" s="87">
        <f>SUM(N269:N272)</f>
        <v>-8.0485517857310466E-7</v>
      </c>
      <c r="O273" s="87">
        <f>SUM(O269:O272)</f>
        <v>-7.8545451999782717E-7</v>
      </c>
    </row>
    <row r="274" spans="2:17" hidden="1" outlineLevel="1" x14ac:dyDescent="0.25">
      <c r="H274" s="78"/>
      <c r="I274" s="78"/>
      <c r="J274" s="78"/>
      <c r="K274" s="78"/>
      <c r="L274" s="78"/>
    </row>
    <row r="275" spans="2:17" hidden="1" x14ac:dyDescent="0.25"/>
    <row r="276" spans="2:17" ht="16.5" hidden="1" thickBot="1" x14ac:dyDescent="0.3">
      <c r="B276" s="155">
        <f ca="1">MAX(B$3:B275)+0.01</f>
        <v>14.04</v>
      </c>
      <c r="C276" s="19" t="s">
        <v>422</v>
      </c>
      <c r="D276" s="19"/>
      <c r="E276" s="19"/>
      <c r="F276" s="19"/>
      <c r="G276" s="19"/>
      <c r="H276" s="19"/>
      <c r="I276" s="19"/>
      <c r="J276" s="19"/>
      <c r="K276" s="19"/>
      <c r="L276" s="19"/>
      <c r="M276" s="19"/>
      <c r="N276" s="19"/>
      <c r="O276" s="19"/>
      <c r="P276" s="19"/>
      <c r="Q276" s="19"/>
    </row>
    <row r="277" spans="2:17" hidden="1" collapsed="1" x14ac:dyDescent="0.25"/>
    <row r="278" spans="2:17" ht="15.75" hidden="1" outlineLevel="1" x14ac:dyDescent="0.25">
      <c r="C278" s="29" t="s">
        <v>51</v>
      </c>
      <c r="D278" s="29" t="s">
        <v>423</v>
      </c>
      <c r="G278" s="29" t="s">
        <v>416</v>
      </c>
      <c r="H278" s="29" t="s">
        <v>114</v>
      </c>
      <c r="I278" s="29" t="s">
        <v>62</v>
      </c>
      <c r="J278" s="29" t="s">
        <v>63</v>
      </c>
      <c r="K278" s="32" t="s">
        <v>65</v>
      </c>
      <c r="L278" s="32" t="s">
        <v>66</v>
      </c>
      <c r="M278" s="32" t="s">
        <v>67</v>
      </c>
      <c r="N278" s="32" t="s">
        <v>68</v>
      </c>
      <c r="O278" s="32" t="s">
        <v>69</v>
      </c>
      <c r="P278" s="32" t="s">
        <v>407</v>
      </c>
      <c r="Q278" s="29" t="s">
        <v>424</v>
      </c>
    </row>
    <row r="279" spans="2:17" hidden="1" outlineLevel="1" x14ac:dyDescent="0.25">
      <c r="C279" s="37" t="s">
        <v>316</v>
      </c>
      <c r="D279" s="37"/>
      <c r="G279" s="37"/>
      <c r="H279" s="37"/>
      <c r="I279" s="37"/>
      <c r="J279" s="39" t="s">
        <v>72</v>
      </c>
      <c r="K279" s="96">
        <f>SUM(K280:K281)</f>
        <v>0</v>
      </c>
      <c r="L279" s="96">
        <f>SUM(L280:L281)</f>
        <v>0</v>
      </c>
      <c r="M279" s="96">
        <f>SUM(M280:M281)</f>
        <v>0</v>
      </c>
      <c r="N279" s="96">
        <f>SUM(N280:N281)</f>
        <v>0</v>
      </c>
      <c r="O279" s="96">
        <f>SUM(O280:O281)</f>
        <v>0</v>
      </c>
      <c r="P279" s="109">
        <f t="shared" ref="P279:P290" si="2">IFERROR(AVERAGE(K279:O279),"-")</f>
        <v>0</v>
      </c>
      <c r="Q279" s="109" t="str">
        <f>IFERROR(P279/ROUND($D$295/30,0),"-")</f>
        <v>-</v>
      </c>
    </row>
    <row r="280" spans="2:17" hidden="1" outlineLevel="1" x14ac:dyDescent="0.25">
      <c r="C280" s="95" t="s">
        <v>138</v>
      </c>
      <c r="D280" s="39"/>
      <c r="G280" s="39"/>
      <c r="H280" s="39"/>
      <c r="I280" s="39"/>
      <c r="J280" s="39"/>
      <c r="K280" s="45" t="str">
        <f>K333</f>
        <v>-</v>
      </c>
      <c r="L280" s="45" t="str">
        <f>L333</f>
        <v>-</v>
      </c>
      <c r="M280" s="45" t="str">
        <f>M333</f>
        <v>-</v>
      </c>
      <c r="N280" s="45" t="str">
        <f>N333</f>
        <v>-</v>
      </c>
      <c r="O280" s="45" t="str">
        <f>O333</f>
        <v>-</v>
      </c>
      <c r="P280" s="91" t="str">
        <f t="shared" si="2"/>
        <v>-</v>
      </c>
      <c r="Q280" s="109" t="str">
        <f t="shared" ref="Q280:Q290" si="3">IFERROR(P280/ROUND($D$295/30,0),"-")</f>
        <v>-</v>
      </c>
    </row>
    <row r="281" spans="2:17" hidden="1" outlineLevel="1" x14ac:dyDescent="0.25">
      <c r="C281" s="95" t="s">
        <v>184</v>
      </c>
      <c r="D281" s="39"/>
      <c r="G281" s="39"/>
      <c r="H281" s="39"/>
      <c r="I281" s="39"/>
      <c r="J281" s="39"/>
      <c r="K281" s="45" t="str">
        <f>K347</f>
        <v>-</v>
      </c>
      <c r="L281" s="45" t="str">
        <f>L347</f>
        <v>-</v>
      </c>
      <c r="M281" s="45" t="str">
        <f>M347</f>
        <v>-</v>
      </c>
      <c r="N281" s="45" t="str">
        <f>N347</f>
        <v>-</v>
      </c>
      <c r="O281" s="45" t="str">
        <f>O347</f>
        <v>-</v>
      </c>
      <c r="P281" s="91" t="str">
        <f t="shared" si="2"/>
        <v>-</v>
      </c>
      <c r="Q281" s="109" t="str">
        <f t="shared" si="3"/>
        <v>-</v>
      </c>
    </row>
    <row r="282" spans="2:17" hidden="1" outlineLevel="1" x14ac:dyDescent="0.25">
      <c r="C282" s="37" t="s">
        <v>317</v>
      </c>
      <c r="D282" s="37"/>
      <c r="G282" s="37"/>
      <c r="H282" s="37"/>
      <c r="I282" s="37"/>
      <c r="J282" s="39" t="s">
        <v>73</v>
      </c>
      <c r="K282" s="96">
        <f>SUM(K283:K284)</f>
        <v>0</v>
      </c>
      <c r="L282" s="96">
        <f>SUM(L283:L284)</f>
        <v>0</v>
      </c>
      <c r="M282" s="96">
        <f>SUM(M283:M284)</f>
        <v>0</v>
      </c>
      <c r="N282" s="96">
        <f>SUM(N283:N284)</f>
        <v>0</v>
      </c>
      <c r="O282" s="96">
        <f>SUM(O283:O284)</f>
        <v>0</v>
      </c>
      <c r="P282" s="109">
        <f t="shared" si="2"/>
        <v>0</v>
      </c>
      <c r="Q282" s="109" t="str">
        <f t="shared" si="3"/>
        <v>-</v>
      </c>
    </row>
    <row r="283" spans="2:17" hidden="1" outlineLevel="1" x14ac:dyDescent="0.25">
      <c r="C283" s="95" t="s">
        <v>138</v>
      </c>
      <c r="D283" s="39"/>
      <c r="G283" s="39"/>
      <c r="H283" s="39"/>
      <c r="I283" s="39"/>
      <c r="J283" s="39"/>
      <c r="K283" s="45" t="str">
        <f>K370</f>
        <v>-</v>
      </c>
      <c r="L283" s="45" t="str">
        <f>L370</f>
        <v>-</v>
      </c>
      <c r="M283" s="45" t="str">
        <f>M370</f>
        <v>-</v>
      </c>
      <c r="N283" s="45" t="str">
        <f>N370</f>
        <v>-</v>
      </c>
      <c r="O283" s="45" t="str">
        <f>O370</f>
        <v>-</v>
      </c>
      <c r="P283" s="91" t="str">
        <f t="shared" si="2"/>
        <v>-</v>
      </c>
      <c r="Q283" s="109" t="str">
        <f t="shared" si="3"/>
        <v>-</v>
      </c>
    </row>
    <row r="284" spans="2:17" hidden="1" outlineLevel="1" x14ac:dyDescent="0.25">
      <c r="C284" s="95" t="s">
        <v>184</v>
      </c>
      <c r="D284" s="39"/>
      <c r="G284" s="39"/>
      <c r="H284" s="39"/>
      <c r="I284" s="39"/>
      <c r="J284" s="39"/>
      <c r="K284" s="45" t="str">
        <f>K384</f>
        <v>-</v>
      </c>
      <c r="L284" s="45" t="str">
        <f>L384</f>
        <v>-</v>
      </c>
      <c r="M284" s="45" t="str">
        <f>M384</f>
        <v>-</v>
      </c>
      <c r="N284" s="45" t="str">
        <f>N384</f>
        <v>-</v>
      </c>
      <c r="O284" s="45" t="str">
        <f>O384</f>
        <v>-</v>
      </c>
      <c r="P284" s="91" t="str">
        <f t="shared" si="2"/>
        <v>-</v>
      </c>
      <c r="Q284" s="109" t="str">
        <f t="shared" si="3"/>
        <v>-</v>
      </c>
    </row>
    <row r="285" spans="2:17" hidden="1" outlineLevel="1" x14ac:dyDescent="0.25">
      <c r="C285" s="37" t="s">
        <v>318</v>
      </c>
      <c r="D285" s="37"/>
      <c r="G285" s="37"/>
      <c r="H285" s="37"/>
      <c r="I285" s="37"/>
      <c r="J285" s="39" t="s">
        <v>72</v>
      </c>
      <c r="K285" s="96">
        <f>SUM(K286:K287)</f>
        <v>0</v>
      </c>
      <c r="L285" s="96">
        <f>SUM(L286:L287)</f>
        <v>0</v>
      </c>
      <c r="M285" s="96">
        <f>SUM(M286:M287)</f>
        <v>0</v>
      </c>
      <c r="N285" s="96">
        <f>SUM(N286:N287)</f>
        <v>0</v>
      </c>
      <c r="O285" s="96">
        <f>SUM(O286:O287)</f>
        <v>0</v>
      </c>
      <c r="P285" s="109">
        <f>IFERROR(AVERAGE(K285:O285),"-")</f>
        <v>0</v>
      </c>
      <c r="Q285" s="109" t="str">
        <f t="shared" si="3"/>
        <v>-</v>
      </c>
    </row>
    <row r="286" spans="2:17" hidden="1" outlineLevel="1" x14ac:dyDescent="0.25">
      <c r="C286" s="95" t="s">
        <v>138</v>
      </c>
      <c r="D286" s="39"/>
      <c r="G286" s="39"/>
      <c r="H286" s="39"/>
      <c r="I286" s="39"/>
      <c r="J286" s="39"/>
      <c r="K286" s="45" t="str">
        <f>K398</f>
        <v>-</v>
      </c>
      <c r="L286" s="45" t="str">
        <f>L398</f>
        <v>-</v>
      </c>
      <c r="M286" s="45" t="str">
        <f>M398</f>
        <v>-</v>
      </c>
      <c r="N286" s="45" t="str">
        <f>N398</f>
        <v>-</v>
      </c>
      <c r="O286" s="45" t="str">
        <f>O398</f>
        <v>-</v>
      </c>
      <c r="P286" s="91" t="str">
        <f t="shared" si="2"/>
        <v>-</v>
      </c>
      <c r="Q286" s="109" t="str">
        <f t="shared" si="3"/>
        <v>-</v>
      </c>
    </row>
    <row r="287" spans="2:17" hidden="1" outlineLevel="1" x14ac:dyDescent="0.25">
      <c r="C287" s="95" t="s">
        <v>184</v>
      </c>
      <c r="D287" s="39"/>
      <c r="G287" s="39"/>
      <c r="H287" s="39"/>
      <c r="I287" s="39"/>
      <c r="J287" s="39"/>
      <c r="K287" s="45" t="str">
        <f>K411</f>
        <v>-</v>
      </c>
      <c r="L287" s="45" t="str">
        <f>L411</f>
        <v>-</v>
      </c>
      <c r="M287" s="45" t="str">
        <f>M411</f>
        <v>-</v>
      </c>
      <c r="N287" s="45" t="str">
        <f>N411</f>
        <v>-</v>
      </c>
      <c r="O287" s="45" t="str">
        <f>O411</f>
        <v>-</v>
      </c>
      <c r="P287" s="91" t="str">
        <f t="shared" si="2"/>
        <v>-</v>
      </c>
      <c r="Q287" s="109" t="str">
        <f t="shared" si="3"/>
        <v>-</v>
      </c>
    </row>
    <row r="288" spans="2:17" hidden="1" outlineLevel="1" x14ac:dyDescent="0.25">
      <c r="C288" s="37" t="s">
        <v>319</v>
      </c>
      <c r="D288" s="37"/>
      <c r="G288" s="37"/>
      <c r="H288" s="37"/>
      <c r="I288" s="37"/>
      <c r="J288" s="39" t="s">
        <v>73</v>
      </c>
      <c r="K288" s="96">
        <f>SUM(K289:K290)</f>
        <v>0</v>
      </c>
      <c r="L288" s="96">
        <f>SUM(L289:L290)</f>
        <v>0</v>
      </c>
      <c r="M288" s="96">
        <f>SUM(M289:M290)</f>
        <v>0</v>
      </c>
      <c r="N288" s="96">
        <f>SUM(N289:N290)</f>
        <v>0</v>
      </c>
      <c r="O288" s="96">
        <f>SUM(O289:O290)</f>
        <v>0</v>
      </c>
      <c r="P288" s="109">
        <f>IFERROR(AVERAGE(K288:O288),"-")</f>
        <v>0</v>
      </c>
      <c r="Q288" s="109" t="str">
        <f t="shared" si="3"/>
        <v>-</v>
      </c>
    </row>
    <row r="289" spans="2:18" hidden="1" outlineLevel="1" x14ac:dyDescent="0.25">
      <c r="C289" s="95" t="s">
        <v>138</v>
      </c>
      <c r="D289" s="39"/>
      <c r="G289" s="39"/>
      <c r="H289" s="39"/>
      <c r="I289" s="39"/>
      <c r="J289" s="39"/>
      <c r="K289" s="45" t="str">
        <f>K424</f>
        <v>-</v>
      </c>
      <c r="L289" s="45" t="str">
        <f>L424</f>
        <v>-</v>
      </c>
      <c r="M289" s="45" t="str">
        <f>M424</f>
        <v>-</v>
      </c>
      <c r="N289" s="45" t="str">
        <f>N424</f>
        <v>-</v>
      </c>
      <c r="O289" s="45" t="str">
        <f>O424</f>
        <v>-</v>
      </c>
      <c r="P289" s="91" t="str">
        <f t="shared" si="2"/>
        <v>-</v>
      </c>
      <c r="Q289" s="109" t="str">
        <f t="shared" si="3"/>
        <v>-</v>
      </c>
    </row>
    <row r="290" spans="2:18" hidden="1" outlineLevel="1" x14ac:dyDescent="0.25">
      <c r="C290" s="95" t="s">
        <v>184</v>
      </c>
      <c r="D290" s="39"/>
      <c r="G290" s="39"/>
      <c r="H290" s="39"/>
      <c r="I290" s="39"/>
      <c r="J290" s="39"/>
      <c r="K290" s="45" t="str">
        <f>K437</f>
        <v>-</v>
      </c>
      <c r="L290" s="45" t="str">
        <f>L437</f>
        <v>-</v>
      </c>
      <c r="M290" s="45" t="str">
        <f>M437</f>
        <v>-</v>
      </c>
      <c r="N290" s="45" t="str">
        <f>N437</f>
        <v>-</v>
      </c>
      <c r="O290" s="45" t="str">
        <f>O437</f>
        <v>-</v>
      </c>
      <c r="P290" s="91" t="str">
        <f t="shared" si="2"/>
        <v>-</v>
      </c>
      <c r="Q290" s="109" t="str">
        <f t="shared" si="3"/>
        <v>-</v>
      </c>
    </row>
    <row r="291" spans="2:18" hidden="1" outlineLevel="1" x14ac:dyDescent="0.25"/>
    <row r="292" spans="2:18" hidden="1" outlineLevel="1" x14ac:dyDescent="0.25">
      <c r="I292" t="s">
        <v>425</v>
      </c>
      <c r="J292" s="39" t="s">
        <v>72</v>
      </c>
      <c r="K292" s="83" t="str">
        <f>IFERROR(K285/ROUND($D$295/30,0),"-")</f>
        <v>-</v>
      </c>
      <c r="L292" s="83" t="str">
        <f>IFERROR(L285/ROUND($D$295/30,0),"-")</f>
        <v>-</v>
      </c>
      <c r="M292" s="83" t="str">
        <f>IFERROR(M285/ROUND($D$295/30,0),"-")</f>
        <v>-</v>
      </c>
      <c r="N292" s="83" t="str">
        <f>IFERROR(N285/ROUND($D$295/30,0),"-")</f>
        <v>-</v>
      </c>
      <c r="O292" s="83" t="str">
        <f>IFERROR(O285/ROUND($D$295/30,0),"-")</f>
        <v>-</v>
      </c>
      <c r="P292" s="92"/>
      <c r="Q292" s="92"/>
    </row>
    <row r="293" spans="2:18" ht="15.75" hidden="1" outlineLevel="1" x14ac:dyDescent="0.25">
      <c r="C293" s="36" t="s">
        <v>426</v>
      </c>
      <c r="D293" s="58" t="str">
        <f>IFERROR(INDEX(Inputs!$H$17:$U$17,1,MATCH($D$224,Inputs!$H$15:$U$15,0)),"-")</f>
        <v>-</v>
      </c>
      <c r="E293" s="119" t="str">
        <f>IFERROR(INDEX(#REF!,MATCH($C293,#REF!,0),MATCH($D293,#REF!,0)),"-")</f>
        <v>-</v>
      </c>
      <c r="I293" t="s">
        <v>425</v>
      </c>
      <c r="J293" s="39" t="s">
        <v>73</v>
      </c>
      <c r="K293" s="83" t="str">
        <f>IFERROR(K288/ROUND($D$295/30,0),"-")</f>
        <v>-</v>
      </c>
      <c r="L293" s="83" t="str">
        <f>IFERROR(L288/ROUND($D$295/30,0),"-")</f>
        <v>-</v>
      </c>
      <c r="M293" s="83" t="str">
        <f>IFERROR(M288/ROUND($D$295/30,0),"-")</f>
        <v>-</v>
      </c>
      <c r="N293" s="83" t="str">
        <f>IFERROR(N288/ROUND($D$295/30,0),"-")</f>
        <v>-</v>
      </c>
      <c r="O293" s="83" t="str">
        <f>IFERROR(O288/ROUND($D$295/30,0),"-")</f>
        <v>-</v>
      </c>
      <c r="P293" s="92"/>
      <c r="Q293" s="92"/>
    </row>
    <row r="294" spans="2:18" ht="15.75" hidden="1" outlineLevel="1" x14ac:dyDescent="0.25">
      <c r="C294" s="36" t="s">
        <v>427</v>
      </c>
      <c r="D294" s="58" t="str">
        <f>IFERROR(INDEX(Inputs!$H$17:$U$17,1,MATCH($D$224,Inputs!$H$15:$U$15,0)),"-")</f>
        <v>-</v>
      </c>
      <c r="E294" s="119" t="str">
        <f>IFERROR(INDEX(#REF!,MATCH($C294,#REF!,0),MATCH($D294,#REF!,0)),"-")</f>
        <v>-</v>
      </c>
      <c r="K294" s="83"/>
      <c r="L294" s="83"/>
      <c r="M294" s="83"/>
      <c r="N294" s="83"/>
      <c r="O294" s="83"/>
      <c r="P294" s="92"/>
      <c r="Q294" s="92"/>
      <c r="R294" s="61"/>
    </row>
    <row r="295" spans="2:18" ht="15.75" hidden="1" outlineLevel="1" x14ac:dyDescent="0.25">
      <c r="C295" s="36" t="s">
        <v>428</v>
      </c>
      <c r="D295" t="str">
        <f>IFERROR(_xlfn.DAYS(E294,E293)+1,"-")</f>
        <v>-</v>
      </c>
      <c r="K295" s="83"/>
      <c r="L295" s="83"/>
      <c r="M295" s="83"/>
      <c r="N295" s="83"/>
      <c r="O295" s="83"/>
      <c r="P295" s="92"/>
      <c r="Q295" s="92"/>
      <c r="R295" s="61"/>
    </row>
    <row r="296" spans="2:18" ht="15.75" hidden="1" outlineLevel="1" x14ac:dyDescent="0.25">
      <c r="B296"/>
      <c r="C296" s="36" t="s">
        <v>408</v>
      </c>
      <c r="D296" s="101" t="str">
        <f>IFERROR(D295/DiPY,"-")</f>
        <v>-</v>
      </c>
      <c r="G296" s="92"/>
    </row>
    <row r="297" spans="2:18" hidden="1" outlineLevel="1" x14ac:dyDescent="0.25">
      <c r="B297"/>
    </row>
    <row r="298" spans="2:18" hidden="1" outlineLevel="1" x14ac:dyDescent="0.25">
      <c r="B298"/>
    </row>
    <row r="299" spans="2:18" hidden="1" outlineLevel="1" x14ac:dyDescent="0.25">
      <c r="B299"/>
    </row>
    <row r="300" spans="2:18" ht="15.75" hidden="1" outlineLevel="1" x14ac:dyDescent="0.25">
      <c r="B300"/>
      <c r="C300" s="20" t="s">
        <v>469</v>
      </c>
    </row>
    <row r="301" spans="2:18" ht="15.75" hidden="1" outlineLevel="1" x14ac:dyDescent="0.25">
      <c r="B301"/>
      <c r="C301" s="30" t="s">
        <v>10</v>
      </c>
      <c r="D301" s="30" t="s">
        <v>49</v>
      </c>
      <c r="E301" s="30" t="s">
        <v>63</v>
      </c>
      <c r="F301" s="30" t="s">
        <v>336</v>
      </c>
    </row>
    <row r="302" spans="2:18" hidden="1" outlineLevel="1" x14ac:dyDescent="0.25">
      <c r="B302"/>
      <c r="C302" s="39" t="s">
        <v>430</v>
      </c>
      <c r="D302" s="58" t="e">
        <f>INDEX(Inputs!$H$17:$U$17,1,MATCH($D$224,Inputs!$H$15:$U$15,0))</f>
        <v>#N/A</v>
      </c>
      <c r="E302" s="39" t="s">
        <v>72</v>
      </c>
      <c r="F302" s="114" t="str">
        <f>IFERROR(SUMIFS(
INDEX(#REF!,0,MATCH(TUNet_Usage_Actual_2[[#This Row],[VDO decision]],#REF!,0)),#REF!,
Calc_TU_values!E302,#REF!,Calc_TU_values!C302),"-")</f>
        <v>-</v>
      </c>
    </row>
    <row r="303" spans="2:18" hidden="1" outlineLevel="1" x14ac:dyDescent="0.25">
      <c r="B303"/>
      <c r="C303" s="14" t="s">
        <v>431</v>
      </c>
      <c r="D303" s="58" t="e">
        <f>INDEX(Inputs!$H$17:$U$17,1,MATCH($D$224,Inputs!$H$15:$U$15,0))</f>
        <v>#N/A</v>
      </c>
      <c r="E303" s="39" t="s">
        <v>72</v>
      </c>
      <c r="F303" s="114" t="str">
        <f>IFERROR(SUMIFS(
INDEX(#REF!,0,MATCH(TUNet_Usage_Actual_2[[#This Row],[VDO decision]],#REF!,0)),#REF!,
Calc_TU_values!E303,#REF!,Calc_TU_values!C303),"-")</f>
        <v>-</v>
      </c>
    </row>
    <row r="304" spans="2:18" hidden="1" outlineLevel="1" x14ac:dyDescent="0.25">
      <c r="B304"/>
      <c r="C304" s="39" t="s">
        <v>432</v>
      </c>
      <c r="D304" s="58" t="e">
        <f>INDEX(Inputs!$H$17:$U$17,1,MATCH($D$224,Inputs!$H$15:$U$15,0))</f>
        <v>#N/A</v>
      </c>
      <c r="E304" s="39" t="s">
        <v>72</v>
      </c>
      <c r="F304" s="115" t="str">
        <f>IFERROR(F302/F303,"-")</f>
        <v>-</v>
      </c>
    </row>
    <row r="305" spans="2:15" hidden="1" outlineLevel="1" x14ac:dyDescent="0.25">
      <c r="B305"/>
      <c r="C305" s="39" t="s">
        <v>430</v>
      </c>
      <c r="D305" s="58" t="e">
        <f>INDEX(Inputs!$H$17:$U$17,1,MATCH($D$224,Inputs!$H$15:$U$15,0))</f>
        <v>#N/A</v>
      </c>
      <c r="E305" s="39" t="s">
        <v>73</v>
      </c>
      <c r="F305" s="114" t="str">
        <f>IFERROR(SUMIFS(
INDEX(#REF!,0,MATCH(TUNet_Usage_Actual_2[[#This Row],[VDO decision]],#REF!,0)),#REF!,
Calc_TU_values!E305,#REF!,Calc_TU_values!C305),"-")</f>
        <v>-</v>
      </c>
    </row>
    <row r="306" spans="2:15" hidden="1" outlineLevel="1" x14ac:dyDescent="0.25">
      <c r="B306"/>
      <c r="C306" s="14" t="s">
        <v>431</v>
      </c>
      <c r="D306" s="58" t="e">
        <f>INDEX(Inputs!$H$17:$U$17,1,MATCH($D$224,Inputs!$H$15:$U$15,0))</f>
        <v>#N/A</v>
      </c>
      <c r="E306" s="39" t="s">
        <v>73</v>
      </c>
      <c r="F306" s="114" t="str">
        <f>IFERROR(SUMIFS(
INDEX(#REF!,0,MATCH(TUNet_Usage_Actual_2[[#This Row],[VDO decision]],#REF!,0)),#REF!,
Calc_TU_values!E306,#REF!,Calc_TU_values!C306),"-")</f>
        <v>-</v>
      </c>
    </row>
    <row r="307" spans="2:15" hidden="1" outlineLevel="1" x14ac:dyDescent="0.25">
      <c r="B307"/>
      <c r="C307" s="39" t="s">
        <v>432</v>
      </c>
      <c r="D307" s="58" t="e">
        <f>INDEX(Inputs!$H$17:$U$17,1,MATCH($D$224,Inputs!$H$15:$U$15,0))</f>
        <v>#N/A</v>
      </c>
      <c r="E307" s="116" t="s">
        <v>73</v>
      </c>
      <c r="F307" s="115" t="str">
        <f>IFERROR(F305/F306,"-")</f>
        <v>-</v>
      </c>
    </row>
    <row r="308" spans="2:15" hidden="1" outlineLevel="1" x14ac:dyDescent="0.25">
      <c r="B308"/>
      <c r="C308" s="116" t="s">
        <v>433</v>
      </c>
      <c r="D308" s="58" t="e">
        <f>INDEX(Inputs!$H$17:$U$17,1,MATCH($D$224,Inputs!$H$15:$U$15,0))</f>
        <v>#N/A</v>
      </c>
      <c r="E308" s="39" t="s">
        <v>72</v>
      </c>
      <c r="F308" s="145" t="str">
        <f>IFERROR(SUMIFS(
INDEX(#REF!,0,MATCH(TUNet_Usage_Actual_2[[#This Row],[VDO decision]],#REF!,0)),#REF!,
"Total usage - Controlled load",#REF!,TUNet_Usage_Actual_2[[#This Row],[Customer type]],#REF!,"July 2020 to August 2020")
/SUMIFS(
INDEX(#REF!,0,MATCH(TUNet_Usage_Actual_2[[#This Row],[VDO decision]],#REF!,0)),#REF!,
"Total usage - Controlled load",#REF!,TUNet_Usage_Actual_2[[#This Row],[Customer type]],#REF!,"July 2020 to June 2021"),"-")</f>
        <v>-</v>
      </c>
    </row>
    <row r="309" spans="2:15" hidden="1" outlineLevel="1" x14ac:dyDescent="0.25">
      <c r="B309"/>
    </row>
    <row r="310" spans="2:15" ht="15.75" hidden="1" outlineLevel="1" x14ac:dyDescent="0.25">
      <c r="B310"/>
      <c r="C310" s="20" t="s">
        <v>470</v>
      </c>
    </row>
    <row r="311" spans="2:15" ht="15.75" hidden="1" outlineLevel="1" x14ac:dyDescent="0.25">
      <c r="B311"/>
      <c r="C311" s="30" t="s">
        <v>10</v>
      </c>
      <c r="D311" s="30" t="s">
        <v>49</v>
      </c>
      <c r="E311" s="30" t="s">
        <v>63</v>
      </c>
      <c r="F311" s="30" t="s">
        <v>65</v>
      </c>
      <c r="G311" s="40" t="s">
        <v>66</v>
      </c>
      <c r="H311" s="40" t="s">
        <v>67</v>
      </c>
      <c r="I311" s="40" t="s">
        <v>68</v>
      </c>
      <c r="J311" s="40" t="s">
        <v>69</v>
      </c>
    </row>
    <row r="312" spans="2:15" hidden="1" outlineLevel="1" x14ac:dyDescent="0.25">
      <c r="B312"/>
      <c r="C312" s="39" t="s">
        <v>435</v>
      </c>
      <c r="D312" s="58" t="e">
        <f>INDEX(Inputs!$H$17:$U$17,1,MATCH($D$224,Inputs!$H$15:$U$15,0))</f>
        <v>#N/A</v>
      </c>
      <c r="E312" s="39" t="s">
        <v>72</v>
      </c>
      <c r="F312" s="118" t="str">
        <f>IFERROR(IF(SUMIFS(
INDEX(#REF!,0,MATCH(TUNet_Usage_PerRate_2[[#This Row],[VDO decision]],#REF!,0)),#REF!,
$E312,#REF!,$C312&amp;" - "&amp;F$311)=0,"-",MIN(SUMIFS(TUNet_Usage_Actual_2[Value],TUNet_Usage_Actual_2[Customer type],$E312,TUNet_Usage_Actual_2[Description],"Usage per customer"),SUMIFS(
INDEX(#REF!,0,MATCH(TUNet_Usage_PerRate_2[[#This Row],[VDO decision]],#REF!,0)),#REF!,
$E312,#REF!,$C312&amp;" - "&amp;F$311))),"-")</f>
        <v>-</v>
      </c>
      <c r="G312" s="118" t="str">
        <f>IFERROR(IF(SUMIFS(
INDEX(#REF!,0,MATCH(TUNet_Usage_PerRate_2[[#This Row],[Customer type]],#REF!,0)),#REF!,
$E312,#REF!,$C312&amp;" - "&amp;G$311)=0,"-",MIN(SUMIFS(TUNet_Usage_Actual_2[Description],TUNet_Usage_Actual_2[Value],$E312,TUNet_Usage_Actual_2[VDO decision],"Usage per customer"),SUMIFS(
INDEX(#REF!,0,MATCH(TUNet_Usage_PerRate_2[[#This Row],[Customer type]],#REF!,0)),#REF!,
$E312,#REF!,$C312&amp;" - "&amp;G$311))),"-")</f>
        <v>-</v>
      </c>
      <c r="H312" s="118" t="str">
        <f>IFERROR(IF(SUMIFS(
INDEX(#REF!,0,MATCH(TUNet_Usage_PerRate_2[[#This Row],[Ausnet]],#REF!,0)),#REF!,
$E312,#REF!,$C312&amp;" - "&amp;H$311)=0,"-",MIN(SUMIFS(TUNet_Usage_Actual_2[VDO decision],TUNet_Usage_Actual_2[Description],$E312,TUNet_Usage_Actual_2[Customer type],"Usage per customer"),SUMIFS(
INDEX(#REF!,0,MATCH(TUNet_Usage_PerRate_2[[#This Row],[Ausnet]],#REF!,0)),#REF!,
$E312,#REF!,$C312&amp;" - "&amp;H$311))),"-")</f>
        <v>-</v>
      </c>
      <c r="I312" s="118" t="str">
        <f>IFERROR(IF(SUMIFS(
INDEX(#REF!,0,MATCH(TUNet_Usage_PerRate_2[[#This Row],[Citipower]],#REF!,0)),#REF!,
$E312,#REF!,$C312&amp;" - "&amp;I$311)=0,"-",MIN(SUMIFS(TUNet_Usage_Actual_2[Customer type],TUNet_Usage_Actual_2[VDO decision],$E312,TUNet_Usage_Actual_2[Value],"Usage per customer"),SUMIFS(
INDEX(#REF!,0,MATCH(TUNet_Usage_PerRate_2[[#This Row],[Citipower]],#REF!,0)),#REF!,
$E312,#REF!,$C312&amp;" - "&amp;I$311))),"-")</f>
        <v>-</v>
      </c>
      <c r="J312" s="118" t="str">
        <f>IFERROR(IF(SUMIFS(
INDEX(#REF!,0,MATCH(TUNet_Usage_PerRate_2[[#This Row],[Jemena]],#REF!,0)),#REF!,
$E312,#REF!,$C312&amp;" - "&amp;J$311)=0,"-",MIN(SUMIFS(TUNet_Usage_Actual_2[Value],TUNet_Usage_Actual_2[Customer type],$E312,TUNet_Usage_Actual_2[Description],"Usage per customer"),SUMIFS(
INDEX(#REF!,0,MATCH(TUNet_Usage_PerRate_2[[#This Row],[Jemena]],#REF!,0)),#REF!,
$E312,#REF!,$C312&amp;" - "&amp;J$311))),"-")</f>
        <v>-</v>
      </c>
    </row>
    <row r="313" spans="2:15" hidden="1" outlineLevel="1" x14ac:dyDescent="0.25">
      <c r="B313"/>
      <c r="C313" s="39" t="s">
        <v>435</v>
      </c>
      <c r="D313" s="58" t="e">
        <f>INDEX(Inputs!$H$17:$U$17,1,MATCH($D$224,Inputs!$H$15:$U$15,0))</f>
        <v>#N/A</v>
      </c>
      <c r="E313" s="39" t="s">
        <v>73</v>
      </c>
      <c r="F313" s="118" t="str">
        <f>IFERROR(IF(SUMIFS(
INDEX(#REF!,0,MATCH(TUNet_Usage_PerRate_2[[#This Row],[VDO decision]],#REF!,0)),#REF!,
$E313,#REF!,$C313&amp;" - "&amp;F$311)=0,"-",MIN(SUMIFS(TUNet_Usage_Actual_2[Value],TUNet_Usage_Actual_2[Customer type],$E313,TUNet_Usage_Actual_2[Description],"Usage per customer"),SUMIFS(
INDEX(#REF!,0,MATCH(TUNet_Usage_PerRate_2[[#This Row],[VDO decision]],#REF!,0)),#REF!,
$E313,#REF!,$C313&amp;" - "&amp;F$311))),"-")</f>
        <v>-</v>
      </c>
      <c r="G313" s="118" t="str">
        <f>IFERROR(IF(SUMIFS(
INDEX(#REF!,0,MATCH(TUNet_Usage_PerRate_2[[#This Row],[Customer type]],#REF!,0)),#REF!,
$E313,#REF!,$C313&amp;" - "&amp;G$311)=0,"-",MIN(SUMIFS(TUNet_Usage_Actual_2[Description],TUNet_Usage_Actual_2[Value],$E313,TUNet_Usage_Actual_2[VDO decision],"Usage per customer"),SUMIFS(
INDEX(#REF!,0,MATCH(TUNet_Usage_PerRate_2[[#This Row],[Customer type]],#REF!,0)),#REF!,
$E313,#REF!,$C313&amp;" - "&amp;G$311))),"-")</f>
        <v>-</v>
      </c>
      <c r="H313" s="118" t="str">
        <f>IFERROR(IF(SUMIFS(
INDEX(#REF!,0,MATCH(TUNet_Usage_PerRate_2[[#This Row],[Ausnet]],#REF!,0)),#REF!,
$E313,#REF!,$C313&amp;" - "&amp;H$311)=0,"-",MIN(SUMIFS(TUNet_Usage_Actual_2[VDO decision],TUNet_Usage_Actual_2[Description],$E313,TUNet_Usage_Actual_2[Customer type],"Usage per customer"),SUMIFS(
INDEX(#REF!,0,MATCH(TUNet_Usage_PerRate_2[[#This Row],[Ausnet]],#REF!,0)),#REF!,
$E313,#REF!,$C313&amp;" - "&amp;H$311))),"-")</f>
        <v>-</v>
      </c>
      <c r="I313" s="118" t="str">
        <f>IFERROR(IF(SUMIFS(
INDEX(#REF!,0,MATCH(TUNet_Usage_PerRate_2[[#This Row],[Citipower]],#REF!,0)),#REF!,
$E313,#REF!,$C313&amp;" - "&amp;I$311)=0,"-",MIN(SUMIFS(TUNet_Usage_Actual_2[Customer type],TUNet_Usage_Actual_2[VDO decision],$E313,TUNet_Usage_Actual_2[Value],"Usage per customer"),SUMIFS(
INDEX(#REF!,0,MATCH(TUNet_Usage_PerRate_2[[#This Row],[Citipower]],#REF!,0)),#REF!,
$E313,#REF!,$C313&amp;" - "&amp;I$311))),"-")</f>
        <v>-</v>
      </c>
      <c r="J313" s="118" t="str">
        <f>IFERROR(IF(SUMIFS(
INDEX(#REF!,0,MATCH(TUNet_Usage_PerRate_2[[#This Row],[Jemena]],#REF!,0)),#REF!,
$E313,#REF!,$C313&amp;" - "&amp;J$311)=0,"-",MIN(SUMIFS(TUNet_Usage_Actual_2[Value],TUNet_Usage_Actual_2[Customer type],$E313,TUNet_Usage_Actual_2[Description],"Usage per customer"),SUMIFS(
INDEX(#REF!,0,MATCH(TUNet_Usage_PerRate_2[[#This Row],[Jemena]],#REF!,0)),#REF!,
$E313,#REF!,$C313&amp;" - "&amp;J$311))),"-")</f>
        <v>-</v>
      </c>
    </row>
    <row r="314" spans="2:15" hidden="1" outlineLevel="1" x14ac:dyDescent="0.25">
      <c r="B314"/>
      <c r="C314" s="116" t="s">
        <v>436</v>
      </c>
      <c r="D314" s="117" t="e">
        <f>INDEX(Inputs!$H$17:$U$17,1,MATCH($D$224,Inputs!$H$15:$U$15,0))</f>
        <v>#N/A</v>
      </c>
      <c r="E314" s="39" t="s">
        <v>72</v>
      </c>
      <c r="F314" s="118" t="str">
        <f>IFERROR(IF(SUMIFS(F$312:F$313,$E$312:$E$313,$E314,$C$312:$C$313,"Usage per customer - Block 1")=0,"-",SUMIFS(TUNet_Usage_Actual_2[Value],TUNet_Usage_Actual_2[Customer type],$E314,TUNet_Usage_Actual_2[Description],"Usage per customer")-SUMIFS(F$312:F$313,$E$312:$E$313,$E314,$C$312:$C$313,"Usage per customer - Block 1")),"-")</f>
        <v>-</v>
      </c>
      <c r="G314" s="118" t="str">
        <f>IFERROR(IF(SUMIFS(G$312:G$313,$E$312:$E$313,$E314,$C$312:$C$313,"Usage per customer - Block 1")=0,"-",SUMIFS(TUNet_Usage_Actual_2[Description],TUNet_Usage_Actual_2[Value],$E314,TUNet_Usage_Actual_2[VDO decision],"Usage per customer")-SUMIFS(G$312:G$313,$E$312:$E$313,$E314,$C$312:$C$313,"Usage per customer - Block 1")),"-")</f>
        <v>-</v>
      </c>
      <c r="H314" s="118" t="str">
        <f>IFERROR(IF(SUMIFS(H$312:H$313,$E$312:$E$313,$E314,$C$312:$C$313,"Usage per customer - Block 1")=0,"-",SUMIFS(TUNet_Usage_Actual_2[VDO decision],TUNet_Usage_Actual_2[Description],$E314,TUNet_Usage_Actual_2[Customer type],"Usage per customer")-SUMIFS(H$312:H$313,$E$312:$E$313,$E314,$C$312:$C$313,"Usage per customer - Block 1")),"-")</f>
        <v>-</v>
      </c>
      <c r="I314" s="118" t="str">
        <f>IFERROR(IF(SUMIFS(I$312:I$313,$E$312:$E$313,$E314,$C$312:$C$313,"Usage per customer - Block 1")=0,"-",SUMIFS(TUNet_Usage_Actual_2[Customer type],TUNet_Usage_Actual_2[VDO decision],$E314,TUNet_Usage_Actual_2[Value],"Usage per customer")-SUMIFS(I$312:I$313,$E$312:$E$313,$E314,$C$312:$C$313,"Usage per customer - Block 1")),"-")</f>
        <v>-</v>
      </c>
      <c r="J314" s="118" t="str">
        <f>IFERROR(IF(SUMIFS(J$312:J$313,$E$312:$E$313,$E314,$C$312:$C$313,"Usage per customer - Block 1")=0,"-",SUMIFS(TUNet_Usage_Actual_2[Value],TUNet_Usage_Actual_2[Customer type],$E314,TUNet_Usage_Actual_2[Description],"Usage per customer")-SUMIFS(J$312:J$313,$E$312:$E$313,$E314,$C$312:$C$313,"Usage per customer - Block 1")),"-")</f>
        <v>-</v>
      </c>
    </row>
    <row r="315" spans="2:15" hidden="1" outlineLevel="1" x14ac:dyDescent="0.25">
      <c r="B315"/>
      <c r="C315" s="116" t="s">
        <v>436</v>
      </c>
      <c r="D315" s="117" t="e">
        <f>INDEX(Inputs!$H$17:$U$17,1,MATCH($D$224,Inputs!$H$15:$U$15,0))</f>
        <v>#N/A</v>
      </c>
      <c r="E315" s="39" t="s">
        <v>73</v>
      </c>
      <c r="F315" s="118" t="str">
        <f>IFERROR(IF(SUMIFS(F$312:F$313,$E$312:$E$313,$E315,$C$312:$C$316,"Usage per customer - Block 1")=0,"-",SUMIFS(TUNet_Usage_Actual_2[Value],TUNet_Usage_Actual_2[Customer type],$E315,TUNet_Usage_Actual_2[Description],"Usage per customer")-SUMIFS(F$312:F$313,$E$312:$E$313,$E315,$C$312:$C$313,"Usage per customer - Block 1")),"-")</f>
        <v>-</v>
      </c>
      <c r="G315" s="118" t="str">
        <f>IFERROR(IF(SUMIFS(G$312:G$313,$E$312:$E$313,$E315,$C$312:$C$313,"Usage per customer - Block 1")=0,"-",SUMIFS(TUNet_Usage_Actual_2[Description],TUNet_Usage_Actual_2[Value],$E315,TUNet_Usage_Actual_2[VDO decision],"Usage per customer")-SUMIFS(G$312:G$313,$E$312:$E$313,$E315,$C$312:$C$313,"Usage per customer - Block 1")),"-")</f>
        <v>-</v>
      </c>
      <c r="H315" s="118" t="str">
        <f>IFERROR(IF(SUMIFS(H$312:H$313,$E$312:$E$313,$E315,$C$312:$C$313,"Usage per customer - Block 1")=0,"-",SUMIFS(TUNet_Usage_Actual_2[VDO decision],TUNet_Usage_Actual_2[Description],$E315,TUNet_Usage_Actual_2[Customer type],"Usage per customer")-SUMIFS(H$312:H$313,$E$312:$E$313,$E315,$C$312:$C$313,"Usage per customer - Block 1")),"-")</f>
        <v>-</v>
      </c>
      <c r="I315" s="118" t="str">
        <f>IFERROR(IF(SUMIFS(I$312:I$313,$E$312:$E$313,$E315,$C$312:$C$313,"Usage per customer - Block 1")=0,"-",SUMIFS(TUNet_Usage_Actual_2[Customer type],TUNet_Usage_Actual_2[VDO decision],$E315,TUNet_Usage_Actual_2[Value],"Usage per customer")-SUMIFS(I$312:I$313,$E$312:$E$313,$E315,$C$312:$C$313,"Usage per customer - Block 1")),"-")</f>
        <v>-</v>
      </c>
      <c r="J315" s="118" t="str">
        <f>IFERROR(IF(SUMIFS(J$312:J$313,$E$312:$E$313,$E315,$C$312:$C$313,"Usage per customer - Block 1")=0,"-",SUMIFS(TUNet_Usage_Actual_2[Value],TUNet_Usage_Actual_2[Customer type],$E315,TUNet_Usage_Actual_2[Description],"Usage per customer")-SUMIFS(J$312:J$313,$E$312:$E$313,$E315,$C$312:$C$313,"Usage per customer - Block 1")),"-")</f>
        <v>-</v>
      </c>
    </row>
    <row r="316" spans="2:15" hidden="1" outlineLevel="1" x14ac:dyDescent="0.25">
      <c r="B316"/>
      <c r="C316" s="116" t="s">
        <v>437</v>
      </c>
      <c r="D316" s="117" t="e">
        <f>INDEX(Inputs!$H$17:$U$17,1,MATCH($D$224,Inputs!$H$15:$U$15,0))</f>
        <v>#N/A</v>
      </c>
      <c r="E316" s="39" t="s">
        <v>72</v>
      </c>
      <c r="F316" s="118" t="str">
        <f>IFERROR(IF(SUMIFS(
INDEX(#REF!,0,MATCH(TUNet_Usage_PerRate_2[[#This Row],[VDO decision]],#REF!,0)),#REF!,
$E316,#REF!,"Usage per customer - Block 1 - "&amp;F$311)=0,SUMIFS(TUNet_Usage_Actual_2[Value],TUNet_Usage_Actual_2[Customer type],$E316,TUNet_Usage_Actual_2[Description],"Usage per customer"),"-"),"-")</f>
        <v>-</v>
      </c>
      <c r="G316" s="118" t="str">
        <f>IFERROR(IF(SUMIFS(
INDEX(#REF!,0,MATCH(TUNet_Usage_PerRate_2[[#This Row],[VDO decision]],#REF!,0)),#REF!,
$E316,#REF!,"Usage per customer - Block 1 - "&amp;G$311)=0,SUMIFS(TUNet_Usage_Actual_2[Value],TUNet_Usage_Actual_2[Customer type],$E316,TUNet_Usage_Actual_2[Description],"Usage per customer"),"-"),"-")</f>
        <v>-</v>
      </c>
      <c r="H316" s="118" t="str">
        <f>IFERROR(IF(SUMIFS(
INDEX(#REF!,0,MATCH(TUNet_Usage_PerRate_2[[#This Row],[VDO decision]],#REF!,0)),#REF!,
$E316,#REF!,"Usage per customer - Block 1 - "&amp;H$311)=0,SUMIFS(TUNet_Usage_Actual_2[Value],TUNet_Usage_Actual_2[Customer type],$E316,TUNet_Usage_Actual_2[Description],"Usage per customer"),"-"),"-")</f>
        <v>-</v>
      </c>
      <c r="I316" s="118" t="str">
        <f>IFERROR(IF(SUMIFS(
INDEX(#REF!,0,MATCH(TUNet_Usage_PerRate_2[[#This Row],[VDO decision]],#REF!,0)),#REF!,
$E316,#REF!,"Usage per customer - Block 1 - "&amp;I$311)=0,SUMIFS(TUNet_Usage_Actual_2[Value],TUNet_Usage_Actual_2[Customer type],$E316,TUNet_Usage_Actual_2[Description],"Usage per customer"),"-"),"-")</f>
        <v>-</v>
      </c>
      <c r="J316" s="118" t="str">
        <f>IFERROR(IF(SUMIFS(
INDEX(#REF!,0,MATCH(TUNet_Usage_PerRate_2[[#This Row],[VDO decision]],#REF!,0)),#REF!,
$E316,#REF!,"Usage per customer - Block 1 - "&amp;J$311)=0,SUMIFS(TUNet_Usage_Actual_2[Value],TUNet_Usage_Actual_2[Customer type],$E316,TUNet_Usage_Actual_2[Description],"Usage per customer"),"-"),"-")</f>
        <v>-</v>
      </c>
    </row>
    <row r="317" spans="2:15" hidden="1" outlineLevel="1" x14ac:dyDescent="0.25">
      <c r="B317"/>
      <c r="C317" s="39" t="s">
        <v>437</v>
      </c>
      <c r="D317" s="117" t="e">
        <f>INDEX(Inputs!$H$17:$U$17,1,MATCH($D$224,Inputs!$H$15:$U$15,0))</f>
        <v>#N/A</v>
      </c>
      <c r="E317" s="39" t="s">
        <v>73</v>
      </c>
      <c r="F317" s="118" t="str">
        <f>IFERROR(IF(SUMIFS(
INDEX(#REF!,0,MATCH(TUNet_Usage_PerRate_2[[#This Row],[VDO decision]],#REF!,0)),#REF!,
$E317,#REF!,"Usage per customer - Block 1 - "&amp;F$311)=0,SUMIFS(TUNet_Usage_Actual_2[Value],TUNet_Usage_Actual_2[Customer type],$E317,TUNet_Usage_Actual_2[Description],"Usage per customer"),"-"),"-")</f>
        <v>-</v>
      </c>
      <c r="G317" s="118" t="str">
        <f>IFERROR(IF(SUMIFS(
INDEX(#REF!,0,MATCH(TUNet_Usage_PerRate_2[[#This Row],[VDO decision]],#REF!,0)),#REF!,
$E317,#REF!,"Usage per customer - Block 1 - "&amp;G$311)=0,SUMIFS(TUNet_Usage_Actual_2[Value],TUNet_Usage_Actual_2[Customer type],$E317,TUNet_Usage_Actual_2[Description],"Usage per customer"),"-"),"-")</f>
        <v>-</v>
      </c>
      <c r="H317" s="118" t="str">
        <f>IFERROR(IF(SUMIFS(
INDEX(#REF!,0,MATCH(TUNet_Usage_PerRate_2[[#This Row],[VDO decision]],#REF!,0)),#REF!,
$E317,#REF!,"Usage per customer - Block 1 - "&amp;H$311)=0,SUMIFS(TUNet_Usage_Actual_2[Value],TUNet_Usage_Actual_2[Customer type],$E317,TUNet_Usage_Actual_2[Description],"Usage per customer"),"-"),"-")</f>
        <v>-</v>
      </c>
      <c r="I317" s="118" t="str">
        <f>IFERROR(IF(SUMIFS(
INDEX(#REF!,0,MATCH(TUNet_Usage_PerRate_2[[#This Row],[VDO decision]],#REF!,0)),#REF!,
$E317,#REF!,"Usage per customer - Block 1 - "&amp;I$311)=0,SUMIFS(TUNet_Usage_Actual_2[Value],TUNet_Usage_Actual_2[Customer type],$E317,TUNet_Usage_Actual_2[Description],"Usage per customer"),"-"),"-")</f>
        <v>-</v>
      </c>
      <c r="J317" s="118" t="str">
        <f>IFERROR(IF(SUMIFS(
INDEX(#REF!,0,MATCH(TUNet_Usage_PerRate_2[[#This Row],[VDO decision]],#REF!,0)),#REF!,
$E317,#REF!,"Usage per customer - Block 1 - "&amp;J$311)=0,SUMIFS(TUNet_Usage_Actual_2[Value],TUNet_Usage_Actual_2[Customer type],$E317,TUNet_Usage_Actual_2[Description],"Usage per customer"),"-"),"-")</f>
        <v>-</v>
      </c>
    </row>
    <row r="318" spans="2:15" hidden="1" outlineLevel="1" x14ac:dyDescent="0.25">
      <c r="B318"/>
      <c r="C318" s="94"/>
      <c r="F318" s="120"/>
    </row>
    <row r="319" spans="2:15" ht="15.75" hidden="1" outlineLevel="1" x14ac:dyDescent="0.25">
      <c r="B319"/>
      <c r="C319" s="20" t="s">
        <v>471</v>
      </c>
    </row>
    <row r="320" spans="2:15" ht="15.75" hidden="1" outlineLevel="1" x14ac:dyDescent="0.25">
      <c r="C320" s="30" t="s">
        <v>51</v>
      </c>
      <c r="D320" s="30" t="s">
        <v>49</v>
      </c>
      <c r="E320" s="30" t="s">
        <v>414</v>
      </c>
      <c r="F320" s="30" t="s">
        <v>415</v>
      </c>
      <c r="G320" s="30" t="s">
        <v>416</v>
      </c>
      <c r="H320" s="30" t="s">
        <v>114</v>
      </c>
      <c r="I320" s="30" t="s">
        <v>62</v>
      </c>
      <c r="J320" s="29" t="s">
        <v>63</v>
      </c>
      <c r="K320" s="40" t="s">
        <v>65</v>
      </c>
      <c r="L320" s="40" t="s">
        <v>66</v>
      </c>
      <c r="M320" s="40" t="s">
        <v>67</v>
      </c>
      <c r="N320" s="40" t="s">
        <v>68</v>
      </c>
      <c r="O320" s="40" t="s">
        <v>69</v>
      </c>
    </row>
    <row r="321" spans="3:15" hidden="1" outlineLevel="1" x14ac:dyDescent="0.25">
      <c r="C321" s="39"/>
      <c r="D321" s="39"/>
      <c r="E321" s="39"/>
      <c r="F321" s="39"/>
      <c r="G321" s="39"/>
      <c r="H321" s="39"/>
      <c r="I321" s="39"/>
      <c r="J321" s="39"/>
      <c r="K321" s="45"/>
      <c r="L321" s="39"/>
      <c r="M321" s="39"/>
      <c r="N321" s="39"/>
      <c r="O321" s="39"/>
    </row>
    <row r="322" spans="3:15" ht="15.75" hidden="1" outlineLevel="1" x14ac:dyDescent="0.25">
      <c r="C322" s="1" t="s">
        <v>316</v>
      </c>
      <c r="D322" s="39"/>
      <c r="E322" s="39"/>
      <c r="F322" s="39"/>
      <c r="G322" s="28" t="str">
        <f>INDEX(Input_TU_YesNo[],MATCH(Calc_TUV_Net_2[[#This Row],[Cost item]],Input_TU_YesNo[Component],0),MATCH($D$224,Inputs!$C$210:$BM$210,0))</f>
        <v>No</v>
      </c>
      <c r="H322" s="39"/>
      <c r="I322" s="39"/>
      <c r="J322" s="39"/>
      <c r="K322" s="45"/>
      <c r="L322" s="39"/>
      <c r="M322" s="39"/>
      <c r="N322" s="39"/>
      <c r="O322" s="39"/>
    </row>
    <row r="323" spans="3:15" hidden="1" outlineLevel="1" x14ac:dyDescent="0.25">
      <c r="C323" s="37" t="s">
        <v>439</v>
      </c>
      <c r="D323" s="37"/>
      <c r="E323" s="37"/>
      <c r="F323" s="37"/>
      <c r="G323" s="47"/>
      <c r="H323" s="47"/>
      <c r="I323" s="14"/>
      <c r="J323" s="14"/>
      <c r="K323" s="44"/>
      <c r="L323" s="14"/>
      <c r="M323" s="14"/>
      <c r="N323" s="14"/>
      <c r="O323" s="14"/>
    </row>
    <row r="324" spans="3:15" hidden="1" outlineLevel="1" x14ac:dyDescent="0.25">
      <c r="C324" s="39" t="s">
        <v>440</v>
      </c>
      <c r="D324" s="58" t="str">
        <f>Calc_TU_values!$D$224</f>
        <v>VDO 2023-24 - Final</v>
      </c>
      <c r="E324" s="14" t="s">
        <v>322</v>
      </c>
      <c r="F324" s="58" t="e">
        <f>INDEX(Inputs!$H$17:$U$17,1,MATCH($D324,Inputs!$H$15:$U$15,0))</f>
        <v>#N/A</v>
      </c>
      <c r="G324" s="38"/>
      <c r="H324" s="14" t="s">
        <v>138</v>
      </c>
      <c r="I324" s="14" t="s">
        <v>71</v>
      </c>
      <c r="J324" s="39" t="s">
        <v>72</v>
      </c>
      <c r="K324" s="45" t="str" cm="1">
        <f t="array" ref="K324">IFERROR(INDEX(Input_ForRateCalc[],MATCH($C324&amp;" - "&amp;K$320,Input_ForRateCalc[[Cost item]:[Cost item]],0),MATCH(Calc_TUV_Net_2[[#This Row],[Decision ref]:[Decision ref]],Input_ForRateCalc[#Headers],0))*TUProp_Days_2,"-")</f>
        <v>-</v>
      </c>
      <c r="L324" s="45" t="str" cm="1">
        <f t="array" ref="L324">IFERROR(INDEX(Input_ForRateCalc[],MATCH($C324&amp;" - "&amp;L$320,Input_ForRateCalc[[Cost item]:[Cost item]],0),MATCH(Calc_TUV_Net_2[[#This Row],[Decision ref]:[Decision ref]],Input_ForRateCalc[#Headers],0))*TUProp_Days_2,"-")</f>
        <v>-</v>
      </c>
      <c r="M324" s="45" t="str" cm="1">
        <f t="array" ref="M324">IFERROR(INDEX(Input_ForRateCalc[],MATCH($C324&amp;" - "&amp;M$320,Input_ForRateCalc[[Cost item]:[Cost item]],0),MATCH(Calc_TUV_Net_2[[#This Row],[Decision ref]:[Decision ref]],Input_ForRateCalc[#Headers],0))*TUProp_Days_2,"-")</f>
        <v>-</v>
      </c>
      <c r="N324" s="45" t="str" cm="1">
        <f t="array" ref="N324">IFERROR(INDEX(Input_ForRateCalc[],MATCH($C324&amp;" - "&amp;N$320,Input_ForRateCalc[[Cost item]:[Cost item]],0),MATCH(Calc_TUV_Net_2[[#This Row],[Decision ref]:[Decision ref]],Input_ForRateCalc[#Headers],0))*TUProp_Days_2,"-")</f>
        <v>-</v>
      </c>
      <c r="O324" s="45" t="str" cm="1">
        <f t="array" ref="O324">IFERROR(INDEX(Input_ForRateCalc[],MATCH($C324&amp;" - "&amp;O$320,Input_ForRateCalc[[Cost item]:[Cost item]],0),MATCH(Calc_TUV_Net_2[[#This Row],[Decision ref]:[Decision ref]],Input_ForRateCalc[#Headers],0))*TUProp_Days_2,"-")</f>
        <v>-</v>
      </c>
    </row>
    <row r="325" spans="3:15" hidden="1" outlineLevel="1" x14ac:dyDescent="0.25">
      <c r="C325" s="39" t="s">
        <v>363</v>
      </c>
      <c r="D325" s="58" t="str">
        <f>Calc_TU_values!$D$224</f>
        <v>VDO 2023-24 - Final</v>
      </c>
      <c r="E325" s="14" t="s">
        <v>322</v>
      </c>
      <c r="F325" s="58" t="e">
        <f>INDEX(Inputs!$H$17:$U$17,1,MATCH($D325,Inputs!$H$15:$U$15,0))</f>
        <v>#N/A</v>
      </c>
      <c r="G325" s="38"/>
      <c r="H325" s="14" t="s">
        <v>138</v>
      </c>
      <c r="I325" s="14" t="s">
        <v>71</v>
      </c>
      <c r="J325" s="39" t="s">
        <v>72</v>
      </c>
      <c r="K325" s="45" t="str" cm="1">
        <f t="array" ref="K325">IFERROR(INDEX(Input_ForRateCalc[],MATCH($C325&amp;" - "&amp;K$320,Input_ForRateCalc[[Cost item]:[Cost item]],0),MATCH(Calc_TUV_Net_2[[#This Row],[Decision ref]:[Decision ref]],Input_ForRateCalc[#Headers],0))*TUProp_Days_2,"-")</f>
        <v>-</v>
      </c>
      <c r="L325" s="45" t="str" cm="1">
        <f t="array" ref="L325">IFERROR(INDEX(Input_ForRateCalc[],MATCH($C325&amp;" - "&amp;L$320,Input_ForRateCalc[[Cost item]:[Cost item]],0),MATCH(Calc_TUV_Net_2[[#This Row],[Decision ref]:[Decision ref]],Input_ForRateCalc[#Headers],0))*TUProp_Days_2,"-")</f>
        <v>-</v>
      </c>
      <c r="M325" s="45" t="str" cm="1">
        <f t="array" ref="M325">IFERROR(INDEX(Input_ForRateCalc[],MATCH($C325&amp;" - "&amp;M$320,Input_ForRateCalc[[Cost item]:[Cost item]],0),MATCH(Calc_TUV_Net_2[[#This Row],[Decision ref]:[Decision ref]],Input_ForRateCalc[#Headers],0))*TUProp_Days_2,"-")</f>
        <v>-</v>
      </c>
      <c r="N325" s="45" t="str" cm="1">
        <f t="array" ref="N325">IFERROR(INDEX(Input_ForRateCalc[],MATCH($C325&amp;" - "&amp;N$320,Input_ForRateCalc[[Cost item]:[Cost item]],0),MATCH(Calc_TUV_Net_2[[#This Row],[Decision ref]:[Decision ref]],Input_ForRateCalc[#Headers],0))*TUProp_Days_2,"-")</f>
        <v>-</v>
      </c>
      <c r="O325" s="45" t="str" cm="1">
        <f t="array" ref="O325">IFERROR(INDEX(Input_ForRateCalc[],MATCH($C325&amp;" - "&amp;O$320,Input_ForRateCalc[[Cost item]:[Cost item]],0),MATCH(Calc_TUV_Net_2[[#This Row],[Decision ref]:[Decision ref]],Input_ForRateCalc[#Headers],0))*TUProp_Days_2,"-")</f>
        <v>-</v>
      </c>
    </row>
    <row r="326" spans="3:15" hidden="1" outlineLevel="1" x14ac:dyDescent="0.25">
      <c r="C326" s="39" t="s">
        <v>417</v>
      </c>
      <c r="D326" s="58" t="str">
        <f>Calc_TU_values!$D$224</f>
        <v>VDO 2023-24 - Final</v>
      </c>
      <c r="E326" s="14" t="s">
        <v>322</v>
      </c>
      <c r="F326" s="58" t="e">
        <f>INDEX(Inputs!$H$17:$U$17,1,MATCH($D326,Inputs!$H$15:$U$15,0))</f>
        <v>#N/A</v>
      </c>
      <c r="G326" s="38"/>
      <c r="H326" s="14" t="s">
        <v>138</v>
      </c>
      <c r="I326" s="14" t="s">
        <v>71</v>
      </c>
      <c r="J326" s="39" t="s">
        <v>72</v>
      </c>
      <c r="K326" s="43">
        <f>IFERROR(SUM(K324:K325),"-")</f>
        <v>0</v>
      </c>
      <c r="L326" s="43">
        <f>IFERROR(SUM(L324:L325),"-")</f>
        <v>0</v>
      </c>
      <c r="M326" s="43">
        <f>IFERROR(SUM(M324:M325),"-")</f>
        <v>0</v>
      </c>
      <c r="N326" s="43">
        <f>IFERROR(SUM(N324:N325),"-")</f>
        <v>0</v>
      </c>
      <c r="O326" s="43">
        <f>IFERROR(SUM(O324:O325),"-")</f>
        <v>0</v>
      </c>
    </row>
    <row r="327" spans="3:15" hidden="1" outlineLevel="1" x14ac:dyDescent="0.25">
      <c r="C327" s="39" t="s">
        <v>440</v>
      </c>
      <c r="D327" s="58" t="str">
        <f>INDEX(Input_DecisionActual[[Decision]:[Decision]],MATCH(Calc_TU_values!$D$224,Input_DecisionActual[[VDO period]:[VDO period]],0),1)</f>
        <v>VDO 2022-23 - Final</v>
      </c>
      <c r="E327" s="14" t="s">
        <v>102</v>
      </c>
      <c r="F327" s="58" t="str">
        <f>IF($D327="-","-",INDEX(Inputs!$H$17:$U$17,1,MATCH($D327,Inputs!$H$15:$U$15,0)))</f>
        <v>F-PreviousVDO_Input3</v>
      </c>
      <c r="G327" s="38"/>
      <c r="H327" s="14" t="s">
        <v>138</v>
      </c>
      <c r="I327" s="14" t="s">
        <v>71</v>
      </c>
      <c r="J327" s="39" t="s">
        <v>72</v>
      </c>
      <c r="K327" s="45" t="str" cm="1">
        <f t="array" ref="K327">IFERROR(INDEX(Input_ForRateCalc[],MATCH($C327&amp;" - "&amp;K$320,Input_ForRateCalc[[Cost item]:[Cost item]],0),MATCH(Calc_TUV_Net_2[[#This Row],[Decision ref]:[Decision ref]],Input_ForRateCalc[#Headers],0))*TUProp_Days_2,"-")</f>
        <v>-</v>
      </c>
      <c r="L327" s="45" t="str" cm="1">
        <f t="array" ref="L327">IFERROR(INDEX(Input_ForRateCalc[],MATCH($C327&amp;" - "&amp;L$320,Input_ForRateCalc[[Cost item]:[Cost item]],0),MATCH(Calc_TUV_Net_2[[#This Row],[Decision ref]:[Decision ref]],Input_ForRateCalc[#Headers],0))*TUProp_Days_2,"-")</f>
        <v>-</v>
      </c>
      <c r="M327" s="45" t="str" cm="1">
        <f t="array" ref="M327">IFERROR(INDEX(Input_ForRateCalc[],MATCH($C327&amp;" - "&amp;M$320,Input_ForRateCalc[[Cost item]:[Cost item]],0),MATCH(Calc_TUV_Net_2[[#This Row],[Decision ref]:[Decision ref]],Input_ForRateCalc[#Headers],0))*TUProp_Days_2,"-")</f>
        <v>-</v>
      </c>
      <c r="N327" s="45" t="str" cm="1">
        <f t="array" ref="N327">IFERROR(INDEX(Input_ForRateCalc[],MATCH($C327&amp;" - "&amp;N$320,Input_ForRateCalc[[Cost item]:[Cost item]],0),MATCH(Calc_TUV_Net_2[[#This Row],[Decision ref]:[Decision ref]],Input_ForRateCalc[#Headers],0))*TUProp_Days_2,"-")</f>
        <v>-</v>
      </c>
      <c r="O327" s="45" t="str" cm="1">
        <f t="array" ref="O327">IFERROR(INDEX(Input_ForRateCalc[],MATCH($C327&amp;" - "&amp;O$320,Input_ForRateCalc[[Cost item]:[Cost item]],0),MATCH(Calc_TUV_Net_2[[#This Row],[Decision ref]:[Decision ref]],Input_ForRateCalc[#Headers],0))*TUProp_Days_2,"-")</f>
        <v>-</v>
      </c>
    </row>
    <row r="328" spans="3:15" hidden="1" outlineLevel="1" x14ac:dyDescent="0.25">
      <c r="C328" s="39" t="s">
        <v>363</v>
      </c>
      <c r="D328" s="58" t="str">
        <f>INDEX(Input_DecisionActual[[Decision]:[Decision]],MATCH(Calc_TU_values!$D$224,Input_DecisionActual[[VDO period]:[VDO period]],0),1)</f>
        <v>VDO 2022-23 - Final</v>
      </c>
      <c r="E328" s="14" t="s">
        <v>102</v>
      </c>
      <c r="F328" s="58" t="str">
        <f>IF($D328="-","-",INDEX(Inputs!$H$17:$U$17,1,MATCH($D328,Inputs!$H$15:$U$15,0)))</f>
        <v>F-PreviousVDO_Input3</v>
      </c>
      <c r="G328" s="38"/>
      <c r="H328" s="14" t="s">
        <v>138</v>
      </c>
      <c r="I328" s="14" t="s">
        <v>71</v>
      </c>
      <c r="J328" s="39" t="s">
        <v>72</v>
      </c>
      <c r="K328" s="45" t="str" cm="1">
        <f t="array" ref="K328">IFERROR(INDEX(Input_ForRateCalc[],MATCH($C328&amp;" - "&amp;K$320,Input_ForRateCalc[[Cost item]:[Cost item]],0),MATCH(Calc_TUV_Net_2[[#This Row],[Decision ref]:[Decision ref]],Input_ForRateCalc[#Headers],0))*TUProp_Days_2,"-")</f>
        <v>-</v>
      </c>
      <c r="L328" s="45" t="str" cm="1">
        <f t="array" ref="L328">IFERROR(INDEX(Input_ForRateCalc[],MATCH($C328&amp;" - "&amp;L$320,Input_ForRateCalc[[Cost item]:[Cost item]],0),MATCH(Calc_TUV_Net_2[[#This Row],[Decision ref]:[Decision ref]],Input_ForRateCalc[#Headers],0))*TUProp_Days_2,"-")</f>
        <v>-</v>
      </c>
      <c r="M328" s="45" t="str" cm="1">
        <f t="array" ref="M328">IFERROR(INDEX(Input_ForRateCalc[],MATCH($C328&amp;" - "&amp;M$320,Input_ForRateCalc[[Cost item]:[Cost item]],0),MATCH(Calc_TUV_Net_2[[#This Row],[Decision ref]:[Decision ref]],Input_ForRateCalc[#Headers],0))*TUProp_Days_2,"-")</f>
        <v>-</v>
      </c>
      <c r="N328" s="45" t="str" cm="1">
        <f t="array" ref="N328">IFERROR(INDEX(Input_ForRateCalc[],MATCH($C328&amp;" - "&amp;N$320,Input_ForRateCalc[[Cost item]:[Cost item]],0),MATCH(Calc_TUV_Net_2[[#This Row],[Decision ref]:[Decision ref]],Input_ForRateCalc[#Headers],0))*TUProp_Days_2,"-")</f>
        <v>-</v>
      </c>
      <c r="O328" s="45" t="str" cm="1">
        <f t="array" ref="O328">IFERROR(INDEX(Input_ForRateCalc[],MATCH($C328&amp;" - "&amp;O$320,Input_ForRateCalc[[Cost item]:[Cost item]],0),MATCH(Calc_TUV_Net_2[[#This Row],[Decision ref]:[Decision ref]],Input_ForRateCalc[#Headers],0))*TUProp_Days_2,"-")</f>
        <v>-</v>
      </c>
    </row>
    <row r="329" spans="3:15" hidden="1" outlineLevel="1" x14ac:dyDescent="0.25">
      <c r="C329" s="39" t="s">
        <v>417</v>
      </c>
      <c r="D329" s="58" t="str">
        <f>INDEX(Input_DecisionActual[[Decision]:[Decision]],MATCH(Calc_TU_values!$D$224,Input_DecisionActual[[VDO period]:[VDO period]],0),1)</f>
        <v>VDO 2022-23 - Final</v>
      </c>
      <c r="E329" s="14" t="s">
        <v>102</v>
      </c>
      <c r="F329" s="58" t="str">
        <f>IF($D329="-","-",INDEX(Inputs!$H$17:$U$17,1,MATCH($D329,Inputs!$H$15:$U$15,0)))</f>
        <v>F-PreviousVDO_Input3</v>
      </c>
      <c r="G329" s="38"/>
      <c r="H329" s="14" t="s">
        <v>138</v>
      </c>
      <c r="I329" s="14" t="s">
        <v>71</v>
      </c>
      <c r="J329" s="39" t="s">
        <v>72</v>
      </c>
      <c r="K329" s="44">
        <f>SUM(K327:K328)</f>
        <v>0</v>
      </c>
      <c r="L329" s="44">
        <f>SUM(L327:L328)</f>
        <v>0</v>
      </c>
      <c r="M329" s="44">
        <f>SUM(M327:M328)</f>
        <v>0</v>
      </c>
      <c r="N329" s="44">
        <f>SUM(N327:N328)</f>
        <v>0</v>
      </c>
      <c r="O329" s="44">
        <f>SUM(O327:O328)</f>
        <v>0</v>
      </c>
    </row>
    <row r="330" spans="3:15" hidden="1" outlineLevel="1" x14ac:dyDescent="0.25">
      <c r="C330" s="39" t="s">
        <v>418</v>
      </c>
      <c r="D330" s="14"/>
      <c r="E330" s="14"/>
      <c r="F330" s="14"/>
      <c r="G330" s="14"/>
      <c r="H330" s="14" t="s">
        <v>138</v>
      </c>
      <c r="I330" s="14" t="s">
        <v>71</v>
      </c>
      <c r="J330" s="39" t="s">
        <v>72</v>
      </c>
      <c r="K330" s="44" t="str">
        <f>IF(K329=0,"-",K326-K329)</f>
        <v>-</v>
      </c>
      <c r="L330" s="44" t="str">
        <f>IF(L329=0,"-",L326-L329)</f>
        <v>-</v>
      </c>
      <c r="M330" s="44" t="str">
        <f>IF(M329=0,"-",M326-M329)</f>
        <v>-</v>
      </c>
      <c r="N330" s="44" t="str">
        <f>IF(N329=0,"-",N326-N329)</f>
        <v>-</v>
      </c>
      <c r="O330" s="44" t="str">
        <f>IF(O329=0,"-",O326-O329)</f>
        <v>-</v>
      </c>
    </row>
    <row r="331" spans="3:15" hidden="1" outlineLevel="1" x14ac:dyDescent="0.25">
      <c r="C331" s="39" t="s">
        <v>420</v>
      </c>
      <c r="D331" s="58" t="str">
        <f>INDEX(Input_DecisionActual[[Decision]:[Decision]],MATCH(Calc_TU_values!$D$224,Input_DecisionActual[[VDO period]:[VDO period]],0),1)</f>
        <v>VDO 2022-23 - Final</v>
      </c>
      <c r="E331" s="14" t="s">
        <v>102</v>
      </c>
      <c r="F331" s="58" t="str">
        <f>IF($D331="-","-",INDEX(Inputs!$H$17:$U$17,1,MATCH($D331,Inputs!$H$15:$U$15,0)))</f>
        <v>F-PreviousVDO_Input3</v>
      </c>
      <c r="G331" s="14"/>
      <c r="H331" s="14" t="s">
        <v>138</v>
      </c>
      <c r="I331" s="14" t="s">
        <v>71</v>
      </c>
      <c r="J331" s="39" t="s">
        <v>72</v>
      </c>
      <c r="K331" s="45" cm="1">
        <f t="array" ref="K331">IFERROR(SUM(K330:K330)*(INDEX(Inputs!$H$18:$U$141,MATCH("Retail operating margin",Input_ForRateCalc[[Cost item]:[Cost item]],0),MATCH(Calc_TUV_Net_2[[#This Row],[Decision ref]:[Decision ref]],Inputs!$H$17:$U$17,0))),"-")</f>
        <v>0</v>
      </c>
      <c r="L331" s="45" cm="1">
        <f t="array" ref="L331">IFERROR(SUM(L330:L330)*(INDEX(Inputs!$H$18:$U$141,MATCH("Retail operating margin",Input_ForRateCalc[[Cost item]:[Cost item]],0),MATCH(Calc_TUV_Net_2[[#This Row],[Decision ref]:[Decision ref]],Inputs!$H$17:$U$17,0))),"-")</f>
        <v>0</v>
      </c>
      <c r="M331" s="45" cm="1">
        <f t="array" ref="M331">IFERROR(SUM(M330:M330)*(INDEX(Inputs!$H$18:$U$141,MATCH("Retail operating margin",Input_ForRateCalc[[Cost item]:[Cost item]],0),MATCH(Calc_TUV_Net_2[[#This Row],[Decision ref]:[Decision ref]],Inputs!$H$17:$U$17,0))),"-")</f>
        <v>0</v>
      </c>
      <c r="N331" s="45" cm="1">
        <f t="array" ref="N331">IFERROR(SUM(N330:N330)*(INDEX(Inputs!$H$18:$U$141,MATCH("Retail operating margin",Input_ForRateCalc[[Cost item]:[Cost item]],0),MATCH(Calc_TUV_Net_2[[#This Row],[Decision ref]:[Decision ref]],Inputs!$H$17:$U$17,0))),"-")</f>
        <v>0</v>
      </c>
      <c r="O331" s="45" cm="1">
        <f t="array" ref="O331">IFERROR(SUM(O330:O330)*(INDEX(Inputs!$H$18:$U$141,MATCH("Retail operating margin",Input_ForRateCalc[[Cost item]:[Cost item]],0),MATCH(Calc_TUV_Net_2[[#This Row],[Decision ref]:[Decision ref]],Inputs!$H$17:$U$17,0))),"-")</f>
        <v>0</v>
      </c>
    </row>
    <row r="332" spans="3:15" hidden="1" outlineLevel="1" x14ac:dyDescent="0.25">
      <c r="C332" s="39" t="s">
        <v>421</v>
      </c>
      <c r="D332" s="14"/>
      <c r="E332" s="14"/>
      <c r="F332" s="14"/>
      <c r="G332" s="14"/>
      <c r="H332" s="14" t="s">
        <v>138</v>
      </c>
      <c r="I332" s="14" t="s">
        <v>71</v>
      </c>
      <c r="J332" s="39" t="s">
        <v>72</v>
      </c>
      <c r="K332" s="45" t="str">
        <f>IF(K329=0,"-",SUM(K330:K331)*GST)</f>
        <v>-</v>
      </c>
      <c r="L332" s="45" t="str">
        <f>IF(L329=0,"-",SUM(L330:L331)*GST)</f>
        <v>-</v>
      </c>
      <c r="M332" s="45" t="str">
        <f>IF(M329=0,"-",SUM(M330:M331)*GST)</f>
        <v>-</v>
      </c>
      <c r="N332" s="45" t="str">
        <f>IF(N329=0,"-",SUM(N330:N331)*GST)</f>
        <v>-</v>
      </c>
      <c r="O332" s="45" t="str">
        <f>IF(O329=0,"-",SUM(O330:O331)*GST)</f>
        <v>-</v>
      </c>
    </row>
    <row r="333" spans="3:15" hidden="1" outlineLevel="1" x14ac:dyDescent="0.25">
      <c r="C333" s="14" t="s">
        <v>441</v>
      </c>
      <c r="D333" s="14"/>
      <c r="E333" s="14"/>
      <c r="F333" s="14"/>
      <c r="G333" s="14"/>
      <c r="H333" s="14" t="s">
        <v>138</v>
      </c>
      <c r="I333" s="14" t="s">
        <v>71</v>
      </c>
      <c r="J333" s="39" t="s">
        <v>72</v>
      </c>
      <c r="K333" s="45" t="str">
        <f>IF(K329=0,"-",SUM(K330:K332))</f>
        <v>-</v>
      </c>
      <c r="L333" s="45" t="str">
        <f>IF(L329=0,"-",SUM(L330:L332))</f>
        <v>-</v>
      </c>
      <c r="M333" s="45" t="str">
        <f>IF(M329=0,"-",SUM(M330:M332))</f>
        <v>-</v>
      </c>
      <c r="N333" s="45" t="str">
        <f>IF(N329=0,"-",SUM(N330:N332))</f>
        <v>-</v>
      </c>
      <c r="O333" s="45" t="str">
        <f>IF(O329=0,"-",SUM(O330:O332))</f>
        <v>-</v>
      </c>
    </row>
    <row r="334" spans="3:15" hidden="1" outlineLevel="1" x14ac:dyDescent="0.25">
      <c r="C334" s="39"/>
      <c r="D334" s="14"/>
      <c r="E334" s="14"/>
      <c r="F334" s="14"/>
      <c r="H334" s="14"/>
      <c r="I334" s="14"/>
      <c r="J334" s="14"/>
      <c r="K334" s="86"/>
      <c r="L334" s="86"/>
      <c r="M334" s="86"/>
      <c r="N334" s="86"/>
      <c r="O334" s="86"/>
    </row>
    <row r="335" spans="3:15" hidden="1" outlineLevel="1" x14ac:dyDescent="0.25">
      <c r="C335" s="37" t="s">
        <v>442</v>
      </c>
      <c r="D335" s="14"/>
      <c r="E335" s="14"/>
      <c r="F335" s="14"/>
      <c r="G335" s="47"/>
      <c r="H335" s="14"/>
      <c r="I335" s="14"/>
      <c r="J335" s="14"/>
      <c r="K335" s="87"/>
      <c r="L335" s="87"/>
      <c r="M335" s="87"/>
      <c r="N335" s="87"/>
      <c r="O335" s="87"/>
    </row>
    <row r="336" spans="3:15" hidden="1" outlineLevel="1" x14ac:dyDescent="0.25">
      <c r="C336" s="39" t="s">
        <v>443</v>
      </c>
      <c r="D336" s="58" t="str">
        <f>Calc_TU_values!$D$224</f>
        <v>VDO 2023-24 - Final</v>
      </c>
      <c r="E336" s="14" t="s">
        <v>322</v>
      </c>
      <c r="F336" s="58" t="e">
        <f>INDEX(Inputs!$H$17:$U$17,1,MATCH($D336,Inputs!$H$15:$U$15,0))</f>
        <v>#N/A</v>
      </c>
      <c r="G336" s="14"/>
      <c r="H336" s="14" t="s">
        <v>184</v>
      </c>
      <c r="I336" s="14" t="s">
        <v>225</v>
      </c>
      <c r="J336" s="39" t="s">
        <v>72</v>
      </c>
      <c r="K336" s="45" t="str" cm="1">
        <f t="array" ref="K336">IFERROR(INDEX(Input_ForRateCalc[],MATCH($C336&amp;" - "&amp;K$320,Input_ForRateCalc[[Cost item]:[Cost item]],0),MATCH(Calc_TUV_Net_2[[#This Row],[Decision ref]:[Decision ref]],Input_ForRateCalc[#Headers],0)),"-")</f>
        <v>-</v>
      </c>
      <c r="L336" s="45" t="str" cm="1">
        <f t="array" ref="L336">IFERROR(INDEX(Input_ForRateCalc[],MATCH($C336&amp;" - "&amp;L$320,Input_ForRateCalc[[Cost item]:[Cost item]],0),MATCH(Calc_TUV_Net_2[[#This Row],[Decision ref]:[Decision ref]],Input_ForRateCalc[#Headers],0)),"-")</f>
        <v>-</v>
      </c>
      <c r="M336" s="45" t="str" cm="1">
        <f t="array" ref="M336">IFERROR(INDEX(Input_ForRateCalc[],MATCH($C336&amp;" - "&amp;M$320,Input_ForRateCalc[[Cost item]:[Cost item]],0),MATCH(Calc_TUV_Net_2[[#This Row],[Decision ref]:[Decision ref]],Input_ForRateCalc[#Headers],0)),"-")</f>
        <v>-</v>
      </c>
      <c r="N336" s="45" t="str" cm="1">
        <f t="array" ref="N336">IFERROR(INDEX(Input_ForRateCalc[],MATCH($C336&amp;" - "&amp;N$320,Input_ForRateCalc[[Cost item]:[Cost item]],0),MATCH(Calc_TUV_Net_2[[#This Row],[Decision ref]:[Decision ref]],Input_ForRateCalc[#Headers],0)),"-")</f>
        <v>-</v>
      </c>
      <c r="O336" s="45" t="str" cm="1">
        <f t="array" ref="O336">IFERROR(INDEX(Input_ForRateCalc[],MATCH($C336&amp;" - "&amp;O$320,Input_ForRateCalc[[Cost item]:[Cost item]],0),MATCH(Calc_TUV_Net_2[[#This Row],[Decision ref]:[Decision ref]],Input_ForRateCalc[#Headers],0)),"-")</f>
        <v>-</v>
      </c>
    </row>
    <row r="337" spans="3:15" hidden="1" outlineLevel="1" x14ac:dyDescent="0.25">
      <c r="C337" s="39" t="s">
        <v>444</v>
      </c>
      <c r="D337" s="58" t="str">
        <f>Calc_TU_values!$D$224</f>
        <v>VDO 2023-24 - Final</v>
      </c>
      <c r="E337" s="14" t="s">
        <v>322</v>
      </c>
      <c r="F337" s="58" t="e">
        <f>INDEX(Inputs!$H$17:$U$17,1,MATCH($D337,Inputs!$H$15:$U$15,0))</f>
        <v>#N/A</v>
      </c>
      <c r="G337" s="47"/>
      <c r="H337" s="14" t="s">
        <v>184</v>
      </c>
      <c r="I337" s="14" t="s">
        <v>225</v>
      </c>
      <c r="J337" s="39" t="s">
        <v>72</v>
      </c>
      <c r="K337" s="45" t="str" cm="1">
        <f t="array" ref="K337">IFERROR(INDEX(Input_ForRateCalc[],MATCH($C337&amp;" - "&amp;K$320,Input_ForRateCalc[[Cost item]:[Cost item]],0),MATCH(Calc_TUV_Net_2[[#This Row],[Decision ref]:[Decision ref]],Input_ForRateCalc[#Headers],0)),"-")</f>
        <v>-</v>
      </c>
      <c r="L337" s="45" t="str" cm="1">
        <f t="array" ref="L337">IFERROR(INDEX(Input_ForRateCalc[],MATCH($C337&amp;" - "&amp;L$320,Input_ForRateCalc[[Cost item]:[Cost item]],0),MATCH(Calc_TUV_Net_2[[#This Row],[Decision ref]:[Decision ref]],Input_ForRateCalc[#Headers],0)),"-")</f>
        <v>-</v>
      </c>
      <c r="M337" s="45" t="str" cm="1">
        <f t="array" ref="M337">IFERROR(INDEX(Input_ForRateCalc[],MATCH($C337&amp;" - "&amp;M$320,Input_ForRateCalc[[Cost item]:[Cost item]],0),MATCH(Calc_TUV_Net_2[[#This Row],[Decision ref]:[Decision ref]],Input_ForRateCalc[#Headers],0)),"-")</f>
        <v>-</v>
      </c>
      <c r="N337" s="45" t="str" cm="1">
        <f t="array" ref="N337">IFERROR(INDEX(Input_ForRateCalc[],MATCH($C337&amp;" - "&amp;N$320,Input_ForRateCalc[[Cost item]:[Cost item]],0),MATCH(Calc_TUV_Net_2[[#This Row],[Decision ref]:[Decision ref]],Input_ForRateCalc[#Headers],0)),"-")</f>
        <v>-</v>
      </c>
      <c r="O337" s="45" t="str" cm="1">
        <f t="array" ref="O337">IFERROR(INDEX(Input_ForRateCalc[],MATCH($C337&amp;" - "&amp;O$320,Input_ForRateCalc[[Cost item]:[Cost item]],0),MATCH(Calc_TUV_Net_2[[#This Row],[Decision ref]:[Decision ref]],Input_ForRateCalc[#Headers],0)),"-")</f>
        <v>-</v>
      </c>
    </row>
    <row r="338" spans="3:15" hidden="1" outlineLevel="1" x14ac:dyDescent="0.25">
      <c r="C338" s="39" t="s">
        <v>445</v>
      </c>
      <c r="D338" s="58" t="str">
        <f>Calc_TU_values!$D$224</f>
        <v>VDO 2023-24 - Final</v>
      </c>
      <c r="E338" s="14" t="s">
        <v>322</v>
      </c>
      <c r="F338" s="58" t="e">
        <f>INDEX(Inputs!$H$17:$U$17,1,MATCH($D338,Inputs!$H$15:$U$15,0))</f>
        <v>#N/A</v>
      </c>
      <c r="G338" s="38"/>
      <c r="H338" s="14" t="s">
        <v>184</v>
      </c>
      <c r="I338" s="14" t="s">
        <v>225</v>
      </c>
      <c r="J338" s="39" t="s">
        <v>72</v>
      </c>
      <c r="K338" s="45" t="str" cm="1">
        <f t="array" ref="K338">IFERROR(INDEX(Input_ForRateCalc[],MATCH($C338&amp;" - "&amp;K$320,Input_ForRateCalc[[Cost item]:[Cost item]],0),MATCH(Calc_TUV_Net_2[[#This Row],[Decision ref]:[Decision ref]],Input_ForRateCalc[#Headers],0)),"-")</f>
        <v>-</v>
      </c>
      <c r="L338" s="45" t="str" cm="1">
        <f t="array" ref="L338">IFERROR(INDEX(Input_ForRateCalc[],MATCH($C338&amp;" - "&amp;L$320,Input_ForRateCalc[[Cost item]:[Cost item]],0),MATCH(Calc_TUV_Net_2[[#This Row],[Decision ref]:[Decision ref]],Input_ForRateCalc[#Headers],0)),"-")</f>
        <v>-</v>
      </c>
      <c r="M338" s="45" t="str" cm="1">
        <f t="array" ref="M338">IFERROR(INDEX(Input_ForRateCalc[],MATCH($C338&amp;" - "&amp;M$320,Input_ForRateCalc[[Cost item]:[Cost item]],0),MATCH(Calc_TUV_Net_2[[#This Row],[Decision ref]:[Decision ref]],Input_ForRateCalc[#Headers],0)),"-")</f>
        <v>-</v>
      </c>
      <c r="N338" s="45" t="str" cm="1">
        <f t="array" ref="N338">IFERROR(INDEX(Input_ForRateCalc[],MATCH($C338&amp;" - "&amp;N$320,Input_ForRateCalc[[Cost item]:[Cost item]],0),MATCH(Calc_TUV_Net_2[[#This Row],[Decision ref]:[Decision ref]],Input_ForRateCalc[#Headers],0)),"-")</f>
        <v>-</v>
      </c>
      <c r="O338" s="45" t="str" cm="1">
        <f t="array" ref="O338">IFERROR(INDEX(Input_ForRateCalc[],MATCH($C338&amp;" - "&amp;O$320,Input_ForRateCalc[[Cost item]:[Cost item]],0),MATCH(Calc_TUV_Net_2[[#This Row],[Decision ref]:[Decision ref]],Input_ForRateCalc[#Headers],0)),"-")</f>
        <v>-</v>
      </c>
    </row>
    <row r="339" spans="3:15" hidden="1" outlineLevel="1" x14ac:dyDescent="0.25">
      <c r="C339" s="39" t="s">
        <v>417</v>
      </c>
      <c r="D339" s="58" t="str">
        <f>Calc_TU_values!$D$224</f>
        <v>VDO 2023-24 - Final</v>
      </c>
      <c r="E339" s="14" t="s">
        <v>322</v>
      </c>
      <c r="F339" s="58" t="e">
        <f>INDEX(Inputs!$H$17:$U$17,1,MATCH($D339,Inputs!$H$15:$U$15,0))</f>
        <v>#N/A</v>
      </c>
      <c r="G339" s="38"/>
      <c r="H339" s="14" t="s">
        <v>184</v>
      </c>
      <c r="I339" s="14" t="s">
        <v>71</v>
      </c>
      <c r="J339" s="39" t="s">
        <v>72</v>
      </c>
      <c r="K339" s="46">
        <f>SUM(
IFERROR(K336/100*SUMIFS(INDEX(TUNet_Usage_PerRate_2[],0,MATCH(K$320,TUNet_Usage_PerRate_2[#Headers],0)),TUNet_Usage_PerRate_2[Customer type],Calc_TUV_Net_2[[#This Row],[Customer type]],TUNet_Usage_PerRate_2[Description],"Usage per customer - Block 1"),0),
IFERROR(K337/100*SUMIFS(INDEX(TUNet_Usage_PerRate_2[],0,MATCH(K$320,TUNet_Usage_PerRate_2[#Headers],0)),TUNet_Usage_PerRate_2[Customer type],Calc_TUV_Net_2[[#This Row],[Customer type]],TUNet_Usage_PerRate_2[Description],"Usage per customer - Balance"),0),
IFERROR(K338/100*SUMIFS(INDEX(TUNet_Usage_PerRate_2[],0,MATCH(K$320,TUNet_Usage_PerRate_2[#Headers],0)),TUNet_Usage_PerRate_2[Customer type],Calc_TUV_Net_2[[#This Row],[Customer type]],TUNet_Usage_PerRate_2[Description],"Usage per customer - Single rate"),0))</f>
        <v>0</v>
      </c>
      <c r="L339" s="46">
        <f>SUM(
IFERROR(L336/100*SUMIFS(INDEX(TUNet_Usage_PerRate_2[],0,MATCH(L$320,TUNet_Usage_PerRate_2[#Headers],0)),TUNet_Usage_PerRate_2[Customer type],Calc_TUV_Net_2[[#This Row],[Customer type]],TUNet_Usage_PerRate_2[Description],"Usage per customer - Block 1"),0),
IFERROR(L337/100*SUMIFS(INDEX(TUNet_Usage_PerRate_2[],0,MATCH(L$320,TUNet_Usage_PerRate_2[#Headers],0)),TUNet_Usage_PerRate_2[Customer type],Calc_TUV_Net_2[[#This Row],[Customer type]],TUNet_Usage_PerRate_2[Description],"Usage per customer - Balance"),0),
IFERROR(L338/100*SUMIFS(INDEX(TUNet_Usage_PerRate_2[],0,MATCH(L$320,TUNet_Usage_PerRate_2[#Headers],0)),TUNet_Usage_PerRate_2[Customer type],Calc_TUV_Net_2[[#This Row],[Customer type]],TUNet_Usage_PerRate_2[Description],"Usage per customer - Single rate"),0))</f>
        <v>0</v>
      </c>
      <c r="M339" s="46">
        <f>SUM(
IFERROR(M336/100*SUMIFS(INDEX(TUNet_Usage_PerRate_2[],0,MATCH(M$320,TUNet_Usage_PerRate_2[#Headers],0)),TUNet_Usage_PerRate_2[Customer type],Calc_TUV_Net_2[[#This Row],[Customer type]],TUNet_Usage_PerRate_2[Description],"Usage per customer - Block 1"),0),
IFERROR(M337/100*SUMIFS(INDEX(TUNet_Usage_PerRate_2[],0,MATCH(M$320,TUNet_Usage_PerRate_2[#Headers],0)),TUNet_Usage_PerRate_2[Customer type],Calc_TUV_Net_2[[#This Row],[Customer type]],TUNet_Usage_PerRate_2[Description],"Usage per customer - Balance"),0),
IFERROR(M338/100*SUMIFS(INDEX(TUNet_Usage_PerRate_2[],0,MATCH(M$320,TUNet_Usage_PerRate_2[#Headers],0)),TUNet_Usage_PerRate_2[Customer type],Calc_TUV_Net_2[[#This Row],[Customer type]],TUNet_Usage_PerRate_2[Description],"Usage per customer - Single rate"),0))</f>
        <v>0</v>
      </c>
      <c r="N339" s="46">
        <f>SUM(
IFERROR(N336/100*SUMIFS(INDEX(TUNet_Usage_PerRate_2[],0,MATCH(N$320,TUNet_Usage_PerRate_2[#Headers],0)),TUNet_Usage_PerRate_2[Customer type],Calc_TUV_Net_2[[#This Row],[Customer type]],TUNet_Usage_PerRate_2[Description],"Usage per customer - Block 1"),0),
IFERROR(N337/100*SUMIFS(INDEX(TUNet_Usage_PerRate_2[],0,MATCH(N$320,TUNet_Usage_PerRate_2[#Headers],0)),TUNet_Usage_PerRate_2[Customer type],Calc_TUV_Net_2[[#This Row],[Customer type]],TUNet_Usage_PerRate_2[Description],"Usage per customer - Balance"),0),
IFERROR(N338/100*SUMIFS(INDEX(TUNet_Usage_PerRate_2[],0,MATCH(N$320,TUNet_Usage_PerRate_2[#Headers],0)),TUNet_Usage_PerRate_2[Customer type],Calc_TUV_Net_2[[#This Row],[Customer type]],TUNet_Usage_PerRate_2[Description],"Usage per customer - Single rate"),0))</f>
        <v>0</v>
      </c>
      <c r="O339" s="46">
        <f>SUM(
IFERROR(O336/100*SUMIFS(INDEX(TUNet_Usage_PerRate_2[],0,MATCH(O$320,TUNet_Usage_PerRate_2[#Headers],0)),TUNet_Usage_PerRate_2[Customer type],Calc_TUV_Net_2[[#This Row],[Customer type]],TUNet_Usage_PerRate_2[Description],"Usage per customer - Block 1"),0),
IFERROR(O337/100*SUMIFS(INDEX(TUNet_Usage_PerRate_2[],0,MATCH(O$320,TUNet_Usage_PerRate_2[#Headers],0)),TUNet_Usage_PerRate_2[Customer type],Calc_TUV_Net_2[[#This Row],[Customer type]],TUNet_Usage_PerRate_2[Description],"Usage per customer - Balance"),0),
IFERROR(O338/100*SUMIFS(INDEX(TUNet_Usage_PerRate_2[],0,MATCH(O$320,TUNet_Usage_PerRate_2[#Headers],0)),TUNet_Usage_PerRate_2[Customer type],Calc_TUV_Net_2[[#This Row],[Customer type]],TUNet_Usage_PerRate_2[Description],"Usage per customer - Single rate"),0))</f>
        <v>0</v>
      </c>
    </row>
    <row r="340" spans="3:15" hidden="1" outlineLevel="1" x14ac:dyDescent="0.25">
      <c r="C340" s="39" t="s">
        <v>443</v>
      </c>
      <c r="D340" s="58" t="str">
        <f>INDEX(Input_DecisionActual[[Decision]:[Decision]],MATCH(Calc_TU_values!$D$224,Input_DecisionActual[[VDO period]:[VDO period]],0),1)</f>
        <v>VDO 2022-23 - Final</v>
      </c>
      <c r="E340" s="14" t="s">
        <v>102</v>
      </c>
      <c r="F340" s="58" t="str">
        <f>IF($D340="-","-",INDEX(Inputs!$H$17:$U$17,1,MATCH($D340,Inputs!$H$15:$U$15,0)))</f>
        <v>F-PreviousVDO_Input3</v>
      </c>
      <c r="G340" s="38"/>
      <c r="H340" s="14" t="s">
        <v>184</v>
      </c>
      <c r="I340" s="14" t="s">
        <v>225</v>
      </c>
      <c r="J340" s="39" t="s">
        <v>72</v>
      </c>
      <c r="K340" s="45" cm="1">
        <f t="array" ref="K340">IFERROR(INDEX(Input_ForRateCalc[],MATCH($C340&amp;" - "&amp;K$320,Input_ForRateCalc[[Cost item]:[Cost item]],0),MATCH(Calc_TUV_Net_2[[#This Row],[Decision ref]:[Decision ref]],Input_ForRateCalc[#Headers],0)),"-")</f>
        <v>12.7212</v>
      </c>
      <c r="L340" s="45" t="str" cm="1">
        <f t="array" ref="L340">IFERROR(INDEX(Input_ForRateCalc[],MATCH($C340&amp;" - "&amp;L$320,Input_ForRateCalc[[Cost item]:[Cost item]],0),MATCH(Calc_TUV_Net_2[[#This Row],[Decision ref]:[Decision ref]],Input_ForRateCalc[#Headers],0)),"-")</f>
        <v>-</v>
      </c>
      <c r="M340" s="45" t="str" cm="1">
        <f t="array" ref="M340">IFERROR(INDEX(Input_ForRateCalc[],MATCH($C340&amp;" - "&amp;M$320,Input_ForRateCalc[[Cost item]:[Cost item]],0),MATCH(Calc_TUV_Net_2[[#This Row],[Decision ref]:[Decision ref]],Input_ForRateCalc[#Headers],0)),"-")</f>
        <v>-</v>
      </c>
      <c r="N340" s="45" t="str" cm="1">
        <f t="array" ref="N340">IFERROR(INDEX(Input_ForRateCalc[],MATCH($C340&amp;" - "&amp;N$320,Input_ForRateCalc[[Cost item]:[Cost item]],0),MATCH(Calc_TUV_Net_2[[#This Row],[Decision ref]:[Decision ref]],Input_ForRateCalc[#Headers],0)),"-")</f>
        <v>-</v>
      </c>
      <c r="O340" s="45" t="str" cm="1">
        <f t="array" ref="O340">IFERROR(INDEX(Input_ForRateCalc[],MATCH($C340&amp;" - "&amp;O$320,Input_ForRateCalc[[Cost item]:[Cost item]],0),MATCH(Calc_TUV_Net_2[[#This Row],[Decision ref]:[Decision ref]],Input_ForRateCalc[#Headers],0)),"-")</f>
        <v>-</v>
      </c>
    </row>
    <row r="341" spans="3:15" hidden="1" outlineLevel="1" x14ac:dyDescent="0.25">
      <c r="C341" s="39" t="s">
        <v>444</v>
      </c>
      <c r="D341" s="58" t="str">
        <f>INDEX(Input_DecisionActual[[Decision]:[Decision]],MATCH(Calc_TU_values!$D$224,Input_DecisionActual[[VDO period]:[VDO period]],0),1)</f>
        <v>VDO 2022-23 - Final</v>
      </c>
      <c r="E341" s="14" t="s">
        <v>102</v>
      </c>
      <c r="F341" s="58" t="str">
        <f>IF($D341="-","-",INDEX(Inputs!$H$17:$U$17,1,MATCH($D341,Inputs!$H$15:$U$15,0)))</f>
        <v>F-PreviousVDO_Input3</v>
      </c>
      <c r="G341" s="38"/>
      <c r="H341" s="14" t="s">
        <v>184</v>
      </c>
      <c r="I341" s="14" t="s">
        <v>225</v>
      </c>
      <c r="J341" s="39" t="s">
        <v>72</v>
      </c>
      <c r="K341" s="45" cm="1">
        <f t="array" ref="K341">IFERROR(INDEX(Input_ForRateCalc[],MATCH($C341&amp;" - "&amp;K$320,Input_ForRateCalc[[Cost item]:[Cost item]],0),MATCH(Calc_TUV_Net_2[[#This Row],[Decision ref]:[Decision ref]],Input_ForRateCalc[#Headers],0)),"-")</f>
        <v>14.2392</v>
      </c>
      <c r="L341" s="45" t="str" cm="1">
        <f t="array" ref="L341">IFERROR(INDEX(Input_ForRateCalc[],MATCH($C341&amp;" - "&amp;L$320,Input_ForRateCalc[[Cost item]:[Cost item]],0),MATCH(Calc_TUV_Net_2[[#This Row],[Decision ref]:[Decision ref]],Input_ForRateCalc[#Headers],0)),"-")</f>
        <v>-</v>
      </c>
      <c r="M341" s="45" t="str" cm="1">
        <f t="array" ref="M341">IFERROR(INDEX(Input_ForRateCalc[],MATCH($C341&amp;" - "&amp;M$320,Input_ForRateCalc[[Cost item]:[Cost item]],0),MATCH(Calc_TUV_Net_2[[#This Row],[Decision ref]:[Decision ref]],Input_ForRateCalc[#Headers],0)),"-")</f>
        <v>-</v>
      </c>
      <c r="N341" s="45" t="str" cm="1">
        <f t="array" ref="N341">IFERROR(INDEX(Input_ForRateCalc[],MATCH($C341&amp;" - "&amp;N$320,Input_ForRateCalc[[Cost item]:[Cost item]],0),MATCH(Calc_TUV_Net_2[[#This Row],[Decision ref]:[Decision ref]],Input_ForRateCalc[#Headers],0)),"-")</f>
        <v>-</v>
      </c>
      <c r="O341" s="45" t="str" cm="1">
        <f t="array" ref="O341">IFERROR(INDEX(Input_ForRateCalc[],MATCH($C341&amp;" - "&amp;O$320,Input_ForRateCalc[[Cost item]:[Cost item]],0),MATCH(Calc_TUV_Net_2[[#This Row],[Decision ref]:[Decision ref]],Input_ForRateCalc[#Headers],0)),"-")</f>
        <v>-</v>
      </c>
    </row>
    <row r="342" spans="3:15" hidden="1" outlineLevel="1" x14ac:dyDescent="0.25">
      <c r="C342" s="39" t="s">
        <v>445</v>
      </c>
      <c r="D342" s="58" t="str">
        <f>INDEX(Input_DecisionActual[[Decision]:[Decision]],MATCH(Calc_TU_values!$D$224,Input_DecisionActual[[VDO period]:[VDO period]],0),1)</f>
        <v>VDO 2022-23 - Final</v>
      </c>
      <c r="E342" s="14" t="s">
        <v>102</v>
      </c>
      <c r="F342" s="58" t="str">
        <f>IF($D342="-","-",INDEX(Inputs!$H$17:$U$17,1,MATCH($D342,Inputs!$H$15:$U$15,0)))</f>
        <v>F-PreviousVDO_Input3</v>
      </c>
      <c r="G342" s="38"/>
      <c r="H342" s="14" t="s">
        <v>184</v>
      </c>
      <c r="I342" s="14" t="s">
        <v>225</v>
      </c>
      <c r="J342" s="39" t="s">
        <v>72</v>
      </c>
      <c r="K342" s="45" t="str" cm="1">
        <f t="array" ref="K342">IFERROR(INDEX(Input_ForRateCalc[],MATCH($C342&amp;" - "&amp;K$320,Input_ForRateCalc[[Cost item]:[Cost item]],0),MATCH(Calc_TUV_Net_2[[#This Row],[Decision ref]:[Decision ref]],Input_ForRateCalc[#Headers],0)),"-")</f>
        <v>-</v>
      </c>
      <c r="L342" s="45" cm="1">
        <f t="array" ref="L342">IFERROR(INDEX(Input_ForRateCalc[],MATCH($C342&amp;" - "&amp;L$320,Input_ForRateCalc[[Cost item]:[Cost item]],0),MATCH(Calc_TUV_Net_2[[#This Row],[Decision ref]:[Decision ref]],Input_ForRateCalc[#Headers],0)),"-")</f>
        <v>7.4</v>
      </c>
      <c r="M342" s="45" cm="1">
        <f t="array" ref="M342">IFERROR(INDEX(Input_ForRateCalc[],MATCH($C342&amp;" - "&amp;M$320,Input_ForRateCalc[[Cost item]:[Cost item]],0),MATCH(Calc_TUV_Net_2[[#This Row],[Decision ref]:[Decision ref]],Input_ForRateCalc[#Headers],0)),"-")</f>
        <v>8.2509999999999994</v>
      </c>
      <c r="N342" s="45" cm="1">
        <f t="array" ref="N342">IFERROR(INDEX(Input_ForRateCalc[],MATCH($C342&amp;" - "&amp;N$320,Input_ForRateCalc[[Cost item]:[Cost item]],0),MATCH(Calc_TUV_Net_2[[#This Row],[Decision ref]:[Decision ref]],Input_ForRateCalc[#Headers],0)),"-")</f>
        <v>8.15</v>
      </c>
      <c r="O342" s="45" cm="1">
        <f t="array" ref="O342">IFERROR(INDEX(Input_ForRateCalc[],MATCH($C342&amp;" - "&amp;O$320,Input_ForRateCalc[[Cost item]:[Cost item]],0),MATCH(Calc_TUV_Net_2[[#This Row],[Decision ref]:[Decision ref]],Input_ForRateCalc[#Headers],0)),"-")</f>
        <v>8.3000000000000007</v>
      </c>
    </row>
    <row r="343" spans="3:15" hidden="1" outlineLevel="1" x14ac:dyDescent="0.25">
      <c r="C343" s="39" t="s">
        <v>417</v>
      </c>
      <c r="D343" s="58" t="str">
        <f>INDEX(Input_DecisionActual[[Decision]:[Decision]],MATCH(Calc_TU_values!$D$224,Input_DecisionActual[[VDO period]:[VDO period]],0),1)</f>
        <v>VDO 2022-23 - Final</v>
      </c>
      <c r="E343" s="14" t="s">
        <v>102</v>
      </c>
      <c r="F343" s="58" t="str">
        <f>IF($D343="-","-",INDEX(Inputs!$H$17:$U$17,1,MATCH($D343,Inputs!$H$15:$U$15,0)))</f>
        <v>F-PreviousVDO_Input3</v>
      </c>
      <c r="G343" s="38"/>
      <c r="H343" s="14" t="s">
        <v>184</v>
      </c>
      <c r="I343" s="14" t="s">
        <v>71</v>
      </c>
      <c r="J343" s="39" t="s">
        <v>72</v>
      </c>
      <c r="K343" s="46">
        <f>SUM(
IFERROR(K340/100*SUMIFS(INDEX(TUNet_Usage_PerRate_2[],0,MATCH(K$320,TUNet_Usage_PerRate_2[#Headers],0)),TUNet_Usage_PerRate_2[Customer type],Calc_TUV_Net_2[[#This Row],[Customer type]],TUNet_Usage_PerRate_2[Description],"Usage per customer - Block 1"),0),
IFERROR(K341/100*SUMIFS(INDEX(TUNet_Usage_PerRate_2[],0,MATCH(K$320,TUNet_Usage_PerRate_2[#Headers],0)),TUNet_Usage_PerRate_2[Customer type],Calc_TUV_Net_2[[#This Row],[Customer type]],TUNet_Usage_PerRate_2[Description],"Usage per customer - Balance"),0),
IFERROR(K342/100*SUMIFS(INDEX(TUNet_Usage_PerRate_2[],0,MATCH(K$320,TUNet_Usage_PerRate_2[#Headers],0)),TUNet_Usage_PerRate_2[Customer type],Calc_TUV_Net_2[[#This Row],[Customer type]],TUNet_Usage_PerRate_2[Description],"Usage per customer - Single rate"),0))</f>
        <v>0</v>
      </c>
      <c r="L343" s="46">
        <f>SUM(
IFERROR(L340/100*SUMIFS(INDEX(TUNet_Usage_PerRate_2[],0,MATCH(L$320,TUNet_Usage_PerRate_2[#Headers],0)),TUNet_Usage_PerRate_2[Customer type],Calc_TUV_Net_2[[#This Row],[Customer type]],TUNet_Usage_PerRate_2[Description],"Usage per customer - Block 1"),0),
IFERROR(L341/100*SUMIFS(INDEX(TUNet_Usage_PerRate_2[],0,MATCH(L$320,TUNet_Usage_PerRate_2[#Headers],0)),TUNet_Usage_PerRate_2[Customer type],Calc_TUV_Net_2[[#This Row],[Customer type]],TUNet_Usage_PerRate_2[Description],"Usage per customer - Balance"),0),
IFERROR(L342/100*SUMIFS(INDEX(TUNet_Usage_PerRate_2[],0,MATCH(L$320,TUNet_Usage_PerRate_2[#Headers],0)),TUNet_Usage_PerRate_2[Customer type],Calc_TUV_Net_2[[#This Row],[Customer type]],TUNet_Usage_PerRate_2[Description],"Usage per customer - Single rate"),0))</f>
        <v>0</v>
      </c>
      <c r="M343" s="46">
        <f>SUM(
IFERROR(M340/100*SUMIFS(INDEX(TUNet_Usage_PerRate_2[],0,MATCH(M$320,TUNet_Usage_PerRate_2[#Headers],0)),TUNet_Usage_PerRate_2[Customer type],Calc_TUV_Net_2[[#This Row],[Customer type]],TUNet_Usage_PerRate_2[Description],"Usage per customer - Block 1"),0),
IFERROR(M341/100*SUMIFS(INDEX(TUNet_Usage_PerRate_2[],0,MATCH(M$320,TUNet_Usage_PerRate_2[#Headers],0)),TUNet_Usage_PerRate_2[Customer type],Calc_TUV_Net_2[[#This Row],[Customer type]],TUNet_Usage_PerRate_2[Description],"Usage per customer - Balance"),0),
IFERROR(M342/100*SUMIFS(INDEX(TUNet_Usage_PerRate_2[],0,MATCH(M$320,TUNet_Usage_PerRate_2[#Headers],0)),TUNet_Usage_PerRate_2[Customer type],Calc_TUV_Net_2[[#This Row],[Customer type]],TUNet_Usage_PerRate_2[Description],"Usage per customer - Single rate"),0))</f>
        <v>0</v>
      </c>
      <c r="N343" s="46">
        <f>SUM(
IFERROR(N340/100*SUMIFS(INDEX(TUNet_Usage_PerRate_2[],0,MATCH(N$320,TUNet_Usage_PerRate_2[#Headers],0)),TUNet_Usage_PerRate_2[Customer type],Calc_TUV_Net_2[[#This Row],[Customer type]],TUNet_Usage_PerRate_2[Description],"Usage per customer - Block 1"),0),
IFERROR(N341/100*SUMIFS(INDEX(TUNet_Usage_PerRate_2[],0,MATCH(N$320,TUNet_Usage_PerRate_2[#Headers],0)),TUNet_Usage_PerRate_2[Customer type],Calc_TUV_Net_2[[#This Row],[Customer type]],TUNet_Usage_PerRate_2[Description],"Usage per customer - Balance"),0),
IFERROR(N342/100*SUMIFS(INDEX(TUNet_Usage_PerRate_2[],0,MATCH(N$320,TUNet_Usage_PerRate_2[#Headers],0)),TUNet_Usage_PerRate_2[Customer type],Calc_TUV_Net_2[[#This Row],[Customer type]],TUNet_Usage_PerRate_2[Description],"Usage per customer - Single rate"),0))</f>
        <v>0</v>
      </c>
      <c r="O343" s="46">
        <f>SUM(
IFERROR(O340/100*SUMIFS(INDEX(TUNet_Usage_PerRate_2[],0,MATCH(O$320,TUNet_Usage_PerRate_2[#Headers],0)),TUNet_Usage_PerRate_2[Customer type],Calc_TUV_Net_2[[#This Row],[Customer type]],TUNet_Usage_PerRate_2[Description],"Usage per customer - Block 1"),0),
IFERROR(O341/100*SUMIFS(INDEX(TUNet_Usage_PerRate_2[],0,MATCH(O$320,TUNet_Usage_PerRate_2[#Headers],0)),TUNet_Usage_PerRate_2[Customer type],Calc_TUV_Net_2[[#This Row],[Customer type]],TUNet_Usage_PerRate_2[Description],"Usage per customer - Balance"),0),
IFERROR(O342/100*SUMIFS(INDEX(TUNet_Usage_PerRate_2[],0,MATCH(O$320,TUNet_Usage_PerRate_2[#Headers],0)),TUNet_Usage_PerRate_2[Customer type],Calc_TUV_Net_2[[#This Row],[Customer type]],TUNet_Usage_PerRate_2[Description],"Usage per customer - Single rate"),0))</f>
        <v>0</v>
      </c>
    </row>
    <row r="344" spans="3:15" hidden="1" outlineLevel="1" x14ac:dyDescent="0.25">
      <c r="C344" s="39" t="s">
        <v>418</v>
      </c>
      <c r="D344" s="14"/>
      <c r="E344" s="14"/>
      <c r="F344" s="14"/>
      <c r="G344" s="14"/>
      <c r="H344" s="14" t="s">
        <v>184</v>
      </c>
      <c r="I344" s="14" t="s">
        <v>71</v>
      </c>
      <c r="J344" s="39" t="s">
        <v>72</v>
      </c>
      <c r="K344" s="44" t="str">
        <f>IF(K343=0,"-",K339-K343)</f>
        <v>-</v>
      </c>
      <c r="L344" s="44" t="str">
        <f>IF(L343=0,"-",L339-L343)</f>
        <v>-</v>
      </c>
      <c r="M344" s="44" t="str">
        <f>IF(M343=0,"-",M339-M343)</f>
        <v>-</v>
      </c>
      <c r="N344" s="44" t="str">
        <f>IF(N343=0,"-",N339-N343)</f>
        <v>-</v>
      </c>
      <c r="O344" s="44" t="str">
        <f>IF(O343=0,"-",O339-O343)</f>
        <v>-</v>
      </c>
    </row>
    <row r="345" spans="3:15" hidden="1" outlineLevel="1" x14ac:dyDescent="0.25">
      <c r="C345" s="39" t="s">
        <v>420</v>
      </c>
      <c r="D345" s="58" t="str">
        <f>INDEX(Input_DecisionActual[[Decision]:[Decision]],MATCH(Calc_TU_values!$D$224,Input_DecisionActual[[VDO period]:[VDO period]],0),1)</f>
        <v>VDO 2022-23 - Final</v>
      </c>
      <c r="E345" s="14" t="s">
        <v>102</v>
      </c>
      <c r="F345" s="58" t="str">
        <f>IF($D345="-","-",INDEX(Inputs!$H$17:$U$17,1,MATCH($D345,Inputs!$H$15:$U$15,0)))</f>
        <v>F-PreviousVDO_Input3</v>
      </c>
      <c r="G345" s="14"/>
      <c r="H345" s="14" t="s">
        <v>184</v>
      </c>
      <c r="I345" s="14" t="s">
        <v>71</v>
      </c>
      <c r="J345" s="39" t="s">
        <v>72</v>
      </c>
      <c r="K345" s="45" cm="1">
        <f t="array" ref="K345">IFERROR(SUM(K344:K344)*(INDEX(Inputs!$H$18:$U$141,MATCH("Retail operating margin",Input_ForRateCalc[[Cost item]:[Cost item]],0),MATCH(Calc_TUV_Net_2[[#This Row],[Decision ref]:[Decision ref]],Inputs!$H$17:$U$17,0))),"-")</f>
        <v>0</v>
      </c>
      <c r="L345" s="45" cm="1">
        <f t="array" ref="L345">IFERROR(SUM(L344:L344)*(INDEX(Inputs!$H$18:$U$141,MATCH("Retail operating margin",Input_ForRateCalc[[Cost item]:[Cost item]],0),MATCH(Calc_TUV_Net_2[[#This Row],[Decision ref]:[Decision ref]],Inputs!$H$17:$U$17,0))),"-")</f>
        <v>0</v>
      </c>
      <c r="M345" s="45" cm="1">
        <f t="array" ref="M345">IFERROR(SUM(M344:M344)*(INDEX(Inputs!$H$18:$U$141,MATCH("Retail operating margin",Input_ForRateCalc[[Cost item]:[Cost item]],0),MATCH(Calc_TUV_Net_2[[#This Row],[Decision ref]:[Decision ref]],Inputs!$H$17:$U$17,0))),"-")</f>
        <v>0</v>
      </c>
      <c r="N345" s="45" cm="1">
        <f t="array" ref="N345">IFERROR(SUM(N344:N344)*(INDEX(Inputs!$H$18:$U$141,MATCH("Retail operating margin",Input_ForRateCalc[[Cost item]:[Cost item]],0),MATCH(Calc_TUV_Net_2[[#This Row],[Decision ref]:[Decision ref]],Inputs!$H$17:$U$17,0))),"-")</f>
        <v>0</v>
      </c>
      <c r="O345" s="45" cm="1">
        <f t="array" ref="O345">IFERROR(SUM(O344:O344)*(INDEX(Inputs!$H$18:$U$141,MATCH("Retail operating margin",Input_ForRateCalc[[Cost item]:[Cost item]],0),MATCH(Calc_TUV_Net_2[[#This Row],[Decision ref]:[Decision ref]],Inputs!$H$17:$U$17,0))),"-")</f>
        <v>0</v>
      </c>
    </row>
    <row r="346" spans="3:15" hidden="1" outlineLevel="1" x14ac:dyDescent="0.25">
      <c r="C346" s="39" t="s">
        <v>421</v>
      </c>
      <c r="D346" s="14"/>
      <c r="E346" s="14"/>
      <c r="F346" s="14"/>
      <c r="G346" s="14"/>
      <c r="H346" s="14" t="s">
        <v>184</v>
      </c>
      <c r="I346" s="14" t="s">
        <v>71</v>
      </c>
      <c r="J346" s="39" t="s">
        <v>72</v>
      </c>
      <c r="K346" s="45" t="str">
        <f>IF(K343=0,"-",SUM(K344:K345)*GST)</f>
        <v>-</v>
      </c>
      <c r="L346" s="45" t="str">
        <f>IF(L343=0,"-",SUM(L344:L345)*GST)</f>
        <v>-</v>
      </c>
      <c r="M346" s="45" t="str">
        <f>IF(M343=0,"-",SUM(M344:M345)*GST)</f>
        <v>-</v>
      </c>
      <c r="N346" s="45" t="str">
        <f>IF(N343=0,"-",SUM(N344:N345)*GST)</f>
        <v>-</v>
      </c>
      <c r="O346" s="45" t="str">
        <f>IF(O343=0,"-",SUM(O344:O345)*GST)</f>
        <v>-</v>
      </c>
    </row>
    <row r="347" spans="3:15" hidden="1" outlineLevel="1" x14ac:dyDescent="0.25">
      <c r="C347" s="39" t="s">
        <v>446</v>
      </c>
      <c r="D347" s="14"/>
      <c r="E347" s="14"/>
      <c r="F347" s="14"/>
      <c r="H347" s="14" t="s">
        <v>184</v>
      </c>
      <c r="I347" s="14" t="s">
        <v>71</v>
      </c>
      <c r="J347" s="39" t="s">
        <v>72</v>
      </c>
      <c r="K347" s="45" t="str">
        <f>IF(K343=0,"-",SUM(K344:K346))</f>
        <v>-</v>
      </c>
      <c r="L347" s="45" t="str">
        <f>IF(L343=0,"-",SUM(L344:L346))</f>
        <v>-</v>
      </c>
      <c r="M347" s="45" t="str">
        <f>IF(M343=0,"-",SUM(M344:M346))</f>
        <v>-</v>
      </c>
      <c r="N347" s="45" t="str">
        <f>IF(N343=0,"-",SUM(N344:N346))</f>
        <v>-</v>
      </c>
      <c r="O347" s="45" t="str">
        <f>IF(O343=0,"-",SUM(O344:O346))</f>
        <v>-</v>
      </c>
    </row>
    <row r="348" spans="3:15" hidden="1" outlineLevel="1" x14ac:dyDescent="0.25">
      <c r="C348" s="39"/>
      <c r="D348" s="14"/>
      <c r="E348" s="14"/>
      <c r="F348" s="14"/>
      <c r="G348" s="14"/>
      <c r="H348" s="14"/>
      <c r="I348" s="14"/>
      <c r="J348" s="14"/>
      <c r="K348" s="44"/>
      <c r="L348" s="44"/>
      <c r="M348" s="44"/>
      <c r="N348" s="44"/>
      <c r="O348" s="44"/>
    </row>
    <row r="349" spans="3:15" hidden="1" outlineLevel="1" x14ac:dyDescent="0.25">
      <c r="C349" s="37" t="s">
        <v>447</v>
      </c>
      <c r="D349" s="14"/>
      <c r="E349" s="14"/>
      <c r="F349" s="14"/>
      <c r="H349" s="14"/>
      <c r="I349" s="14"/>
      <c r="J349" s="14"/>
      <c r="K349" s="44"/>
      <c r="L349" s="44"/>
      <c r="M349" s="44"/>
      <c r="N349" s="44"/>
      <c r="O349" s="44"/>
    </row>
    <row r="350" spans="3:15" hidden="1" outlineLevel="1" x14ac:dyDescent="0.25">
      <c r="C350" s="39" t="s">
        <v>448</v>
      </c>
      <c r="D350" s="58" t="str">
        <f>Calc_TU_values!$D$224</f>
        <v>VDO 2023-24 - Final</v>
      </c>
      <c r="E350" s="14" t="s">
        <v>322</v>
      </c>
      <c r="F350" s="58" t="e">
        <f>INDEX(Inputs!$H$17:$U$17,1,MATCH($D350,Inputs!$H$15:$U$15,0))</f>
        <v>#N/A</v>
      </c>
      <c r="G350" s="14"/>
      <c r="H350" s="14" t="s">
        <v>184</v>
      </c>
      <c r="I350" s="14" t="s">
        <v>225</v>
      </c>
      <c r="J350" s="39" t="s">
        <v>72</v>
      </c>
      <c r="K350" s="45" t="str" cm="1">
        <f t="array" ref="K350">IFERROR(INDEX(Input_ForRateCalc[],MATCH($C350&amp;" - "&amp;K$320,Input_ForRateCalc[[Cost item]:[Cost item]],0),MATCH(Calc_TUV_Net_2[[#This Row],[Decision ref]:[Decision ref]],Input_ForRateCalc[#Headers],0)),"-")</f>
        <v>-</v>
      </c>
      <c r="L350" s="45" t="str" cm="1">
        <f t="array" ref="L350">IFERROR(INDEX(Input_ForRateCalc[],MATCH($C350&amp;" - "&amp;L$320,Input_ForRateCalc[[Cost item]:[Cost item]],0),MATCH(Calc_TUV_Net_2[[#This Row],[Decision ref]:[Decision ref]],Input_ForRateCalc[#Headers],0)),"-")</f>
        <v>-</v>
      </c>
      <c r="M350" s="45" t="str" cm="1">
        <f t="array" ref="M350">IFERROR(INDEX(Input_ForRateCalc[],MATCH($C350&amp;" - "&amp;M$320,Input_ForRateCalc[[Cost item]:[Cost item]],0),MATCH(Calc_TUV_Net_2[[#This Row],[Decision ref]:[Decision ref]],Input_ForRateCalc[#Headers],0)),"-")</f>
        <v>-</v>
      </c>
      <c r="N350" s="45" t="str" cm="1">
        <f t="array" ref="N350">IFERROR(INDEX(Input_ForRateCalc[],MATCH($C350&amp;" - "&amp;N$320,Input_ForRateCalc[[Cost item]:[Cost item]],0),MATCH(Calc_TUV_Net_2[[#This Row],[Decision ref]:[Decision ref]],Input_ForRateCalc[#Headers],0)),"-")</f>
        <v>-</v>
      </c>
      <c r="O350" s="45" t="str" cm="1">
        <f t="array" ref="O350">IFERROR(INDEX(Input_ForRateCalc[],MATCH($C350&amp;" - "&amp;O$320,Input_ForRateCalc[[Cost item]:[Cost item]],0),MATCH(Calc_TUV_Net_2[[#This Row],[Decision ref]:[Decision ref]],Input_ForRateCalc[#Headers],0)),"-")</f>
        <v>-</v>
      </c>
    </row>
    <row r="351" spans="3:15" hidden="1" outlineLevel="1" x14ac:dyDescent="0.25">
      <c r="C351" s="39" t="s">
        <v>417</v>
      </c>
      <c r="D351" s="58" t="str">
        <f>Calc_TU_values!$D$224</f>
        <v>VDO 2023-24 - Final</v>
      </c>
      <c r="E351" s="14" t="s">
        <v>322</v>
      </c>
      <c r="F351" s="58" t="e">
        <f>INDEX(Inputs!$H$17:$U$17,1,MATCH($D351,Inputs!$H$15:$U$15,0))</f>
        <v>#N/A</v>
      </c>
      <c r="G351" s="14"/>
      <c r="H351" s="14" t="s">
        <v>184</v>
      </c>
      <c r="I351" s="14" t="s">
        <v>71</v>
      </c>
      <c r="J351" s="39" t="s">
        <v>72</v>
      </c>
      <c r="K351" s="46" t="str" cm="1">
        <f t="array" ref="K351">IFERROR(TUProp_CLLoad_2*SUM(
IFERROR(K350/100*INDEX(Input_Usage[#All],MATCH(Calc_TUV_Net_2[[#This Row],[Customer type]:[Customer type]]&amp;" - medium - controlled load",Input_Usage[[#All],[Ref]],0),MATCH($F351,Input_Usage[#Headers],0)),0)),"-")</f>
        <v>-</v>
      </c>
      <c r="L351" s="46" t="str" cm="1">
        <f t="array" ref="L351">IFERROR(TUProp_CLLoad_2*SUM(
IFERROR(L350/100*INDEX(Input_Usage[#All],MATCH(Calc_TUV_Net_2[[#This Row],[Customer type]:[Customer type]]&amp;" - medium - controlled load",#REF!,0),MATCH($F351,Input_Usage[#Headers],0)),0)),"-")</f>
        <v>-</v>
      </c>
      <c r="M351" s="46" t="str" cm="1">
        <f t="array" ref="M351">IFERROR(TUProp_CLLoad_2*SUM(
IFERROR(M350/100*INDEX(Input_Usage[#All],MATCH(Calc_TUV_Net_2[[#This Row],[Customer type]:[Customer type]]&amp;" - medium - controlled load",Input_Usage[[#All],[Customer type]],0),MATCH($F351,Input_Usage[#Headers],0)),0)),"-")</f>
        <v>-</v>
      </c>
      <c r="N351" s="46" t="str" cm="1">
        <f t="array" ref="N351">IFERROR(TUProp_CLLoad_2*SUM(
IFERROR(N350/100*INDEX(Input_Usage[#All],MATCH(Calc_TUV_Net_2[[#This Row],[Customer type]:[Customer type]]&amp;" - medium - controlled load",Input_Usage[[#All],[Tariff type]],0),MATCH($F351,Input_Usage[#Headers],0)),0)),"-")</f>
        <v>-</v>
      </c>
      <c r="O351" s="46" t="str" cm="1">
        <f t="array" ref="O351">IFERROR(TUProp_CLLoad_2*SUM(
IFERROR(O350/100*INDEX(Input_Usage[#All],MATCH(Calc_TUV_Net_2[[#This Row],[Customer type]:[Customer type]]&amp;" - medium - controlled load",Input_Usage[[#All],[F-PreviousVDO_Input]],0),MATCH($F351,Input_Usage[#Headers],0)),0)),"-")</f>
        <v>-</v>
      </c>
    </row>
    <row r="352" spans="3:15" hidden="1" outlineLevel="1" x14ac:dyDescent="0.25">
      <c r="C352" s="39" t="s">
        <v>448</v>
      </c>
      <c r="D352" s="58" t="str">
        <f>INDEX(Input_DecisionActual[[Decision]:[Decision]],MATCH(Calc_TU_values!$D$224,Input_DecisionActual[[VDO period]:[VDO period]],0),1)</f>
        <v>VDO 2022-23 - Final</v>
      </c>
      <c r="E352" s="14" t="s">
        <v>102</v>
      </c>
      <c r="F352" s="58" t="str">
        <f>IF($D352="-","-",INDEX(Inputs!$H$17:$U$17,1,MATCH($D352,Inputs!$H$15:$U$15,0)))</f>
        <v>F-PreviousVDO_Input3</v>
      </c>
      <c r="G352" s="14"/>
      <c r="H352" s="14" t="s">
        <v>184</v>
      </c>
      <c r="I352" s="14" t="s">
        <v>225</v>
      </c>
      <c r="J352" s="39" t="s">
        <v>72</v>
      </c>
      <c r="K352" s="45">
        <f>IFERROR(INDEX(Input_ForRateCalc[],MATCH($C352&amp;" - "&amp;K$320,Input_ForRateCalc[[Cost item]:[Cost item]],0),MATCH($F352,Input_ForRateCalc[#Headers],0)),"-")</f>
        <v>4.7466999999999997</v>
      </c>
      <c r="L352" s="45">
        <f>IFERROR(INDEX(Input_ForRateCalc[],MATCH($C352&amp;" - "&amp;L$320,Input_ForRateCalc[[Cost item]:[Cost item]],0),MATCH($F352,Input_ForRateCalc[#Headers],0)),"-")</f>
        <v>2.2200000000000002</v>
      </c>
      <c r="M352" s="45">
        <f>IFERROR(INDEX(Input_ForRateCalc[],MATCH($C352&amp;" - "&amp;M$320,Input_ForRateCalc[[Cost item]:[Cost item]],0),MATCH($F352,Input_ForRateCalc[#Headers],0)),"-")</f>
        <v>3.448</v>
      </c>
      <c r="N352" s="45">
        <f>IFERROR(INDEX(Input_ForRateCalc[],MATCH($C352&amp;" - "&amp;N$320,Input_ForRateCalc[[Cost item]:[Cost item]],0),MATCH($F352,Input_ForRateCalc[#Headers],0)),"-")</f>
        <v>2.35</v>
      </c>
      <c r="O352" s="45">
        <f>IFERROR(INDEX(Input_ForRateCalc[],MATCH($C352&amp;" - "&amp;O$320,Input_ForRateCalc[[Cost item]:[Cost item]],0),MATCH($F352,Input_ForRateCalc[#Headers],0)),"-")</f>
        <v>2.34</v>
      </c>
    </row>
    <row r="353" spans="3:15" hidden="1" outlineLevel="1" x14ac:dyDescent="0.25">
      <c r="C353" s="39" t="s">
        <v>417</v>
      </c>
      <c r="D353" s="58" t="str">
        <f>INDEX(Input_DecisionActual[[Decision]:[Decision]],MATCH(Calc_TU_values!$D$224,Input_DecisionActual[[VDO period]:[VDO period]],0),1)</f>
        <v>VDO 2022-23 - Final</v>
      </c>
      <c r="E353" s="14" t="s">
        <v>102</v>
      </c>
      <c r="F353" s="58" t="str">
        <f>IF($D353="-","-",INDEX(Inputs!$H$17:$U$17,1,MATCH($D353,Inputs!$H$15:$U$15,0)))</f>
        <v>F-PreviousVDO_Input3</v>
      </c>
      <c r="G353" s="14"/>
      <c r="H353" s="14" t="s">
        <v>184</v>
      </c>
      <c r="I353" s="14" t="s">
        <v>71</v>
      </c>
      <c r="J353" s="39" t="s">
        <v>72</v>
      </c>
      <c r="K353" s="46" t="str" cm="1">
        <f t="array" ref="K353">IFERROR(TUProp_CLLoad_2*SUM(
IFERROR(K352/100*INDEX(Input_Usage[#All],MATCH(Calc_TUV_Net_2[[#This Row],[Customer type]:[Customer type]]&amp;" - medium - controlled load",Input_Usage[[#All],[Ref]],0),MATCH($F353,Input_Usage[#Headers],0)),0)),"-")</f>
        <v>-</v>
      </c>
      <c r="L353" s="151" t="str" cm="1">
        <f t="array" ref="L353">IFERROR(TUProp_CLLoad_2*SUM(
IFERROR(L352/100*INDEX(Input_Usage[#All],MATCH(Calc_TUV_Net_2[[#This Row],[Customer type]:[Customer type]]&amp;" - medium - controlled load",Input_Usage[[#All],[Ref]],0),MATCH($F353,Input_Usage[#Headers],0)),0)),"-")</f>
        <v>-</v>
      </c>
      <c r="M353" s="151" t="str" cm="1">
        <f t="array" ref="M353">IFERROR(TUProp_CLLoad_2*SUM(
IFERROR(M352/100*INDEX(Input_Usage[#All],MATCH(Calc_TUV_Net_2[[#This Row],[Customer type]:[Customer type]]&amp;" - medium - controlled load",Input_Usage[[#All],[Ref]],0),MATCH($F353,Input_Usage[#Headers],0)),0)),"-")</f>
        <v>-</v>
      </c>
      <c r="N353" s="151" t="str" cm="1">
        <f t="array" ref="N353">IFERROR(TUProp_CLLoad_2*SUM(
IFERROR(N352/100*INDEX(Input_Usage[#All],MATCH(Calc_TUV_Net_2[[#This Row],[Customer type]:[Customer type]]&amp;" - medium - controlled load",Input_Usage[[#All],[Ref]],0),MATCH($F353,Input_Usage[#Headers],0)),0)),"-")</f>
        <v>-</v>
      </c>
      <c r="O353" s="151" t="str" cm="1">
        <f t="array" ref="O353">IFERROR(TUProp_CLLoad_2*SUM(
IFERROR(O352/100*INDEX(Input_Usage[#All],MATCH(Calc_TUV_Net_2[[#This Row],[Customer type]:[Customer type]]&amp;" - medium - controlled load",Input_Usage[[#All],[Ref]],0),MATCH($F353,Input_Usage[#Headers],0)),0)),"-")</f>
        <v>-</v>
      </c>
    </row>
    <row r="354" spans="3:15" hidden="1" outlineLevel="1" x14ac:dyDescent="0.25">
      <c r="C354" s="39" t="s">
        <v>418</v>
      </c>
      <c r="D354" s="14"/>
      <c r="E354" s="14"/>
      <c r="F354" s="14"/>
      <c r="G354" s="14"/>
      <c r="H354" s="14" t="s">
        <v>184</v>
      </c>
      <c r="I354" s="14" t="s">
        <v>71</v>
      </c>
      <c r="J354" s="39" t="s">
        <v>72</v>
      </c>
      <c r="K354" s="44" t="str">
        <f>IFERROR(IF(K353=0,"-",K351-K353),"-")</f>
        <v>-</v>
      </c>
      <c r="L354" s="44" t="str">
        <f>IFERROR(IF(L353=0,"-",L351-L353),"-")</f>
        <v>-</v>
      </c>
      <c r="M354" s="44" t="str">
        <f>IFERROR(IF(M353=0,"-",M351-M353),"-")</f>
        <v>-</v>
      </c>
      <c r="N354" s="44" t="str">
        <f>IFERROR(IF(N353=0,"-",N351-N353),"-")</f>
        <v>-</v>
      </c>
      <c r="O354" s="44" t="str">
        <f>IFERROR(IF(O353=0,"-",O351-O353),"-")</f>
        <v>-</v>
      </c>
    </row>
    <row r="355" spans="3:15" hidden="1" outlineLevel="1" x14ac:dyDescent="0.25">
      <c r="C355" s="39" t="s">
        <v>420</v>
      </c>
      <c r="D355" s="58" t="str">
        <f>INDEX(Input_DecisionActual[[Decision]:[Decision]],MATCH(Calc_TU_values!$D$224,Input_DecisionActual[[VDO period]:[VDO period]],0),1)</f>
        <v>VDO 2022-23 - Final</v>
      </c>
      <c r="E355" s="14" t="s">
        <v>102</v>
      </c>
      <c r="F355" s="58" t="str">
        <f>IF($D355="-","-",INDEX(Inputs!$H$17:$U$17,1,MATCH($D355,Inputs!$H$15:$U$15,0)))</f>
        <v>F-PreviousVDO_Input3</v>
      </c>
      <c r="G355" s="14"/>
      <c r="H355" s="14" t="s">
        <v>184</v>
      </c>
      <c r="I355" s="14" t="s">
        <v>71</v>
      </c>
      <c r="J355" s="39" t="s">
        <v>72</v>
      </c>
      <c r="K355" s="45" cm="1">
        <f t="array" ref="K355">IFERROR(SUM(K354:K354)*(INDEX(Inputs!$H$18:$U$141,MATCH("Retail operating margin",Input_ForRateCalc[[Cost item]:[Cost item]],0),MATCH(Calc_TUV_Net_2[[#This Row],[Decision ref]:[Decision ref]],Inputs!$H$17:$U$17,0))),"-")</f>
        <v>0</v>
      </c>
      <c r="L355" s="45" cm="1">
        <f t="array" ref="L355">IFERROR(SUM(L354:L354)*(INDEX(Inputs!$H$18:$U$141,MATCH("Retail operating margin",Input_ForRateCalc[[Cost item]:[Cost item]],0),MATCH(Calc_TUV_Net_2[[#This Row],[Decision ref]:[Decision ref]],Inputs!$H$17:$U$17,0))),"-")</f>
        <v>0</v>
      </c>
      <c r="M355" s="45" cm="1">
        <f t="array" ref="M355">IFERROR(SUM(M354:M354)*(INDEX(Inputs!$H$18:$U$141,MATCH("Retail operating margin",Input_ForRateCalc[[Cost item]:[Cost item]],0),MATCH(Calc_TUV_Net_2[[#This Row],[Decision ref]:[Decision ref]],Inputs!$H$17:$U$17,0))),"-")</f>
        <v>0</v>
      </c>
      <c r="N355" s="45" cm="1">
        <f t="array" ref="N355">IFERROR(SUM(N354:N354)*(INDEX(Inputs!$H$18:$U$141,MATCH("Retail operating margin",Input_ForRateCalc[[Cost item]:[Cost item]],0),MATCH(Calc_TUV_Net_2[[#This Row],[Decision ref]:[Decision ref]],Inputs!$H$17:$U$17,0))),"-")</f>
        <v>0</v>
      </c>
      <c r="O355" s="45" cm="1">
        <f t="array" ref="O355">IFERROR(SUM(O354:O354)*(INDEX(Inputs!$H$18:$U$141,MATCH("Retail operating margin",Input_ForRateCalc[[Cost item]:[Cost item]],0),MATCH(Calc_TUV_Net_2[[#This Row],[Decision ref]:[Decision ref]],Inputs!$H$17:$U$17,0))),"-")</f>
        <v>0</v>
      </c>
    </row>
    <row r="356" spans="3:15" hidden="1" outlineLevel="1" x14ac:dyDescent="0.25">
      <c r="C356" s="39" t="s">
        <v>421</v>
      </c>
      <c r="D356" s="14"/>
      <c r="E356" s="14"/>
      <c r="F356" s="14"/>
      <c r="G356" s="14"/>
      <c r="H356" s="14" t="s">
        <v>184</v>
      </c>
      <c r="I356" s="14" t="s">
        <v>71</v>
      </c>
      <c r="J356" s="39" t="s">
        <v>72</v>
      </c>
      <c r="K356" s="45">
        <f>IF(K353=0,"-",SUM(K354:K355)*GST)</f>
        <v>0</v>
      </c>
      <c r="L356" s="45">
        <f>IF(L353=0,"-",SUM(L354:L355)*GST)</f>
        <v>0</v>
      </c>
      <c r="M356" s="45">
        <f>IF(M353=0,"-",SUM(M354:M355)*GST)</f>
        <v>0</v>
      </c>
      <c r="N356" s="45">
        <f>IF(N353=0,"-",SUM(N354:N355)*GST)</f>
        <v>0</v>
      </c>
      <c r="O356" s="45">
        <f>IF(O353=0,"-",SUM(O354:O355)*GST)</f>
        <v>0</v>
      </c>
    </row>
    <row r="357" spans="3:15" hidden="1" outlineLevel="1" x14ac:dyDescent="0.25">
      <c r="C357" s="39" t="s">
        <v>449</v>
      </c>
      <c r="D357" s="14"/>
      <c r="E357" s="14"/>
      <c r="F357" s="14"/>
      <c r="H357" s="14" t="s">
        <v>184</v>
      </c>
      <c r="I357" s="14" t="s">
        <v>71</v>
      </c>
      <c r="J357" s="39" t="s">
        <v>72</v>
      </c>
      <c r="K357" s="45">
        <f>IF(K353=0,"-",SUM(K354:K356))</f>
        <v>0</v>
      </c>
      <c r="L357" s="45">
        <f>IF(L353=0,"-",SUM(L354:L356))</f>
        <v>0</v>
      </c>
      <c r="M357" s="45">
        <f>IF(M353=0,"-",SUM(M354:M356))</f>
        <v>0</v>
      </c>
      <c r="N357" s="45">
        <f>IF(N353=0,"-",SUM(N354:N356))</f>
        <v>0</v>
      </c>
      <c r="O357" s="45">
        <f>IF(O353=0,"-",SUM(O354:O356))</f>
        <v>0</v>
      </c>
    </row>
    <row r="358" spans="3:15" hidden="1" outlineLevel="1" x14ac:dyDescent="0.25">
      <c r="C358" s="39"/>
      <c r="D358" s="14"/>
      <c r="E358" s="14"/>
      <c r="F358" s="14"/>
      <c r="G358" s="14"/>
      <c r="H358" s="14"/>
      <c r="I358" s="14"/>
      <c r="J358" s="14"/>
      <c r="K358" s="44"/>
      <c r="L358" s="44"/>
      <c r="M358" s="44"/>
      <c r="N358" s="44"/>
      <c r="O358" s="44"/>
    </row>
    <row r="359" spans="3:15" ht="15.75" hidden="1" outlineLevel="1" x14ac:dyDescent="0.25">
      <c r="C359" s="97" t="s">
        <v>317</v>
      </c>
      <c r="D359" s="14"/>
      <c r="E359" s="14"/>
      <c r="F359" s="14"/>
      <c r="G359" s="28" t="str">
        <f>INDEX(Input_TU_YesNo[],MATCH(Calc_TUV_Net_2[[#This Row],[Cost item]],Input_TU_YesNo[Component],0),MATCH($D$224,Inputs!$C$210:$BM$210,0))</f>
        <v>No</v>
      </c>
      <c r="H359" s="14"/>
      <c r="I359" s="14"/>
      <c r="J359" s="14"/>
      <c r="K359" s="44"/>
      <c r="L359" s="14"/>
      <c r="M359" s="14"/>
      <c r="N359" s="14"/>
      <c r="O359" s="14"/>
    </row>
    <row r="360" spans="3:15" hidden="1" outlineLevel="1" x14ac:dyDescent="0.25">
      <c r="C360" s="37" t="s">
        <v>450</v>
      </c>
      <c r="D360" s="37"/>
      <c r="E360" s="37"/>
      <c r="F360" s="37"/>
      <c r="G360" s="47"/>
      <c r="H360" s="47"/>
      <c r="I360" s="14"/>
      <c r="J360" s="14"/>
      <c r="K360" s="44"/>
      <c r="L360" s="14"/>
      <c r="M360" s="14"/>
      <c r="N360" s="14"/>
      <c r="O360" s="14"/>
    </row>
    <row r="361" spans="3:15" hidden="1" outlineLevel="1" x14ac:dyDescent="0.25">
      <c r="C361" s="39" t="s">
        <v>451</v>
      </c>
      <c r="D361" s="58" t="str">
        <f>Calc_TU_values!$D$224</f>
        <v>VDO 2023-24 - Final</v>
      </c>
      <c r="E361" s="14" t="s">
        <v>322</v>
      </c>
      <c r="F361" s="58" t="e">
        <f>INDEX(Inputs!$H$17:$U$17,1,MATCH($D361,Inputs!$H$15:$U$15,0))</f>
        <v>#N/A</v>
      </c>
      <c r="G361" s="38"/>
      <c r="H361" s="14" t="s">
        <v>138</v>
      </c>
      <c r="I361" s="14" t="s">
        <v>71</v>
      </c>
      <c r="J361" s="39" t="s">
        <v>73</v>
      </c>
      <c r="K361" s="45" t="str" cm="1">
        <f t="array" ref="K361">IFERROR(INDEX(Input_ForRateCalc[],MATCH($C361&amp;" - "&amp;K$320,Input_ForRateCalc[[Cost item]:[Cost item]],0),MATCH(Calc_TUV_Net_2[[#This Row],[Decision ref]:[Decision ref]],Input_ForRateCalc[#Headers],0))*TUProp_Days_2,"-")</f>
        <v>-</v>
      </c>
      <c r="L361" s="45" t="str" cm="1">
        <f t="array" ref="L361">IFERROR(INDEX(Input_ForRateCalc[],MATCH($C361&amp;" - "&amp;L$320,Input_ForRateCalc[[Cost item]:[Cost item]],0),MATCH(Calc_TUV_Net_2[[#This Row],[Decision ref]:[Decision ref]],Input_ForRateCalc[#Headers],0))*TUProp_Days_2,"-")</f>
        <v>-</v>
      </c>
      <c r="M361" s="45" t="str" cm="1">
        <f t="array" ref="M361">IFERROR(INDEX(Input_ForRateCalc[],MATCH($C361&amp;" - "&amp;M$320,Input_ForRateCalc[[Cost item]:[Cost item]],0),MATCH(Calc_TUV_Net_2[[#This Row],[Decision ref]:[Decision ref]],Input_ForRateCalc[#Headers],0))*TUProp_Days_2,"-")</f>
        <v>-</v>
      </c>
      <c r="N361" s="45" t="str" cm="1">
        <f t="array" ref="N361">IFERROR(INDEX(Input_ForRateCalc[],MATCH($C361&amp;" - "&amp;N$320,Input_ForRateCalc[[Cost item]:[Cost item]],0),MATCH(Calc_TUV_Net_2[[#This Row],[Decision ref]:[Decision ref]],Input_ForRateCalc[#Headers],0))*TUProp_Days_2,"-")</f>
        <v>-</v>
      </c>
      <c r="O361" s="45" t="str" cm="1">
        <f t="array" ref="O361">IFERROR(INDEX(Input_ForRateCalc[],MATCH($C361&amp;" - "&amp;O$320,Input_ForRateCalc[[Cost item]:[Cost item]],0),MATCH(Calc_TUV_Net_2[[#This Row],[Decision ref]:[Decision ref]],Input_ForRateCalc[#Headers],0))*TUProp_Days_2,"-")</f>
        <v>-</v>
      </c>
    </row>
    <row r="362" spans="3:15" hidden="1" outlineLevel="1" x14ac:dyDescent="0.25">
      <c r="C362" s="39" t="s">
        <v>363</v>
      </c>
      <c r="D362" s="58" t="str">
        <f>Calc_TU_values!$D$224</f>
        <v>VDO 2023-24 - Final</v>
      </c>
      <c r="E362" s="14" t="s">
        <v>322</v>
      </c>
      <c r="F362" s="58" t="e">
        <f>INDEX(Inputs!$H$17:$U$17,1,MATCH($D362,Inputs!$H$15:$U$15,0))</f>
        <v>#N/A</v>
      </c>
      <c r="G362" s="38"/>
      <c r="H362" s="14" t="s">
        <v>138</v>
      </c>
      <c r="I362" s="14" t="s">
        <v>71</v>
      </c>
      <c r="J362" s="39" t="s">
        <v>73</v>
      </c>
      <c r="K362" s="45" t="str" cm="1">
        <f t="array" ref="K362">IFERROR(INDEX(Input_ForRateCalc[],MATCH($C362&amp;" - "&amp;K$320,Input_ForRateCalc[[Cost item]:[Cost item]],0),MATCH(Calc_TUV_Net_2[[#This Row],[Decision ref]:[Decision ref]],Input_ForRateCalc[#Headers],0))*TUProp_Days_2,"-")</f>
        <v>-</v>
      </c>
      <c r="L362" s="45" t="str" cm="1">
        <f t="array" ref="L362">IFERROR(INDEX(Input_ForRateCalc[],MATCH($C362&amp;" - "&amp;L$320,Input_ForRateCalc[[Cost item]:[Cost item]],0),MATCH(Calc_TUV_Net_2[[#This Row],[Decision ref]:[Decision ref]],Input_ForRateCalc[#Headers],0))*TUProp_Days_2,"-")</f>
        <v>-</v>
      </c>
      <c r="M362" s="45" t="str" cm="1">
        <f t="array" ref="M362">IFERROR(INDEX(Input_ForRateCalc[],MATCH($C362&amp;" - "&amp;M$320,Input_ForRateCalc[[Cost item]:[Cost item]],0),MATCH(Calc_TUV_Net_2[[#This Row],[Decision ref]:[Decision ref]],Input_ForRateCalc[#Headers],0))*TUProp_Days_2,"-")</f>
        <v>-</v>
      </c>
      <c r="N362" s="45" t="str" cm="1">
        <f t="array" ref="N362">IFERROR(INDEX(Input_ForRateCalc[],MATCH($C362&amp;" - "&amp;N$320,Input_ForRateCalc[[Cost item]:[Cost item]],0),MATCH(Calc_TUV_Net_2[[#This Row],[Decision ref]:[Decision ref]],Input_ForRateCalc[#Headers],0))*TUProp_Days_2,"-")</f>
        <v>-</v>
      </c>
      <c r="O362" s="45" t="str" cm="1">
        <f t="array" ref="O362">IFERROR(INDEX(Input_ForRateCalc[],MATCH($C362&amp;" - "&amp;O$320,Input_ForRateCalc[[Cost item]:[Cost item]],0),MATCH(Calc_TUV_Net_2[[#This Row],[Decision ref]:[Decision ref]],Input_ForRateCalc[#Headers],0))*TUProp_Days_2,"-")</f>
        <v>-</v>
      </c>
    </row>
    <row r="363" spans="3:15" hidden="1" outlineLevel="1" x14ac:dyDescent="0.25">
      <c r="C363" s="39" t="s">
        <v>417</v>
      </c>
      <c r="D363" s="58" t="str">
        <f>Calc_TU_values!$D$224</f>
        <v>VDO 2023-24 - Final</v>
      </c>
      <c r="E363" s="14" t="s">
        <v>322</v>
      </c>
      <c r="F363" s="58" t="e">
        <f>INDEX(Inputs!$H$17:$U$17,1,MATCH($D363,Inputs!$H$15:$U$15,0))</f>
        <v>#N/A</v>
      </c>
      <c r="G363" s="38"/>
      <c r="H363" s="14" t="s">
        <v>138</v>
      </c>
      <c r="I363" s="14" t="s">
        <v>71</v>
      </c>
      <c r="J363" s="39" t="s">
        <v>73</v>
      </c>
      <c r="K363" s="43">
        <f>IFERROR(SUM(K361:K362),"-")</f>
        <v>0</v>
      </c>
      <c r="L363" s="43">
        <f>IFERROR(SUM(L361:L362),"-")</f>
        <v>0</v>
      </c>
      <c r="M363" s="43">
        <f>IFERROR(SUM(M361:M362),"-")</f>
        <v>0</v>
      </c>
      <c r="N363" s="43">
        <f>IFERROR(SUM(N361:N362),"-")</f>
        <v>0</v>
      </c>
      <c r="O363" s="43">
        <f>IFERROR(SUM(O361:O362),"-")</f>
        <v>0</v>
      </c>
    </row>
    <row r="364" spans="3:15" hidden="1" outlineLevel="1" x14ac:dyDescent="0.25">
      <c r="C364" s="39" t="s">
        <v>451</v>
      </c>
      <c r="D364" s="58" t="str">
        <f>INDEX(Input_DecisionActual[[Decision]:[Decision]],MATCH(Calc_TU_values!$D$224,Input_DecisionActual[[VDO period]:[VDO period]],0),1)</f>
        <v>VDO 2022-23 - Final</v>
      </c>
      <c r="E364" s="14" t="s">
        <v>102</v>
      </c>
      <c r="F364" s="58" t="str">
        <f>IF($D364="-","-",INDEX(Inputs!$H$17:$U$17,1,MATCH($D364,Inputs!$H$15:$U$15,0)))</f>
        <v>F-PreviousVDO_Input3</v>
      </c>
      <c r="G364" s="38"/>
      <c r="H364" s="14" t="s">
        <v>138</v>
      </c>
      <c r="I364" s="14" t="s">
        <v>71</v>
      </c>
      <c r="J364" s="39" t="s">
        <v>73</v>
      </c>
      <c r="K364" s="45" t="str" cm="1">
        <f t="array" ref="K364">IFERROR(INDEX(Input_ForRateCalc[],MATCH($C364&amp;" - "&amp;K$320,Input_ForRateCalc[[Cost item]:[Cost item]],0),MATCH(Calc_TUV_Net_2[[#This Row],[Decision ref]:[Decision ref]],Input_ForRateCalc[#Headers],0))*TUProp_Days_2,"-")</f>
        <v>-</v>
      </c>
      <c r="L364" s="45" t="str" cm="1">
        <f t="array" ref="L364">IFERROR(INDEX(Input_ForRateCalc[],MATCH($C364&amp;" - "&amp;L$320,Input_ForRateCalc[[Cost item]:[Cost item]],0),MATCH(Calc_TUV_Net_2[[#This Row],[Decision ref]:[Decision ref]],Input_ForRateCalc[#Headers],0))*TUProp_Days_2,"-")</f>
        <v>-</v>
      </c>
      <c r="M364" s="45" t="str" cm="1">
        <f t="array" ref="M364">IFERROR(INDEX(Input_ForRateCalc[],MATCH($C364&amp;" - "&amp;M$320,Input_ForRateCalc[[Cost item]:[Cost item]],0),MATCH(Calc_TUV_Net_2[[#This Row],[Decision ref]:[Decision ref]],Input_ForRateCalc[#Headers],0))*TUProp_Days_2,"-")</f>
        <v>-</v>
      </c>
      <c r="N364" s="45" t="str" cm="1">
        <f t="array" ref="N364">IFERROR(INDEX(Input_ForRateCalc[],MATCH($C364&amp;" - "&amp;N$320,Input_ForRateCalc[[Cost item]:[Cost item]],0),MATCH(Calc_TUV_Net_2[[#This Row],[Decision ref]:[Decision ref]],Input_ForRateCalc[#Headers],0))*TUProp_Days_2,"-")</f>
        <v>-</v>
      </c>
      <c r="O364" s="45" t="str" cm="1">
        <f t="array" ref="O364">IFERROR(INDEX(Input_ForRateCalc[],MATCH($C364&amp;" - "&amp;O$320,Input_ForRateCalc[[Cost item]:[Cost item]],0),MATCH(Calc_TUV_Net_2[[#This Row],[Decision ref]:[Decision ref]],Input_ForRateCalc[#Headers],0))*TUProp_Days_2,"-")</f>
        <v>-</v>
      </c>
    </row>
    <row r="365" spans="3:15" hidden="1" outlineLevel="1" x14ac:dyDescent="0.25">
      <c r="C365" s="39" t="s">
        <v>363</v>
      </c>
      <c r="D365" s="58" t="str">
        <f>INDEX(Input_DecisionActual[[Decision]:[Decision]],MATCH(Calc_TU_values!$D$224,Input_DecisionActual[[VDO period]:[VDO period]],0),1)</f>
        <v>VDO 2022-23 - Final</v>
      </c>
      <c r="E365" s="14" t="s">
        <v>102</v>
      </c>
      <c r="F365" s="58" t="str">
        <f>IF($D365="-","-",INDEX(Inputs!$H$17:$U$17,1,MATCH($D365,Inputs!$H$15:$U$15,0)))</f>
        <v>F-PreviousVDO_Input3</v>
      </c>
      <c r="G365" s="38"/>
      <c r="H365" s="14" t="s">
        <v>138</v>
      </c>
      <c r="I365" s="14" t="s">
        <v>71</v>
      </c>
      <c r="J365" s="39" t="s">
        <v>73</v>
      </c>
      <c r="K365" s="45" t="str" cm="1">
        <f t="array" ref="K365">IFERROR(INDEX(Input_ForRateCalc[],MATCH($C365&amp;" - "&amp;K$320,Input_ForRateCalc[[Cost item]:[Cost item]],0),MATCH(Calc_TUV_Net_2[[#This Row],[Decision ref]:[Decision ref]],Input_ForRateCalc[#Headers],0))*TUProp_Days_2,"-")</f>
        <v>-</v>
      </c>
      <c r="L365" s="45" t="str" cm="1">
        <f t="array" ref="L365">IFERROR(INDEX(Input_ForRateCalc[],MATCH($C365&amp;" - "&amp;L$320,Input_ForRateCalc[[Cost item]:[Cost item]],0),MATCH(Calc_TUV_Net_2[[#This Row],[Decision ref]:[Decision ref]],Input_ForRateCalc[#Headers],0))*TUProp_Days_2,"-")</f>
        <v>-</v>
      </c>
      <c r="M365" s="45" t="str" cm="1">
        <f t="array" ref="M365">IFERROR(INDEX(Input_ForRateCalc[],MATCH($C365&amp;" - "&amp;M$320,Input_ForRateCalc[[Cost item]:[Cost item]],0),MATCH(Calc_TUV_Net_2[[#This Row],[Decision ref]:[Decision ref]],Input_ForRateCalc[#Headers],0))*TUProp_Days_2,"-")</f>
        <v>-</v>
      </c>
      <c r="N365" s="45" t="str" cm="1">
        <f t="array" ref="N365">IFERROR(INDEX(Input_ForRateCalc[],MATCH($C365&amp;" - "&amp;N$320,Input_ForRateCalc[[Cost item]:[Cost item]],0),MATCH(Calc_TUV_Net_2[[#This Row],[Decision ref]:[Decision ref]],Input_ForRateCalc[#Headers],0))*TUProp_Days_2,"-")</f>
        <v>-</v>
      </c>
      <c r="O365" s="45" t="str" cm="1">
        <f t="array" ref="O365">IFERROR(INDEX(Input_ForRateCalc[],MATCH($C365&amp;" - "&amp;O$320,Input_ForRateCalc[[Cost item]:[Cost item]],0),MATCH(Calc_TUV_Net_2[[#This Row],[Decision ref]:[Decision ref]],Input_ForRateCalc[#Headers],0))*TUProp_Days_2,"-")</f>
        <v>-</v>
      </c>
    </row>
    <row r="366" spans="3:15" hidden="1" outlineLevel="1" x14ac:dyDescent="0.25">
      <c r="C366" s="39" t="s">
        <v>417</v>
      </c>
      <c r="D366" s="58" t="str">
        <f>INDEX(Input_DecisionActual[[Decision]:[Decision]],MATCH(Calc_TU_values!$D$224,Input_DecisionActual[[VDO period]:[VDO period]],0),1)</f>
        <v>VDO 2022-23 - Final</v>
      </c>
      <c r="E366" s="14" t="s">
        <v>102</v>
      </c>
      <c r="F366" s="58" t="str">
        <f>IF($D366="-","-",INDEX(Inputs!$H$17:$U$17,1,MATCH($D366,Inputs!$H$15:$U$15,0)))</f>
        <v>F-PreviousVDO_Input3</v>
      </c>
      <c r="G366" s="38"/>
      <c r="H366" s="14" t="s">
        <v>138</v>
      </c>
      <c r="I366" s="14" t="s">
        <v>71</v>
      </c>
      <c r="J366" s="39" t="s">
        <v>73</v>
      </c>
      <c r="K366" s="44">
        <f>SUM(K364:K365)</f>
        <v>0</v>
      </c>
      <c r="L366" s="44">
        <f>SUM(L364:L365)</f>
        <v>0</v>
      </c>
      <c r="M366" s="44">
        <f>SUM(M364:M365)</f>
        <v>0</v>
      </c>
      <c r="N366" s="44">
        <f>SUM(N364:N365)</f>
        <v>0</v>
      </c>
      <c r="O366" s="44">
        <f>SUM(O364:O365)</f>
        <v>0</v>
      </c>
    </row>
    <row r="367" spans="3:15" hidden="1" outlineLevel="1" x14ac:dyDescent="0.25">
      <c r="C367" s="39" t="s">
        <v>418</v>
      </c>
      <c r="D367" s="14"/>
      <c r="E367" s="14"/>
      <c r="F367" s="14"/>
      <c r="G367" s="39"/>
      <c r="H367" s="14" t="s">
        <v>138</v>
      </c>
      <c r="I367" s="14" t="s">
        <v>71</v>
      </c>
      <c r="J367" s="39" t="s">
        <v>73</v>
      </c>
      <c r="K367" s="44" t="str">
        <f>IF(K366=0,"-",K363-K366)</f>
        <v>-</v>
      </c>
      <c r="L367" s="44" t="str">
        <f>IF(L366=0,"-",L363-L366)</f>
        <v>-</v>
      </c>
      <c r="M367" s="44" t="str">
        <f>IF(M366=0,"-",M363-M366)</f>
        <v>-</v>
      </c>
      <c r="N367" s="44" t="str">
        <f>IF(N366=0,"-",N363-N366)</f>
        <v>-</v>
      </c>
      <c r="O367" s="44" t="str">
        <f>IF(O366=0,"-",O363-O366)</f>
        <v>-</v>
      </c>
    </row>
    <row r="368" spans="3:15" hidden="1" outlineLevel="1" x14ac:dyDescent="0.25">
      <c r="C368" s="39" t="s">
        <v>420</v>
      </c>
      <c r="D368" s="58" t="str">
        <f>INDEX(Input_DecisionActual[[Decision]:[Decision]],MATCH(Calc_TU_values!$D$224,Input_DecisionActual[[VDO period]:[VDO period]],0),1)</f>
        <v>VDO 2022-23 - Final</v>
      </c>
      <c r="E368" s="14" t="s">
        <v>102</v>
      </c>
      <c r="F368" s="58" t="str">
        <f>IF($D368="-","-",INDEX(Inputs!$H$17:$U$17,1,MATCH($D368,Inputs!$H$15:$U$15,0)))</f>
        <v>F-PreviousVDO_Input3</v>
      </c>
      <c r="G368" s="39"/>
      <c r="H368" s="14" t="s">
        <v>138</v>
      </c>
      <c r="I368" s="14" t="s">
        <v>71</v>
      </c>
      <c r="J368" s="39" t="s">
        <v>73</v>
      </c>
      <c r="K368" s="45" cm="1">
        <f t="array" ref="K368">IFERROR(SUM(K367:K367)*(INDEX(Inputs!$H$18:$U$141,MATCH("Retail operating margin",Input_ForRateCalc[[Cost item]:[Cost item]],0),MATCH(Calc_TUV_Net_2[[#This Row],[Decision ref]:[Decision ref]],Inputs!$H$17:$U$17,0))),"-")</f>
        <v>0</v>
      </c>
      <c r="L368" s="45" cm="1">
        <f t="array" ref="L368">IFERROR(SUM(L367:L367)*(INDEX(Inputs!$H$18:$U$141,MATCH("Retail operating margin",Input_ForRateCalc[[Cost item]:[Cost item]],0),MATCH(Calc_TUV_Net_2[[#This Row],[Decision ref]:[Decision ref]],Inputs!$H$17:$U$17,0))),"-")</f>
        <v>0</v>
      </c>
      <c r="M368" s="45" cm="1">
        <f t="array" ref="M368">IFERROR(SUM(M367:M367)*(INDEX(Inputs!$H$18:$U$141,MATCH("Retail operating margin",Input_ForRateCalc[[Cost item]:[Cost item]],0),MATCH(Calc_TUV_Net_2[[#This Row],[Decision ref]:[Decision ref]],Inputs!$H$17:$U$17,0))),"-")</f>
        <v>0</v>
      </c>
      <c r="N368" s="45" cm="1">
        <f t="array" ref="N368">IFERROR(SUM(N367:N367)*(INDEX(Inputs!$H$18:$U$141,MATCH("Retail operating margin",Input_ForRateCalc[[Cost item]:[Cost item]],0),MATCH(Calc_TUV_Net_2[[#This Row],[Decision ref]:[Decision ref]],Inputs!$H$17:$U$17,0))),"-")</f>
        <v>0</v>
      </c>
      <c r="O368" s="45" cm="1">
        <f t="array" ref="O368">IFERROR(SUM(O367:O367)*(INDEX(Inputs!$H$18:$U$141,MATCH("Retail operating margin",Input_ForRateCalc[[Cost item]:[Cost item]],0),MATCH(Calc_TUV_Net_2[[#This Row],[Decision ref]:[Decision ref]],Inputs!$H$17:$U$17,0))),"-")</f>
        <v>0</v>
      </c>
    </row>
    <row r="369" spans="3:15" hidden="1" outlineLevel="1" x14ac:dyDescent="0.25">
      <c r="C369" s="39" t="s">
        <v>421</v>
      </c>
      <c r="D369" s="14"/>
      <c r="E369" s="14"/>
      <c r="F369" s="14"/>
      <c r="G369" s="39"/>
      <c r="H369" s="14" t="s">
        <v>138</v>
      </c>
      <c r="I369" s="14" t="s">
        <v>71</v>
      </c>
      <c r="J369" s="39" t="s">
        <v>73</v>
      </c>
      <c r="K369" s="45" t="str">
        <f>IF(K366=0,"-",SUM(K367:K368)*GST)</f>
        <v>-</v>
      </c>
      <c r="L369" s="45" t="str">
        <f>IF(L366=0,"-",SUM(L367:L368)*GST)</f>
        <v>-</v>
      </c>
      <c r="M369" s="45" t="str">
        <f>IF(M366=0,"-",SUM(M367:M368)*GST)</f>
        <v>-</v>
      </c>
      <c r="N369" s="45" t="str">
        <f>IF(N366=0,"-",SUM(N367:N368)*GST)</f>
        <v>-</v>
      </c>
      <c r="O369" s="45" t="str">
        <f>IF(O366=0,"-",SUM(O367:O368)*GST)</f>
        <v>-</v>
      </c>
    </row>
    <row r="370" spans="3:15" hidden="1" outlineLevel="1" x14ac:dyDescent="0.25">
      <c r="C370" s="14" t="s">
        <v>441</v>
      </c>
      <c r="D370" s="14"/>
      <c r="E370" s="14"/>
      <c r="F370" s="14"/>
      <c r="G370" s="39"/>
      <c r="H370" s="14" t="s">
        <v>138</v>
      </c>
      <c r="I370" s="14" t="s">
        <v>71</v>
      </c>
      <c r="J370" s="39" t="s">
        <v>73</v>
      </c>
      <c r="K370" s="45" t="str">
        <f>IF(K366=0,"-",SUM(K367:K369))</f>
        <v>-</v>
      </c>
      <c r="L370" s="45" t="str">
        <f>IF(L366=0,"-",SUM(L367:L369))</f>
        <v>-</v>
      </c>
      <c r="M370" s="45" t="str">
        <f>IF(M366=0,"-",SUM(M367:M369))</f>
        <v>-</v>
      </c>
      <c r="N370" s="45" t="str">
        <f>IF(N366=0,"-",SUM(N367:N369))</f>
        <v>-</v>
      </c>
      <c r="O370" s="45" t="str">
        <f>IF(O366=0,"-",SUM(O367:O369))</f>
        <v>-</v>
      </c>
    </row>
    <row r="371" spans="3:15" hidden="1" outlineLevel="1" x14ac:dyDescent="0.25">
      <c r="C371" s="39"/>
      <c r="D371" s="39"/>
      <c r="E371" s="39"/>
      <c r="F371" s="39"/>
      <c r="H371" s="39"/>
      <c r="I371" s="14"/>
      <c r="J371" s="14"/>
      <c r="K371" s="87"/>
      <c r="L371" s="87"/>
      <c r="M371" s="87"/>
      <c r="N371" s="87"/>
      <c r="O371" s="87"/>
    </row>
    <row r="372" spans="3:15" hidden="1" outlineLevel="1" x14ac:dyDescent="0.25">
      <c r="C372" s="37" t="s">
        <v>452</v>
      </c>
      <c r="D372" s="39"/>
      <c r="E372" s="39"/>
      <c r="F372" s="39"/>
      <c r="G372" s="47"/>
      <c r="H372" s="39"/>
      <c r="I372" s="14"/>
      <c r="J372" s="39"/>
      <c r="K372" s="87"/>
      <c r="L372" s="87"/>
      <c r="M372" s="87"/>
      <c r="N372" s="87"/>
      <c r="O372" s="87"/>
    </row>
    <row r="373" spans="3:15" hidden="1" outlineLevel="1" x14ac:dyDescent="0.25">
      <c r="C373" s="39" t="s">
        <v>453</v>
      </c>
      <c r="D373" s="58" t="str">
        <f>Calc_TU_values!$D$224</f>
        <v>VDO 2023-24 - Final</v>
      </c>
      <c r="E373" s="14" t="s">
        <v>322</v>
      </c>
      <c r="F373" s="58" t="e">
        <f>INDEX(Inputs!$H$17:$U$17,1,MATCH($D373,Inputs!$H$15:$U$15,0))</f>
        <v>#N/A</v>
      </c>
      <c r="G373" s="39"/>
      <c r="H373" s="14" t="s">
        <v>184</v>
      </c>
      <c r="I373" s="14" t="s">
        <v>225</v>
      </c>
      <c r="J373" s="39" t="s">
        <v>73</v>
      </c>
      <c r="K373" s="45" t="str" cm="1">
        <f t="array" ref="K373">IFERROR(INDEX(Input_ForRateCalc[],MATCH($C373&amp;" - "&amp;K$320,Input_ForRateCalc[[Cost item]:[Cost item]],0),MATCH(Calc_TUV_Net_2[[#This Row],[Decision ref]:[Decision ref]],Input_ForRateCalc[#Headers],0)),"-")</f>
        <v>-</v>
      </c>
      <c r="L373" s="45" t="str" cm="1">
        <f t="array" ref="L373">IFERROR(INDEX(Input_ForRateCalc[],MATCH($C373&amp;" - "&amp;L$320,Input_ForRateCalc[[Cost item]:[Cost item]],0),MATCH(Calc_TUV_Net_2[[#This Row],[Decision ref]:[Decision ref]],Input_ForRateCalc[#Headers],0)),"-")</f>
        <v>-</v>
      </c>
      <c r="M373" s="45" t="str" cm="1">
        <f t="array" ref="M373">IFERROR(INDEX(Input_ForRateCalc[],MATCH($C373&amp;" - "&amp;M$320,Input_ForRateCalc[[Cost item]:[Cost item]],0),MATCH(Calc_TUV_Net_2[[#This Row],[Decision ref]:[Decision ref]],Input_ForRateCalc[#Headers],0)),"-")</f>
        <v>-</v>
      </c>
      <c r="N373" s="45" t="str" cm="1">
        <f t="array" ref="N373">IFERROR(INDEX(Input_ForRateCalc[],MATCH($C373&amp;" - "&amp;N$320,Input_ForRateCalc[[Cost item]:[Cost item]],0),MATCH(Calc_TUV_Net_2[[#This Row],[Decision ref]:[Decision ref]],Input_ForRateCalc[#Headers],0)),"-")</f>
        <v>-</v>
      </c>
      <c r="O373" s="45" t="str" cm="1">
        <f t="array" ref="O373">IFERROR(INDEX(Input_ForRateCalc[],MATCH($C373&amp;" - "&amp;O$320,Input_ForRateCalc[[Cost item]:[Cost item]],0),MATCH(Calc_TUV_Net_2[[#This Row],[Decision ref]:[Decision ref]],Input_ForRateCalc[#Headers],0)),"-")</f>
        <v>-</v>
      </c>
    </row>
    <row r="374" spans="3:15" hidden="1" outlineLevel="1" x14ac:dyDescent="0.25">
      <c r="C374" s="39" t="s">
        <v>454</v>
      </c>
      <c r="D374" s="58" t="str">
        <f>Calc_TU_values!$D$224</f>
        <v>VDO 2023-24 - Final</v>
      </c>
      <c r="E374" s="14" t="s">
        <v>322</v>
      </c>
      <c r="F374" s="58" t="e">
        <f>INDEX(Inputs!$H$17:$U$17,1,MATCH($D374,Inputs!$H$15:$U$15,0))</f>
        <v>#N/A</v>
      </c>
      <c r="G374" s="47"/>
      <c r="H374" s="14" t="s">
        <v>184</v>
      </c>
      <c r="I374" s="14" t="s">
        <v>225</v>
      </c>
      <c r="J374" s="39" t="s">
        <v>73</v>
      </c>
      <c r="K374" s="45" t="str" cm="1">
        <f t="array" ref="K374">IFERROR(INDEX(Input_ForRateCalc[],MATCH($C374&amp;" - "&amp;K$320,Input_ForRateCalc[[Cost item]:[Cost item]],0),MATCH(Calc_TUV_Net_2[[#This Row],[Decision ref]:[Decision ref]],Input_ForRateCalc[#Headers],0)),"-")</f>
        <v>-</v>
      </c>
      <c r="L374" s="45" t="str" cm="1">
        <f t="array" ref="L374">IFERROR(INDEX(Input_ForRateCalc[],MATCH($C374&amp;" - "&amp;L$320,Input_ForRateCalc[[Cost item]:[Cost item]],0),MATCH(Calc_TUV_Net_2[[#This Row],[Decision ref]:[Decision ref]],Input_ForRateCalc[#Headers],0)),"-")</f>
        <v>-</v>
      </c>
      <c r="M374" s="45" t="str" cm="1">
        <f t="array" ref="M374">IFERROR(INDEX(Input_ForRateCalc[],MATCH($C374&amp;" - "&amp;M$320,Input_ForRateCalc[[Cost item]:[Cost item]],0),MATCH(Calc_TUV_Net_2[[#This Row],[Decision ref]:[Decision ref]],Input_ForRateCalc[#Headers],0)),"-")</f>
        <v>-</v>
      </c>
      <c r="N374" s="45" t="str" cm="1">
        <f t="array" ref="N374">IFERROR(INDEX(Input_ForRateCalc[],MATCH($C374&amp;" - "&amp;N$320,Input_ForRateCalc[[Cost item]:[Cost item]],0),MATCH(Calc_TUV_Net_2[[#This Row],[Decision ref]:[Decision ref]],Input_ForRateCalc[#Headers],0)),"-")</f>
        <v>-</v>
      </c>
      <c r="O374" s="45" t="str" cm="1">
        <f t="array" ref="O374">IFERROR(INDEX(Input_ForRateCalc[],MATCH($C374&amp;" - "&amp;O$320,Input_ForRateCalc[[Cost item]:[Cost item]],0),MATCH(Calc_TUV_Net_2[[#This Row],[Decision ref]:[Decision ref]],Input_ForRateCalc[#Headers],0)),"-")</f>
        <v>-</v>
      </c>
    </row>
    <row r="375" spans="3:15" hidden="1" outlineLevel="1" x14ac:dyDescent="0.25">
      <c r="C375" s="39" t="s">
        <v>455</v>
      </c>
      <c r="D375" s="58" t="str">
        <f>Calc_TU_values!$D$224</f>
        <v>VDO 2023-24 - Final</v>
      </c>
      <c r="E375" s="14" t="s">
        <v>322</v>
      </c>
      <c r="F375" s="58" t="e">
        <f>INDEX(Inputs!$H$17:$U$17,1,MATCH($D375,Inputs!$H$15:$U$15,0))</f>
        <v>#N/A</v>
      </c>
      <c r="G375" s="38"/>
      <c r="H375" s="14" t="s">
        <v>184</v>
      </c>
      <c r="I375" s="14" t="s">
        <v>225</v>
      </c>
      <c r="J375" s="39" t="s">
        <v>73</v>
      </c>
      <c r="K375" s="45" t="str" cm="1">
        <f t="array" ref="K375">IFERROR(INDEX(Input_ForRateCalc[],MATCH($C375&amp;" - "&amp;K$320,Input_ForRateCalc[[Cost item]:[Cost item]],0),MATCH(Calc_TUV_Net_2[[#This Row],[Decision ref]:[Decision ref]],Input_ForRateCalc[#Headers],0)),"-")</f>
        <v>-</v>
      </c>
      <c r="L375" s="45" t="str" cm="1">
        <f t="array" ref="L375">IFERROR(INDEX(Input_ForRateCalc[],MATCH($C375&amp;" - "&amp;L$320,Input_ForRateCalc[[Cost item]:[Cost item]],0),MATCH(Calc_TUV_Net_2[[#This Row],[Decision ref]:[Decision ref]],Input_ForRateCalc[#Headers],0)),"-")</f>
        <v>-</v>
      </c>
      <c r="M375" s="45" t="str" cm="1">
        <f t="array" ref="M375">IFERROR(INDEX(Input_ForRateCalc[],MATCH($C375&amp;" - "&amp;M$320,Input_ForRateCalc[[Cost item]:[Cost item]],0),MATCH(Calc_TUV_Net_2[[#This Row],[Decision ref]:[Decision ref]],Input_ForRateCalc[#Headers],0)),"-")</f>
        <v>-</v>
      </c>
      <c r="N375" s="45" t="str" cm="1">
        <f t="array" ref="N375">IFERROR(INDEX(Input_ForRateCalc[],MATCH($C375&amp;" - "&amp;N$320,Input_ForRateCalc[[Cost item]:[Cost item]],0),MATCH(Calc_TUV_Net_2[[#This Row],[Decision ref]:[Decision ref]],Input_ForRateCalc[#Headers],0)),"-")</f>
        <v>-</v>
      </c>
      <c r="O375" s="45" t="str" cm="1">
        <f t="array" ref="O375">IFERROR(INDEX(Input_ForRateCalc[],MATCH($C375&amp;" - "&amp;O$320,Input_ForRateCalc[[Cost item]:[Cost item]],0),MATCH(Calc_TUV_Net_2[[#This Row],[Decision ref]:[Decision ref]],Input_ForRateCalc[#Headers],0)),"-")</f>
        <v>-</v>
      </c>
    </row>
    <row r="376" spans="3:15" hidden="1" outlineLevel="1" x14ac:dyDescent="0.25">
      <c r="C376" s="39" t="s">
        <v>417</v>
      </c>
      <c r="D376" s="58" t="str">
        <f>Calc_TU_values!$D$224</f>
        <v>VDO 2023-24 - Final</v>
      </c>
      <c r="E376" s="14" t="s">
        <v>322</v>
      </c>
      <c r="F376" s="58" t="e">
        <f>INDEX(Inputs!$H$17:$U$17,1,MATCH($D376,Inputs!$H$15:$U$15,0))</f>
        <v>#N/A</v>
      </c>
      <c r="G376" s="38"/>
      <c r="H376" s="14" t="s">
        <v>184</v>
      </c>
      <c r="I376" s="14" t="s">
        <v>71</v>
      </c>
      <c r="J376" s="39" t="s">
        <v>73</v>
      </c>
      <c r="K376" s="46">
        <f>SUM(
IFERROR(K373/100*SUMIFS(INDEX(TUNet_Usage_PerRate_2[],0,MATCH(K$320,TUNet_Usage_PerRate_2[#Headers],0)),TUNet_Usage_PerRate_2[Customer type],Calc_TUV_Net_2[[#This Row],[Customer type]],TUNet_Usage_PerRate_2[Description],"Usage per customer - Block 1"),0),
IFERROR(K374/100*SUMIFS(INDEX(TUNet_Usage_PerRate_2[],0,MATCH(K$320,TUNet_Usage_PerRate_2[#Headers],0)),TUNet_Usage_PerRate_2[Customer type],Calc_TUV_Net_2[[#This Row],[Customer type]],TUNet_Usage_PerRate_2[Description],"Usage per customer - Balance"),0),
IFERROR(K375/100*SUMIFS(INDEX(TUNet_Usage_PerRate_2[],0,MATCH(K$320,TUNet_Usage_PerRate_2[#Headers],0)),TUNet_Usage_PerRate_2[Customer type],Calc_TUV_Net_2[[#This Row],[Customer type]],TUNet_Usage_PerRate_2[Description],"Usage per customer - Single rate"),0))</f>
        <v>0</v>
      </c>
      <c r="L376" s="46">
        <f>SUM(
IFERROR(L373/100*SUMIFS(INDEX(TUNet_Usage_PerRate_2[],0,MATCH(L$320,TUNet_Usage_PerRate_2[#Headers],0)),TUNet_Usage_PerRate_2[Customer type],Calc_TUV_Net_2[[#This Row],[Customer type]],TUNet_Usage_PerRate_2[Description],"Usage per customer - Block 1"),0),
IFERROR(L374/100*SUMIFS(INDEX(TUNet_Usage_PerRate_2[],0,MATCH(L$320,TUNet_Usage_PerRate_2[#Headers],0)),TUNet_Usage_PerRate_2[Customer type],Calc_TUV_Net_2[[#This Row],[Customer type]],TUNet_Usage_PerRate_2[Description],"Usage per customer - Balance"),0),
IFERROR(L375/100*SUMIFS(INDEX(TUNet_Usage_PerRate_2[],0,MATCH(L$320,TUNet_Usage_PerRate_2[#Headers],0)),TUNet_Usage_PerRate_2[Customer type],Calc_TUV_Net_2[[#This Row],[Customer type]],TUNet_Usage_PerRate_2[Description],"Usage per customer - Single rate"),0))</f>
        <v>0</v>
      </c>
      <c r="M376" s="46">
        <f>SUM(
IFERROR(M373/100*SUMIFS(INDEX(TUNet_Usage_PerRate_2[],0,MATCH(M$320,TUNet_Usage_PerRate_2[#Headers],0)),TUNet_Usage_PerRate_2[Customer type],Calc_TUV_Net_2[[#This Row],[Customer type]],TUNet_Usage_PerRate_2[Description],"Usage per customer - Block 1"),0),
IFERROR(M374/100*SUMIFS(INDEX(TUNet_Usage_PerRate_2[],0,MATCH(M$320,TUNet_Usage_PerRate_2[#Headers],0)),TUNet_Usage_PerRate_2[Customer type],Calc_TUV_Net_2[[#This Row],[Customer type]],TUNet_Usage_PerRate_2[Description],"Usage per customer - Balance"),0),
IFERROR(M375/100*SUMIFS(INDEX(TUNet_Usage_PerRate_2[],0,MATCH(M$320,TUNet_Usage_PerRate_2[#Headers],0)),TUNet_Usage_PerRate_2[Customer type],Calc_TUV_Net_2[[#This Row],[Customer type]],TUNet_Usage_PerRate_2[Description],"Usage per customer - Single rate"),0))</f>
        <v>0</v>
      </c>
      <c r="N376" s="46">
        <f>SUM(
IFERROR(N373/100*SUMIFS(INDEX(TUNet_Usage_PerRate_2[],0,MATCH(N$320,TUNet_Usage_PerRate_2[#Headers],0)),TUNet_Usage_PerRate_2[Customer type],Calc_TUV_Net_2[[#This Row],[Customer type]],TUNet_Usage_PerRate_2[Description],"Usage per customer - Block 1"),0),
IFERROR(N374/100*SUMIFS(INDEX(TUNet_Usage_PerRate_2[],0,MATCH(N$320,TUNet_Usage_PerRate_2[#Headers],0)),TUNet_Usage_PerRate_2[Customer type],Calc_TUV_Net_2[[#This Row],[Customer type]],TUNet_Usage_PerRate_2[Description],"Usage per customer - Balance"),0),
IFERROR(N375/100*SUMIFS(INDEX(TUNet_Usage_PerRate_2[],0,MATCH(N$320,TUNet_Usage_PerRate_2[#Headers],0)),TUNet_Usage_PerRate_2[Customer type],Calc_TUV_Net_2[[#This Row],[Customer type]],TUNet_Usage_PerRate_2[Description],"Usage per customer - Single rate"),0))</f>
        <v>0</v>
      </c>
      <c r="O376" s="46">
        <f>SUM(
IFERROR(O373/100*SUMIFS(INDEX(TUNet_Usage_PerRate_2[],0,MATCH(O$320,TUNet_Usage_PerRate_2[#Headers],0)),TUNet_Usage_PerRate_2[Customer type],Calc_TUV_Net_2[[#This Row],[Customer type]],TUNet_Usage_PerRate_2[Description],"Usage per customer - Block 1"),0),
IFERROR(O374/100*SUMIFS(INDEX(TUNet_Usage_PerRate_2[],0,MATCH(O$320,TUNet_Usage_PerRate_2[#Headers],0)),TUNet_Usage_PerRate_2[Customer type],Calc_TUV_Net_2[[#This Row],[Customer type]],TUNet_Usage_PerRate_2[Description],"Usage per customer - Balance"),0),
IFERROR(O375/100*SUMIFS(INDEX(TUNet_Usage_PerRate_2[],0,MATCH(O$320,TUNet_Usage_PerRate_2[#Headers],0)),TUNet_Usage_PerRate_2[Customer type],Calc_TUV_Net_2[[#This Row],[Customer type]],TUNet_Usage_PerRate_2[Description],"Usage per customer - Single rate"),0))</f>
        <v>0</v>
      </c>
    </row>
    <row r="377" spans="3:15" hidden="1" outlineLevel="1" x14ac:dyDescent="0.25">
      <c r="C377" s="39" t="s">
        <v>453</v>
      </c>
      <c r="D377" s="58" t="str">
        <f>INDEX(Input_DecisionActual[[Decision]:[Decision]],MATCH(Calc_TU_values!$D$224,Input_DecisionActual[[VDO period]:[VDO period]],0),1)</f>
        <v>VDO 2022-23 - Final</v>
      </c>
      <c r="E377" s="14" t="s">
        <v>102</v>
      </c>
      <c r="F377" s="58" t="str">
        <f>IF($D377="-","-",INDEX(Inputs!$H$17:$U$17,1,MATCH($D377,Inputs!$H$15:$U$15,0)))</f>
        <v>F-PreviousVDO_Input3</v>
      </c>
      <c r="G377" s="38"/>
      <c r="H377" s="14" t="s">
        <v>184</v>
      </c>
      <c r="I377" s="14" t="s">
        <v>225</v>
      </c>
      <c r="J377" s="39" t="s">
        <v>73</v>
      </c>
      <c r="K377" s="45" cm="1">
        <f t="array" ref="K377">IFERROR(INDEX(Input_ForRateCalc[],MATCH($C377&amp;" - "&amp;K$320,Input_ForRateCalc[[Cost item]:[Cost item]],0),MATCH(Calc_TUV_Net_2[[#This Row],[Decision ref]:[Decision ref]],Input_ForRateCalc[#Headers],0)),"-")</f>
        <v>17.498000000000001</v>
      </c>
      <c r="L377" s="45" t="str" cm="1">
        <f t="array" ref="L377">IFERROR(INDEX(Input_ForRateCalc[],MATCH($C377&amp;" - "&amp;L$320,Input_ForRateCalc[[Cost item]:[Cost item]],0),MATCH(Calc_TUV_Net_2[[#This Row],[Decision ref]:[Decision ref]],Input_ForRateCalc[#Headers],0)),"-")</f>
        <v>-</v>
      </c>
      <c r="M377" s="45" t="str" cm="1">
        <f t="array" ref="M377">IFERROR(INDEX(Input_ForRateCalc[],MATCH($C377&amp;" - "&amp;M$320,Input_ForRateCalc[[Cost item]:[Cost item]],0),MATCH(Calc_TUV_Net_2[[#This Row],[Decision ref]:[Decision ref]],Input_ForRateCalc[#Headers],0)),"-")</f>
        <v>-</v>
      </c>
      <c r="N377" s="45" t="str" cm="1">
        <f t="array" ref="N377">IFERROR(INDEX(Input_ForRateCalc[],MATCH($C377&amp;" - "&amp;N$320,Input_ForRateCalc[[Cost item]:[Cost item]],0),MATCH(Calc_TUV_Net_2[[#This Row],[Decision ref]:[Decision ref]],Input_ForRateCalc[#Headers],0)),"-")</f>
        <v>-</v>
      </c>
      <c r="O377" s="45" t="str" cm="1">
        <f t="array" ref="O377">IFERROR(INDEX(Input_ForRateCalc[],MATCH($C377&amp;" - "&amp;O$320,Input_ForRateCalc[[Cost item]:[Cost item]],0),MATCH(Calc_TUV_Net_2[[#This Row],[Decision ref]:[Decision ref]],Input_ForRateCalc[#Headers],0)),"-")</f>
        <v>-</v>
      </c>
    </row>
    <row r="378" spans="3:15" hidden="1" outlineLevel="1" x14ac:dyDescent="0.25">
      <c r="C378" s="39" t="s">
        <v>454</v>
      </c>
      <c r="D378" s="58" t="str">
        <f>INDEX(Input_DecisionActual[[Decision]:[Decision]],MATCH(Calc_TU_values!$D$224,Input_DecisionActual[[VDO period]:[VDO period]],0),1)</f>
        <v>VDO 2022-23 - Final</v>
      </c>
      <c r="E378" s="14" t="s">
        <v>102</v>
      </c>
      <c r="F378" s="58" t="str">
        <f>IF($D378="-","-",INDEX(Inputs!$H$17:$U$17,1,MATCH($D378,Inputs!$H$15:$U$15,0)))</f>
        <v>F-PreviousVDO_Input3</v>
      </c>
      <c r="G378" s="38"/>
      <c r="H378" s="14" t="s">
        <v>184</v>
      </c>
      <c r="I378" s="14" t="s">
        <v>225</v>
      </c>
      <c r="J378" s="39" t="s">
        <v>73</v>
      </c>
      <c r="K378" s="45" cm="1">
        <f t="array" ref="K378">IFERROR(INDEX(Input_ForRateCalc[],MATCH($C378&amp;" - "&amp;K$320,Input_ForRateCalc[[Cost item]:[Cost item]],0),MATCH(Calc_TUV_Net_2[[#This Row],[Decision ref]:[Decision ref]],Input_ForRateCalc[#Headers],0)),"-")</f>
        <v>20.5366</v>
      </c>
      <c r="L378" s="45" t="str" cm="1">
        <f t="array" ref="L378">IFERROR(INDEX(Input_ForRateCalc[],MATCH($C378&amp;" - "&amp;L$320,Input_ForRateCalc[[Cost item]:[Cost item]],0),MATCH(Calc_TUV_Net_2[[#This Row],[Decision ref]:[Decision ref]],Input_ForRateCalc[#Headers],0)),"-")</f>
        <v>-</v>
      </c>
      <c r="M378" s="45" t="str" cm="1">
        <f t="array" ref="M378">IFERROR(INDEX(Input_ForRateCalc[],MATCH($C378&amp;" - "&amp;M$320,Input_ForRateCalc[[Cost item]:[Cost item]],0),MATCH(Calc_TUV_Net_2[[#This Row],[Decision ref]:[Decision ref]],Input_ForRateCalc[#Headers],0)),"-")</f>
        <v>-</v>
      </c>
      <c r="N378" s="45" t="str" cm="1">
        <f t="array" ref="N378">IFERROR(INDEX(Input_ForRateCalc[],MATCH($C378&amp;" - "&amp;N$320,Input_ForRateCalc[[Cost item]:[Cost item]],0),MATCH(Calc_TUV_Net_2[[#This Row],[Decision ref]:[Decision ref]],Input_ForRateCalc[#Headers],0)),"-")</f>
        <v>-</v>
      </c>
      <c r="O378" s="45" t="str" cm="1">
        <f t="array" ref="O378">IFERROR(INDEX(Input_ForRateCalc[],MATCH($C378&amp;" - "&amp;O$320,Input_ForRateCalc[[Cost item]:[Cost item]],0),MATCH(Calc_TUV_Net_2[[#This Row],[Decision ref]:[Decision ref]],Input_ForRateCalc[#Headers],0)),"-")</f>
        <v>-</v>
      </c>
    </row>
    <row r="379" spans="3:15" hidden="1" outlineLevel="1" x14ac:dyDescent="0.25">
      <c r="C379" s="39" t="s">
        <v>455</v>
      </c>
      <c r="D379" s="58" t="str">
        <f>INDEX(Input_DecisionActual[[Decision]:[Decision]],MATCH(Calc_TU_values!$D$224,Input_DecisionActual[[VDO period]:[VDO period]],0),1)</f>
        <v>VDO 2022-23 - Final</v>
      </c>
      <c r="E379" s="14" t="s">
        <v>102</v>
      </c>
      <c r="F379" s="58" t="str">
        <f>IF($D379="-","-",INDEX(Inputs!$H$17:$U$17,1,MATCH($D379,Inputs!$H$15:$U$15,0)))</f>
        <v>F-PreviousVDO_Input3</v>
      </c>
      <c r="G379" s="38"/>
      <c r="H379" s="14" t="s">
        <v>184</v>
      </c>
      <c r="I379" s="14" t="s">
        <v>225</v>
      </c>
      <c r="J379" s="39" t="s">
        <v>73</v>
      </c>
      <c r="K379" s="45" t="str" cm="1">
        <f t="array" ref="K379">IFERROR(INDEX(Input_ForRateCalc[],MATCH($C379&amp;" - "&amp;K$320,Input_ForRateCalc[[Cost item]:[Cost item]],0),MATCH(Calc_TUV_Net_2[[#This Row],[Decision ref]:[Decision ref]],Input_ForRateCalc[#Headers],0)),"-")</f>
        <v>-</v>
      </c>
      <c r="L379" s="45" cm="1">
        <f t="array" ref="L379">IFERROR(INDEX(Input_ForRateCalc[],MATCH($C379&amp;" - "&amp;L$320,Input_ForRateCalc[[Cost item]:[Cost item]],0),MATCH(Calc_TUV_Net_2[[#This Row],[Decision ref]:[Decision ref]],Input_ForRateCalc[#Headers],0)),"-")</f>
        <v>8.0299999999999994</v>
      </c>
      <c r="M379" s="45" cm="1">
        <f t="array" ref="M379">IFERROR(INDEX(Input_ForRateCalc[],MATCH($C379&amp;" - "&amp;M$320,Input_ForRateCalc[[Cost item]:[Cost item]],0),MATCH(Calc_TUV_Net_2[[#This Row],[Decision ref]:[Decision ref]],Input_ForRateCalc[#Headers],0)),"-")</f>
        <v>10.84</v>
      </c>
      <c r="N379" s="45" cm="1">
        <f t="array" ref="N379">IFERROR(INDEX(Input_ForRateCalc[],MATCH($C379&amp;" - "&amp;N$320,Input_ForRateCalc[[Cost item]:[Cost item]],0),MATCH(Calc_TUV_Net_2[[#This Row],[Decision ref]:[Decision ref]],Input_ForRateCalc[#Headers],0)),"-")</f>
        <v>9.2899999999999991</v>
      </c>
      <c r="O379" s="45" cm="1">
        <f t="array" ref="O379">IFERROR(INDEX(Input_ForRateCalc[],MATCH($C379&amp;" - "&amp;O$320,Input_ForRateCalc[[Cost item]:[Cost item]],0),MATCH(Calc_TUV_Net_2[[#This Row],[Decision ref]:[Decision ref]],Input_ForRateCalc[#Headers],0)),"-")</f>
        <v>9.14</v>
      </c>
    </row>
    <row r="380" spans="3:15" hidden="1" outlineLevel="1" x14ac:dyDescent="0.25">
      <c r="C380" s="39" t="s">
        <v>417</v>
      </c>
      <c r="D380" s="58" t="str">
        <f>INDEX(Input_DecisionActual[[Decision]:[Decision]],MATCH(Calc_TU_values!$D$224,Input_DecisionActual[[VDO period]:[VDO period]],0),1)</f>
        <v>VDO 2022-23 - Final</v>
      </c>
      <c r="E380" s="14" t="s">
        <v>102</v>
      </c>
      <c r="F380" s="58" t="str">
        <f>IF($D380="-","-",INDEX(Inputs!$H$17:$U$17,1,MATCH($D380,Inputs!$H$15:$U$15,0)))</f>
        <v>F-PreviousVDO_Input3</v>
      </c>
      <c r="G380" s="38"/>
      <c r="H380" s="14" t="s">
        <v>184</v>
      </c>
      <c r="I380" s="14" t="s">
        <v>71</v>
      </c>
      <c r="J380" s="39" t="s">
        <v>73</v>
      </c>
      <c r="K380" s="46">
        <f>SUM(
IFERROR(K377/100*SUMIFS(INDEX(TUNet_Usage_PerRate_2[],0,MATCH(K$320,TUNet_Usage_PerRate_2[#Headers],0)),TUNet_Usage_PerRate_2[Customer type],Calc_TUV_Net_2[[#This Row],[Customer type]],TUNet_Usage_PerRate_2[Description],"Usage per customer - Block 1"),0),
IFERROR(K378/100*SUMIFS(INDEX(TUNet_Usage_PerRate_2[],0,MATCH(K$320,TUNet_Usage_PerRate_2[#Headers],0)),TUNet_Usage_PerRate_2[Customer type],Calc_TUV_Net_2[[#This Row],[Customer type]],TUNet_Usage_PerRate_2[Description],"Usage per customer - Balance"),0),
IFERROR(K379/100*SUMIFS(INDEX(TUNet_Usage_PerRate_2[],0,MATCH(K$320,TUNet_Usage_PerRate_2[#Headers],0)),TUNet_Usage_PerRate_2[Customer type],Calc_TUV_Net_2[[#This Row],[Customer type]],TUNet_Usage_PerRate_2[Description],"Usage per customer - Single rate"),0))</f>
        <v>0</v>
      </c>
      <c r="L380" s="46">
        <f>SUM(
IFERROR(L377/100*SUMIFS(INDEX(TUNet_Usage_PerRate_2[],0,MATCH(L$320,TUNet_Usage_PerRate_2[#Headers],0)),TUNet_Usage_PerRate_2[Customer type],Calc_TUV_Net_2[[#This Row],[Customer type]],TUNet_Usage_PerRate_2[Description],"Usage per customer - Block 1"),0),
IFERROR(L378/100*SUMIFS(INDEX(TUNet_Usage_PerRate_2[],0,MATCH(L$320,TUNet_Usage_PerRate_2[#Headers],0)),TUNet_Usage_PerRate_2[Customer type],Calc_TUV_Net_2[[#This Row],[Customer type]],TUNet_Usage_PerRate_2[Description],"Usage per customer - Balance"),0),
IFERROR(L379/100*SUMIFS(INDEX(TUNet_Usage_PerRate_2[],0,MATCH(L$320,TUNet_Usage_PerRate_2[#Headers],0)),TUNet_Usage_PerRate_2[Customer type],Calc_TUV_Net_2[[#This Row],[Customer type]],TUNet_Usage_PerRate_2[Description],"Usage per customer - Single rate"),0))</f>
        <v>0</v>
      </c>
      <c r="M380" s="46">
        <f>SUM(
IFERROR(M377/100*SUMIFS(INDEX(TUNet_Usage_PerRate_2[],0,MATCH(M$320,TUNet_Usage_PerRate_2[#Headers],0)),TUNet_Usage_PerRate_2[Customer type],Calc_TUV_Net_2[[#This Row],[Customer type]],TUNet_Usage_PerRate_2[Description],"Usage per customer - Block 1"),0),
IFERROR(M378/100*SUMIFS(INDEX(TUNet_Usage_PerRate_2[],0,MATCH(M$320,TUNet_Usage_PerRate_2[#Headers],0)),TUNet_Usage_PerRate_2[Customer type],Calc_TUV_Net_2[[#This Row],[Customer type]],TUNet_Usage_PerRate_2[Description],"Usage per customer - Balance"),0),
IFERROR(M379/100*SUMIFS(INDEX(TUNet_Usage_PerRate_2[],0,MATCH(M$320,TUNet_Usage_PerRate_2[#Headers],0)),TUNet_Usage_PerRate_2[Customer type],Calc_TUV_Net_2[[#This Row],[Customer type]],TUNet_Usage_PerRate_2[Description],"Usage per customer - Single rate"),0))</f>
        <v>0</v>
      </c>
      <c r="N380" s="46">
        <f>SUM(
IFERROR(N377/100*SUMIFS(INDEX(TUNet_Usage_PerRate_2[],0,MATCH(N$320,TUNet_Usage_PerRate_2[#Headers],0)),TUNet_Usage_PerRate_2[Customer type],Calc_TUV_Net_2[[#This Row],[Customer type]],TUNet_Usage_PerRate_2[Description],"Usage per customer - Block 1"),0),
IFERROR(N378/100*SUMIFS(INDEX(TUNet_Usage_PerRate_2[],0,MATCH(N$320,TUNet_Usage_PerRate_2[#Headers],0)),TUNet_Usage_PerRate_2[Customer type],Calc_TUV_Net_2[[#This Row],[Customer type]],TUNet_Usage_PerRate_2[Description],"Usage per customer - Balance"),0),
IFERROR(N379/100*SUMIFS(INDEX(TUNet_Usage_PerRate_2[],0,MATCH(N$320,TUNet_Usage_PerRate_2[#Headers],0)),TUNet_Usage_PerRate_2[Customer type],Calc_TUV_Net_2[[#This Row],[Customer type]],TUNet_Usage_PerRate_2[Description],"Usage per customer - Single rate"),0))</f>
        <v>0</v>
      </c>
      <c r="O380" s="46">
        <f>SUM(
IFERROR(O377/100*SUMIFS(INDEX(TUNet_Usage_PerRate_2[],0,MATCH(O$320,TUNet_Usage_PerRate_2[#Headers],0)),TUNet_Usage_PerRate_2[Customer type],Calc_TUV_Net_2[[#This Row],[Customer type]],TUNet_Usage_PerRate_2[Description],"Usage per customer - Block 1"),0),
IFERROR(O378/100*SUMIFS(INDEX(TUNet_Usage_PerRate_2[],0,MATCH(O$320,TUNet_Usage_PerRate_2[#Headers],0)),TUNet_Usage_PerRate_2[Customer type],Calc_TUV_Net_2[[#This Row],[Customer type]],TUNet_Usage_PerRate_2[Description],"Usage per customer - Balance"),0),
IFERROR(O379/100*SUMIFS(INDEX(TUNet_Usage_PerRate_2[],0,MATCH(O$320,TUNet_Usage_PerRate_2[#Headers],0)),TUNet_Usage_PerRate_2[Customer type],Calc_TUV_Net_2[[#This Row],[Customer type]],TUNet_Usage_PerRate_2[Description],"Usage per customer - Single rate"),0))</f>
        <v>0</v>
      </c>
    </row>
    <row r="381" spans="3:15" hidden="1" outlineLevel="1" x14ac:dyDescent="0.25">
      <c r="C381" s="39" t="s">
        <v>418</v>
      </c>
      <c r="D381" s="14"/>
      <c r="E381" s="14"/>
      <c r="F381" s="14"/>
      <c r="G381" s="39"/>
      <c r="H381" s="14" t="s">
        <v>184</v>
      </c>
      <c r="I381" s="14" t="s">
        <v>71</v>
      </c>
      <c r="J381" s="39" t="s">
        <v>73</v>
      </c>
      <c r="K381" s="44" t="str">
        <f>IF(K380=0,"-",K376-K380)</f>
        <v>-</v>
      </c>
      <c r="L381" s="44" t="str">
        <f>IF(L380=0,"-",L376-L380)</f>
        <v>-</v>
      </c>
      <c r="M381" s="44" t="str">
        <f>IF(M380=0,"-",M376-M380)</f>
        <v>-</v>
      </c>
      <c r="N381" s="44" t="str">
        <f>IF(N380=0,"-",N376-N380)</f>
        <v>-</v>
      </c>
      <c r="O381" s="44" t="str">
        <f>IF(O380=0,"-",O376-O380)</f>
        <v>-</v>
      </c>
    </row>
    <row r="382" spans="3:15" hidden="1" outlineLevel="1" x14ac:dyDescent="0.25">
      <c r="C382" s="39" t="s">
        <v>420</v>
      </c>
      <c r="D382" s="58" t="str">
        <f>INDEX(Input_DecisionActual[[Decision]:[Decision]],MATCH(Calc_TU_values!$D$224,Input_DecisionActual[[VDO period]:[VDO period]],0),1)</f>
        <v>VDO 2022-23 - Final</v>
      </c>
      <c r="E382" s="14" t="s">
        <v>102</v>
      </c>
      <c r="F382" s="58" t="str">
        <f>IF($D382="-","-",INDEX(Inputs!$H$17:$U$17,1,MATCH($D382,Inputs!$H$15:$U$15,0)))</f>
        <v>F-PreviousVDO_Input3</v>
      </c>
      <c r="G382" s="39"/>
      <c r="H382" s="14" t="s">
        <v>184</v>
      </c>
      <c r="I382" s="14" t="s">
        <v>71</v>
      </c>
      <c r="J382" s="39" t="s">
        <v>73</v>
      </c>
      <c r="K382" s="45" cm="1">
        <f t="array" ref="K382">IFERROR(SUM(K381:K381)*(INDEX(Inputs!$H$18:$U$141,MATCH("Retail operating margin",Input_ForRateCalc[[Cost item]:[Cost item]],0),MATCH(Calc_TUV_Net_2[[#This Row],[Decision ref]:[Decision ref]],Inputs!$H$17:$U$17,0))),"-")</f>
        <v>0</v>
      </c>
      <c r="L382" s="45" cm="1">
        <f t="array" ref="L382">IFERROR(SUM(L381:L381)*(INDEX(Inputs!$H$18:$U$141,MATCH("Retail operating margin",Input_ForRateCalc[[Cost item]:[Cost item]],0),MATCH(Calc_TUV_Net_2[[#This Row],[Decision ref]:[Decision ref]],Inputs!$H$17:$U$17,0))),"-")</f>
        <v>0</v>
      </c>
      <c r="M382" s="45" cm="1">
        <f t="array" ref="M382">IFERROR(SUM(M381:M381)*(INDEX(Inputs!$H$18:$U$141,MATCH("Retail operating margin",Input_ForRateCalc[[Cost item]:[Cost item]],0),MATCH(Calc_TUV_Net_2[[#This Row],[Decision ref]:[Decision ref]],Inputs!$H$17:$U$17,0))),"-")</f>
        <v>0</v>
      </c>
      <c r="N382" s="45" cm="1">
        <f t="array" ref="N382">IFERROR(SUM(N381:N381)*(INDEX(Inputs!$H$18:$U$141,MATCH("Retail operating margin",Input_ForRateCalc[[Cost item]:[Cost item]],0),MATCH(Calc_TUV_Net_2[[#This Row],[Decision ref]:[Decision ref]],Inputs!$H$17:$U$17,0))),"-")</f>
        <v>0</v>
      </c>
      <c r="O382" s="45" cm="1">
        <f t="array" ref="O382">IFERROR(SUM(O381:O381)*(INDEX(Inputs!$H$18:$U$141,MATCH("Retail operating margin",Input_ForRateCalc[[Cost item]:[Cost item]],0),MATCH(Calc_TUV_Net_2[[#This Row],[Decision ref]:[Decision ref]],Inputs!$H$17:$U$17,0))),"-")</f>
        <v>0</v>
      </c>
    </row>
    <row r="383" spans="3:15" hidden="1" outlineLevel="1" x14ac:dyDescent="0.25">
      <c r="C383" s="39" t="s">
        <v>421</v>
      </c>
      <c r="D383" s="14"/>
      <c r="E383" s="14"/>
      <c r="F383" s="14"/>
      <c r="G383" s="39"/>
      <c r="H383" s="14" t="s">
        <v>184</v>
      </c>
      <c r="I383" s="14" t="s">
        <v>71</v>
      </c>
      <c r="J383" s="39" t="s">
        <v>73</v>
      </c>
      <c r="K383" s="45" t="str">
        <f>IF(K380=0,"-",SUM(K381:K382)*GST)</f>
        <v>-</v>
      </c>
      <c r="L383" s="45" t="str">
        <f>IF(L380=0,"-",SUM(L381:L382)*GST)</f>
        <v>-</v>
      </c>
      <c r="M383" s="45" t="str">
        <f>IF(M380=0,"-",SUM(M381:M382)*GST)</f>
        <v>-</v>
      </c>
      <c r="N383" s="45" t="str">
        <f>IF(N380=0,"-",SUM(N381:N382)*GST)</f>
        <v>-</v>
      </c>
      <c r="O383" s="45" t="str">
        <f>IF(O380=0,"-",SUM(O381:O382)*GST)</f>
        <v>-</v>
      </c>
    </row>
    <row r="384" spans="3:15" hidden="1" outlineLevel="1" x14ac:dyDescent="0.25">
      <c r="C384" s="39" t="s">
        <v>446</v>
      </c>
      <c r="D384" s="14"/>
      <c r="E384" s="14"/>
      <c r="F384" s="14"/>
      <c r="H384" s="14" t="s">
        <v>184</v>
      </c>
      <c r="I384" s="14" t="s">
        <v>71</v>
      </c>
      <c r="J384" s="39" t="s">
        <v>73</v>
      </c>
      <c r="K384" s="45" t="str">
        <f>IF(K380=0,"-",SUM(K381:K383))</f>
        <v>-</v>
      </c>
      <c r="L384" s="45" t="str">
        <f>IF(L380=0,"-",SUM(L381:L383))</f>
        <v>-</v>
      </c>
      <c r="M384" s="45" t="str">
        <f>IF(M380=0,"-",SUM(M381:M383))</f>
        <v>-</v>
      </c>
      <c r="N384" s="45" t="str">
        <f>IF(N380=0,"-",SUM(N381:N383))</f>
        <v>-</v>
      </c>
      <c r="O384" s="45" t="str">
        <f>IF(O380=0,"-",SUM(O381:O383))</f>
        <v>-</v>
      </c>
    </row>
    <row r="385" spans="3:15" hidden="1" outlineLevel="1" x14ac:dyDescent="0.25">
      <c r="C385" s="37"/>
      <c r="D385" s="37"/>
      <c r="E385" s="37"/>
      <c r="F385" s="37"/>
      <c r="G385" s="47"/>
      <c r="H385" s="47"/>
      <c r="I385" s="14"/>
      <c r="J385" s="14"/>
      <c r="K385" s="44"/>
      <c r="L385" s="14"/>
      <c r="M385" s="14"/>
      <c r="N385" s="14"/>
      <c r="O385" s="14"/>
    </row>
    <row r="386" spans="3:15" hidden="1" outlineLevel="1" x14ac:dyDescent="0.25">
      <c r="C386" s="37"/>
      <c r="D386" s="37"/>
      <c r="E386" s="37"/>
      <c r="F386" s="37"/>
      <c r="G386" s="47"/>
      <c r="H386" s="47"/>
      <c r="I386" s="14"/>
      <c r="J386" s="14"/>
      <c r="K386" s="44"/>
      <c r="L386" s="14"/>
      <c r="M386" s="14"/>
      <c r="N386" s="14"/>
      <c r="O386" s="14"/>
    </row>
    <row r="387" spans="3:15" ht="15.75" hidden="1" outlineLevel="1" x14ac:dyDescent="0.25">
      <c r="C387" s="1" t="s">
        <v>318</v>
      </c>
      <c r="D387" s="39"/>
      <c r="E387" s="39"/>
      <c r="F387" s="39"/>
      <c r="G387" s="28" t="str">
        <f>INDEX(Input_TU_YesNo[],MATCH(Calc_TUV_Net_2[[#This Row],[Cost item]],Input_TU_YesNo[Component],0),MATCH($D$224,Inputs!$C$210:$BM$210,0))</f>
        <v>No</v>
      </c>
      <c r="H387" s="39"/>
      <c r="I387" s="14"/>
      <c r="J387" s="14"/>
      <c r="K387" s="44"/>
      <c r="L387" s="14"/>
      <c r="M387" s="14"/>
      <c r="N387" s="14"/>
      <c r="O387" s="14"/>
    </row>
    <row r="388" spans="3:15" hidden="1" outlineLevel="1" x14ac:dyDescent="0.25">
      <c r="C388" s="37" t="s">
        <v>456</v>
      </c>
      <c r="D388" s="37"/>
      <c r="E388" s="37"/>
      <c r="F388" s="37"/>
      <c r="G388" s="47"/>
      <c r="H388" s="47"/>
      <c r="I388" s="14"/>
      <c r="J388" s="14"/>
      <c r="K388" s="44"/>
      <c r="L388" s="14"/>
      <c r="M388" s="14"/>
      <c r="N388" s="14"/>
      <c r="O388" s="14"/>
    </row>
    <row r="389" spans="3:15" hidden="1" outlineLevel="1" x14ac:dyDescent="0.25">
      <c r="C389" s="39" t="s">
        <v>457</v>
      </c>
      <c r="D389" s="58" t="str">
        <f>Calc_TU_values!$D$224</f>
        <v>VDO 2023-24 - Final</v>
      </c>
      <c r="E389" s="14" t="s">
        <v>322</v>
      </c>
      <c r="F389" s="58" t="e">
        <f>INDEX(Inputs!$H$17:$U$17,1,MATCH($D389,Inputs!$H$15:$U$15,0))</f>
        <v>#N/A</v>
      </c>
      <c r="G389" s="38"/>
      <c r="H389" s="14" t="s">
        <v>138</v>
      </c>
      <c r="I389" s="14" t="s">
        <v>71</v>
      </c>
      <c r="J389" s="39" t="s">
        <v>72</v>
      </c>
      <c r="K389" s="45" t="str" cm="1">
        <f t="array" ref="K389">IFERROR(INDEX(Input_ForRateCalc[],MATCH($C389&amp;" - "&amp;K$320,Input_ForRateCalc[[Cost item]:[Cost item]],0),MATCH(Calc_TUV_Net_2[[#This Row],[Decision ref]:[Decision ref]],Input_ForRateCalc[#Headers],0))*TUProp_Days_2,"-")</f>
        <v>-</v>
      </c>
      <c r="L389" s="45" t="str" cm="1">
        <f t="array" ref="L389">IFERROR(INDEX(Input_ForRateCalc[],MATCH($C389&amp;" - "&amp;L$320,Input_ForRateCalc[[Cost item]:[Cost item]],0),MATCH(Calc_TUV_Net_2[[#This Row],[Decision ref]:[Decision ref]],Input_ForRateCalc[#Headers],0))*TUProp_Days_2,"-")</f>
        <v>-</v>
      </c>
      <c r="M389" s="45" t="str" cm="1">
        <f t="array" ref="M389">IFERROR(INDEX(Input_ForRateCalc[],MATCH($C389&amp;" - "&amp;M$320,Input_ForRateCalc[[Cost item]:[Cost item]],0),MATCH(Calc_TUV_Net_2[[#This Row],[Decision ref]:[Decision ref]],Input_ForRateCalc[#Headers],0))*TUProp_Days_2,"-")</f>
        <v>-</v>
      </c>
      <c r="N389" s="45" t="str" cm="1">
        <f t="array" ref="N389">IFERROR(INDEX(Input_ForRateCalc[],MATCH($C389&amp;" - "&amp;N$320,Input_ForRateCalc[[Cost item]:[Cost item]],0),MATCH(Calc_TUV_Net_2[[#This Row],[Decision ref]:[Decision ref]],Input_ForRateCalc[#Headers],0))*TUProp_Days_2,"-")</f>
        <v>-</v>
      </c>
      <c r="O389" s="45" t="str" cm="1">
        <f t="array" ref="O389">IFERROR(INDEX(Input_ForRateCalc[],MATCH($C389&amp;" - "&amp;O$320,Input_ForRateCalc[[Cost item]:[Cost item]],0),MATCH(Calc_TUV_Net_2[[#This Row],[Decision ref]:[Decision ref]],Input_ForRateCalc[#Headers],0))*TUProp_Days_2,"-")</f>
        <v>-</v>
      </c>
    </row>
    <row r="390" spans="3:15" hidden="1" outlineLevel="1" x14ac:dyDescent="0.25">
      <c r="C390" s="39" t="s">
        <v>363</v>
      </c>
      <c r="D390" s="58" t="str">
        <f>Calc_TU_values!$D$224</f>
        <v>VDO 2023-24 - Final</v>
      </c>
      <c r="E390" s="14" t="s">
        <v>322</v>
      </c>
      <c r="F390" s="58" t="e">
        <f>INDEX(Inputs!$H$17:$U$17,1,MATCH($D390,Inputs!$H$15:$U$15,0))</f>
        <v>#N/A</v>
      </c>
      <c r="G390" s="38"/>
      <c r="H390" s="14" t="s">
        <v>138</v>
      </c>
      <c r="I390" s="14" t="s">
        <v>71</v>
      </c>
      <c r="J390" s="39" t="s">
        <v>72</v>
      </c>
      <c r="K390" s="45" t="str" cm="1">
        <f t="array" ref="K390">IFERROR(INDEX(Input_ForRateCalc[],MATCH($C390&amp;" - "&amp;K$320,Input_ForRateCalc[[Cost item]:[Cost item]],0),MATCH(Calc_TUV_Net_2[[#This Row],[Decision ref]:[Decision ref]],Input_ForRateCalc[#Headers],0))*TUProp_Days_2,"-")</f>
        <v>-</v>
      </c>
      <c r="L390" s="45" t="str" cm="1">
        <f t="array" ref="L390">IFERROR(INDEX(Input_ForRateCalc[],MATCH($C390&amp;" - "&amp;L$320,Input_ForRateCalc[[Cost item]:[Cost item]],0),MATCH(Calc_TUV_Net_2[[#This Row],[Decision ref]:[Decision ref]],Input_ForRateCalc[#Headers],0))*TUProp_Days_2,"-")</f>
        <v>-</v>
      </c>
      <c r="M390" s="45" t="str" cm="1">
        <f t="array" ref="M390">IFERROR(INDEX(Input_ForRateCalc[],MATCH($C390&amp;" - "&amp;M$320,Input_ForRateCalc[[Cost item]:[Cost item]],0),MATCH(Calc_TUV_Net_2[[#This Row],[Decision ref]:[Decision ref]],Input_ForRateCalc[#Headers],0))*TUProp_Days_2,"-")</f>
        <v>-</v>
      </c>
      <c r="N390" s="45" t="str" cm="1">
        <f t="array" ref="N390">IFERROR(INDEX(Input_ForRateCalc[],MATCH($C390&amp;" - "&amp;N$320,Input_ForRateCalc[[Cost item]:[Cost item]],0),MATCH(Calc_TUV_Net_2[[#This Row],[Decision ref]:[Decision ref]],Input_ForRateCalc[#Headers],0))*TUProp_Days_2,"-")</f>
        <v>-</v>
      </c>
      <c r="O390" s="45" t="str" cm="1">
        <f t="array" ref="O390">IFERROR(INDEX(Input_ForRateCalc[],MATCH($C390&amp;" - "&amp;O$320,Input_ForRateCalc[[Cost item]:[Cost item]],0),MATCH(Calc_TUV_Net_2[[#This Row],[Decision ref]:[Decision ref]],Input_ForRateCalc[#Headers],0))*TUProp_Days_2,"-")</f>
        <v>-</v>
      </c>
    </row>
    <row r="391" spans="3:15" hidden="1" outlineLevel="1" x14ac:dyDescent="0.25">
      <c r="C391" s="39" t="s">
        <v>417</v>
      </c>
      <c r="D391" s="58" t="str">
        <f>Calc_TU_values!$D$224</f>
        <v>VDO 2023-24 - Final</v>
      </c>
      <c r="E391" s="14" t="s">
        <v>322</v>
      </c>
      <c r="F391" s="58" t="e">
        <f>INDEX(Inputs!$H$17:$U$17,1,MATCH($D391,Inputs!$H$15:$U$15,0))</f>
        <v>#N/A</v>
      </c>
      <c r="G391" s="38"/>
      <c r="H391" s="14" t="s">
        <v>138</v>
      </c>
      <c r="I391" s="14" t="s">
        <v>71</v>
      </c>
      <c r="J391" s="39" t="s">
        <v>72</v>
      </c>
      <c r="K391" s="43">
        <f>IFERROR(SUM(K389:K390),"-")</f>
        <v>0</v>
      </c>
      <c r="L391" s="43">
        <f>IFERROR(SUM(L389:L390),"-")</f>
        <v>0</v>
      </c>
      <c r="M391" s="43">
        <f>IFERROR(SUM(M389:M390),"-")</f>
        <v>0</v>
      </c>
      <c r="N391" s="43">
        <f>IFERROR(SUM(N389:N390),"-")</f>
        <v>0</v>
      </c>
      <c r="O391" s="43">
        <f>IFERROR(SUM(O389:O390),"-")</f>
        <v>0</v>
      </c>
    </row>
    <row r="392" spans="3:15" hidden="1" outlineLevel="1" x14ac:dyDescent="0.25">
      <c r="C392" s="39" t="s">
        <v>440</v>
      </c>
      <c r="D392" s="58" t="str">
        <f>INDEX(Input_DecisionActual[[Decision]:[Decision]],MATCH(Calc_TU_values!$D$224,Input_DecisionActual[[VDO period]:[VDO period]],0),1)</f>
        <v>VDO 2022-23 - Final</v>
      </c>
      <c r="E392" s="14" t="s">
        <v>102</v>
      </c>
      <c r="F392" s="58" t="str">
        <f>IF($D392="-","-",INDEX(Inputs!$H$17:$U$17,1,MATCH($D392,Inputs!$H$15:$U$15,0)))</f>
        <v>F-PreviousVDO_Input3</v>
      </c>
      <c r="G392" s="38"/>
      <c r="H392" s="14" t="s">
        <v>138</v>
      </c>
      <c r="I392" s="14" t="s">
        <v>71</v>
      </c>
      <c r="J392" s="39" t="s">
        <v>72</v>
      </c>
      <c r="K392" s="45" t="str" cm="1">
        <f t="array" ref="K392">IFERROR(INDEX(Input_ForRateCalc[],MATCH($C392&amp;" - "&amp;K$320,Input_ForRateCalc[[Cost item]:[Cost item]],0),MATCH(Calc_TUV_Net_2[[#This Row],[Decision ref]:[Decision ref]],Input_ForRateCalc[#Headers],0))*TUProp_Days_2,"-")</f>
        <v>-</v>
      </c>
      <c r="L392" s="45" t="str" cm="1">
        <f t="array" ref="L392">IFERROR(INDEX(Input_ForRateCalc[],MATCH($C392&amp;" - "&amp;L$320,Input_ForRateCalc[[Cost item]:[Cost item]],0),MATCH(Calc_TUV_Net_2[[#This Row],[Decision ref]:[Decision ref]],Input_ForRateCalc[#Headers],0))*TUProp_Days_2,"-")</f>
        <v>-</v>
      </c>
      <c r="M392" s="45" t="str" cm="1">
        <f t="array" ref="M392">IFERROR(INDEX(Input_ForRateCalc[],MATCH($C392&amp;" - "&amp;M$320,Input_ForRateCalc[[Cost item]:[Cost item]],0),MATCH(Calc_TUV_Net_2[[#This Row],[Decision ref]:[Decision ref]],Input_ForRateCalc[#Headers],0))*TUProp_Days_2,"-")</f>
        <v>-</v>
      </c>
      <c r="N392" s="45" t="str" cm="1">
        <f t="array" ref="N392">IFERROR(INDEX(Input_ForRateCalc[],MATCH($C392&amp;" - "&amp;N$320,Input_ForRateCalc[[Cost item]:[Cost item]],0),MATCH(Calc_TUV_Net_2[[#This Row],[Decision ref]:[Decision ref]],Input_ForRateCalc[#Headers],0))*TUProp_Days_2,"-")</f>
        <v>-</v>
      </c>
      <c r="O392" s="45" t="str" cm="1">
        <f t="array" ref="O392">IFERROR(INDEX(Input_ForRateCalc[],MATCH($C392&amp;" - "&amp;O$320,Input_ForRateCalc[[Cost item]:[Cost item]],0),MATCH(Calc_TUV_Net_2[[#This Row],[Decision ref]:[Decision ref]],Input_ForRateCalc[#Headers],0))*TUProp_Days_2,"-")</f>
        <v>-</v>
      </c>
    </row>
    <row r="393" spans="3:15" hidden="1" outlineLevel="1" x14ac:dyDescent="0.25">
      <c r="C393" s="39" t="s">
        <v>363</v>
      </c>
      <c r="D393" s="58" t="str">
        <f>INDEX(Input_DecisionActual[[Decision]:[Decision]],MATCH(Calc_TU_values!$D$224,Input_DecisionActual[[VDO period]:[VDO period]],0),1)</f>
        <v>VDO 2022-23 - Final</v>
      </c>
      <c r="E393" s="14" t="s">
        <v>102</v>
      </c>
      <c r="F393" s="58" t="str">
        <f>IF($D393="-","-",INDEX(Inputs!$H$17:$U$17,1,MATCH($D393,Inputs!$H$15:$U$15,0)))</f>
        <v>F-PreviousVDO_Input3</v>
      </c>
      <c r="G393" s="38"/>
      <c r="H393" s="14" t="s">
        <v>138</v>
      </c>
      <c r="I393" s="14" t="s">
        <v>71</v>
      </c>
      <c r="J393" s="39" t="s">
        <v>72</v>
      </c>
      <c r="K393" s="45" t="str" cm="1">
        <f t="array" ref="K393">IFERROR(INDEX(Input_ForRateCalc[],MATCH($C393&amp;" - "&amp;K$320,Input_ForRateCalc[[Cost item]:[Cost item]],0),MATCH(Calc_TUV_Net_2[[#This Row],[Decision ref]:[Decision ref]],Input_ForRateCalc[#Headers],0))*TUProp_Days_2,"-")</f>
        <v>-</v>
      </c>
      <c r="L393" s="45" t="str" cm="1">
        <f t="array" ref="L393">IFERROR(INDEX(Input_ForRateCalc[],MATCH($C393&amp;" - "&amp;L$320,Input_ForRateCalc[[Cost item]:[Cost item]],0),MATCH(Calc_TUV_Net_2[[#This Row],[Decision ref]:[Decision ref]],Input_ForRateCalc[#Headers],0))*TUProp_Days_2,"-")</f>
        <v>-</v>
      </c>
      <c r="M393" s="45" t="str" cm="1">
        <f t="array" ref="M393">IFERROR(INDEX(Input_ForRateCalc[],MATCH($C393&amp;" - "&amp;M$320,Input_ForRateCalc[[Cost item]:[Cost item]],0),MATCH(Calc_TUV_Net_2[[#This Row],[Decision ref]:[Decision ref]],Input_ForRateCalc[#Headers],0))*TUProp_Days_2,"-")</f>
        <v>-</v>
      </c>
      <c r="N393" s="45" t="str" cm="1">
        <f t="array" ref="N393">IFERROR(INDEX(Input_ForRateCalc[],MATCH($C393&amp;" - "&amp;N$320,Input_ForRateCalc[[Cost item]:[Cost item]],0),MATCH(Calc_TUV_Net_2[[#This Row],[Decision ref]:[Decision ref]],Input_ForRateCalc[#Headers],0))*TUProp_Days_2,"-")</f>
        <v>-</v>
      </c>
      <c r="O393" s="45" t="str" cm="1">
        <f t="array" ref="O393">IFERROR(INDEX(Input_ForRateCalc[],MATCH($C393&amp;" - "&amp;O$320,Input_ForRateCalc[[Cost item]:[Cost item]],0),MATCH(Calc_TUV_Net_2[[#This Row],[Decision ref]:[Decision ref]],Input_ForRateCalc[#Headers],0))*TUProp_Days_2,"-")</f>
        <v>-</v>
      </c>
    </row>
    <row r="394" spans="3:15" hidden="1" outlineLevel="1" x14ac:dyDescent="0.25">
      <c r="C394" s="39" t="s">
        <v>417</v>
      </c>
      <c r="D394" s="58" t="str">
        <f>INDEX(Input_DecisionActual[[Decision]:[Decision]],MATCH(Calc_TU_values!$D$224,Input_DecisionActual[[VDO period]:[VDO period]],0),1)</f>
        <v>VDO 2022-23 - Final</v>
      </c>
      <c r="E394" s="14" t="s">
        <v>102</v>
      </c>
      <c r="F394" s="58" t="str">
        <f>IF($D394="-","-",INDEX(Inputs!$H$17:$U$17,1,MATCH($D394,Inputs!$H$15:$U$15,0)))</f>
        <v>F-PreviousVDO_Input3</v>
      </c>
      <c r="G394" s="38"/>
      <c r="H394" s="14" t="s">
        <v>138</v>
      </c>
      <c r="I394" s="14" t="s">
        <v>71</v>
      </c>
      <c r="J394" s="39" t="s">
        <v>72</v>
      </c>
      <c r="K394" s="44">
        <f>SUM(K392:K393)</f>
        <v>0</v>
      </c>
      <c r="L394" s="44">
        <f>SUM(L392:L393)</f>
        <v>0</v>
      </c>
      <c r="M394" s="44">
        <f>SUM(M392:M393)</f>
        <v>0</v>
      </c>
      <c r="N394" s="44">
        <f>SUM(N392:N393)</f>
        <v>0</v>
      </c>
      <c r="O394" s="44">
        <f>SUM(O392:O393)</f>
        <v>0</v>
      </c>
    </row>
    <row r="395" spans="3:15" hidden="1" outlineLevel="1" x14ac:dyDescent="0.25">
      <c r="C395" s="39" t="s">
        <v>418</v>
      </c>
      <c r="D395" s="14"/>
      <c r="E395" s="14"/>
      <c r="F395" s="14"/>
      <c r="G395" s="39"/>
      <c r="H395" s="14" t="s">
        <v>138</v>
      </c>
      <c r="I395" s="14" t="s">
        <v>71</v>
      </c>
      <c r="J395" s="39" t="s">
        <v>72</v>
      </c>
      <c r="K395" s="44" t="str">
        <f>IF(K394=0,"-",K391-K394)</f>
        <v>-</v>
      </c>
      <c r="L395" s="44" t="str">
        <f>IF(L394=0,"-",L391-L394)</f>
        <v>-</v>
      </c>
      <c r="M395" s="44" t="str">
        <f>IF(M394=0,"-",M391-M394)</f>
        <v>-</v>
      </c>
      <c r="N395" s="44" t="str">
        <f>IF(N394=0,"-",N391-N394)</f>
        <v>-</v>
      </c>
      <c r="O395" s="44" t="str">
        <f>IF(O394=0,"-",O391-O394)</f>
        <v>-</v>
      </c>
    </row>
    <row r="396" spans="3:15" hidden="1" outlineLevel="1" x14ac:dyDescent="0.25">
      <c r="C396" s="39" t="s">
        <v>420</v>
      </c>
      <c r="D396" s="58" t="str">
        <f>INDEX(Input_DecisionActual[[Decision]:[Decision]],MATCH(Calc_TU_values!$D$224,Input_DecisionActual[[VDO period]:[VDO period]],0),1)</f>
        <v>VDO 2022-23 - Final</v>
      </c>
      <c r="E396" s="14" t="s">
        <v>102</v>
      </c>
      <c r="F396" s="58" t="str">
        <f>IF($D396="-","-",INDEX(Inputs!$H$17:$U$17,1,MATCH($D396,Inputs!$H$15:$U$15,0)))</f>
        <v>F-PreviousVDO_Input3</v>
      </c>
      <c r="G396" s="39"/>
      <c r="H396" s="14" t="s">
        <v>138</v>
      </c>
      <c r="I396" s="14" t="s">
        <v>71</v>
      </c>
      <c r="J396" s="39" t="s">
        <v>72</v>
      </c>
      <c r="K396" s="45" cm="1">
        <f t="array" ref="K396">IFERROR(SUM(K395:K395)*(INDEX(Inputs!$H$18:$U$141,MATCH("Retail operating margin",Input_ForRateCalc[[Cost item]:[Cost item]],0),MATCH(Calc_TUV_Net_2[[#This Row],[Decision ref]:[Decision ref]],Inputs!$H$17:$U$17,0))),"-")</f>
        <v>0</v>
      </c>
      <c r="L396" s="45" cm="1">
        <f t="array" ref="L396">IFERROR(SUM(L395:L395)*(INDEX(Inputs!$H$18:$U$141,MATCH("Retail operating margin",Input_ForRateCalc[[Cost item]:[Cost item]],0),MATCH(Calc_TUV_Net_2[[#This Row],[Decision ref]:[Decision ref]],Inputs!$H$17:$U$17,0))),"-")</f>
        <v>0</v>
      </c>
      <c r="M396" s="45" cm="1">
        <f t="array" ref="M396">IFERROR(SUM(M395:M395)*(INDEX(Inputs!$H$18:$U$141,MATCH("Retail operating margin",Input_ForRateCalc[[Cost item]:[Cost item]],0),MATCH(Calc_TUV_Net_2[[#This Row],[Decision ref]:[Decision ref]],Inputs!$H$17:$U$17,0))),"-")</f>
        <v>0</v>
      </c>
      <c r="N396" s="45" cm="1">
        <f t="array" ref="N396">IFERROR(SUM(N395:N395)*(INDEX(Inputs!$H$18:$U$141,MATCH("Retail operating margin",Input_ForRateCalc[[Cost item]:[Cost item]],0),MATCH(Calc_TUV_Net_2[[#This Row],[Decision ref]:[Decision ref]],Inputs!$H$17:$U$17,0))),"-")</f>
        <v>0</v>
      </c>
      <c r="O396" s="45" cm="1">
        <f t="array" ref="O396">IFERROR(SUM(O395:O395)*(INDEX(Inputs!$H$18:$U$141,MATCH("Retail operating margin",Input_ForRateCalc[[Cost item]:[Cost item]],0),MATCH(Calc_TUV_Net_2[[#This Row],[Decision ref]:[Decision ref]],Inputs!$H$17:$U$17,0))),"-")</f>
        <v>0</v>
      </c>
    </row>
    <row r="397" spans="3:15" hidden="1" outlineLevel="1" x14ac:dyDescent="0.25">
      <c r="C397" s="39" t="s">
        <v>421</v>
      </c>
      <c r="D397" s="14"/>
      <c r="E397" s="14"/>
      <c r="F397" s="14"/>
      <c r="G397" s="39"/>
      <c r="H397" s="14" t="s">
        <v>138</v>
      </c>
      <c r="I397" s="14" t="s">
        <v>71</v>
      </c>
      <c r="J397" s="39" t="s">
        <v>72</v>
      </c>
      <c r="K397" s="45" t="str">
        <f>IF(K394=0,"-",SUM(K395:K396)*GST)</f>
        <v>-</v>
      </c>
      <c r="L397" s="45" t="str">
        <f>IF(L394=0,"-",SUM(L395:L396)*GST)</f>
        <v>-</v>
      </c>
      <c r="M397" s="45" t="str">
        <f>IF(M394=0,"-",SUM(M395:M396)*GST)</f>
        <v>-</v>
      </c>
      <c r="N397" s="45" t="str">
        <f>IF(N394=0,"-",SUM(N395:N396)*GST)</f>
        <v>-</v>
      </c>
      <c r="O397" s="45" t="str">
        <f>IF(O394=0,"-",SUM(O395:O396)*GST)</f>
        <v>-</v>
      </c>
    </row>
    <row r="398" spans="3:15" hidden="1" outlineLevel="1" x14ac:dyDescent="0.25">
      <c r="C398" s="14" t="s">
        <v>458</v>
      </c>
      <c r="D398" s="14"/>
      <c r="E398" s="14"/>
      <c r="F398" s="14"/>
      <c r="G398" s="39"/>
      <c r="H398" s="14" t="s">
        <v>138</v>
      </c>
      <c r="I398" s="14" t="s">
        <v>71</v>
      </c>
      <c r="J398" s="39" t="s">
        <v>72</v>
      </c>
      <c r="K398" s="45" t="str">
        <f>IF(K394=0,"-",SUM(K395:K397))</f>
        <v>-</v>
      </c>
      <c r="L398" s="45" t="str">
        <f>IF(L394=0,"-",SUM(L395:L397))</f>
        <v>-</v>
      </c>
      <c r="M398" s="45" t="str">
        <f>IF(M394=0,"-",SUM(M395:M397))</f>
        <v>-</v>
      </c>
      <c r="N398" s="45" t="str">
        <f>IF(N394=0,"-",SUM(N395:N397))</f>
        <v>-</v>
      </c>
      <c r="O398" s="45" t="str">
        <f>IF(O394=0,"-",SUM(O395:O397))</f>
        <v>-</v>
      </c>
    </row>
    <row r="399" spans="3:15" hidden="1" outlineLevel="1" x14ac:dyDescent="0.25">
      <c r="C399" s="39"/>
      <c r="D399" s="39"/>
      <c r="E399" s="39"/>
      <c r="F399" s="39"/>
      <c r="H399" s="39"/>
      <c r="I399" s="14"/>
      <c r="J399" s="14"/>
      <c r="K399" s="87"/>
      <c r="L399" s="87"/>
      <c r="M399" s="87"/>
      <c r="N399" s="87"/>
      <c r="O399" s="87"/>
    </row>
    <row r="400" spans="3:15" hidden="1" outlineLevel="1" x14ac:dyDescent="0.25">
      <c r="C400" s="37" t="s">
        <v>459</v>
      </c>
      <c r="D400" s="39"/>
      <c r="E400" s="39"/>
      <c r="F400" s="39"/>
      <c r="G400" s="47"/>
      <c r="H400" s="39"/>
      <c r="I400" s="14"/>
      <c r="J400" s="14"/>
      <c r="K400" s="87"/>
      <c r="L400" s="87"/>
      <c r="M400" s="87"/>
      <c r="N400" s="87"/>
      <c r="O400" s="87"/>
    </row>
    <row r="401" spans="3:15" hidden="1" outlineLevel="1" x14ac:dyDescent="0.25">
      <c r="C401" s="39" t="s">
        <v>460</v>
      </c>
      <c r="D401" s="58" t="str">
        <f>Calc_TU_values!$D$224</f>
        <v>VDO 2023-24 - Final</v>
      </c>
      <c r="E401" s="14" t="s">
        <v>322</v>
      </c>
      <c r="F401" s="58" t="e">
        <f>INDEX(Inputs!$H$17:$U$17,1,MATCH($D401,Inputs!$H$15:$U$15,0))</f>
        <v>#N/A</v>
      </c>
      <c r="G401" s="39"/>
      <c r="H401" s="14" t="s">
        <v>184</v>
      </c>
      <c r="I401" s="14" t="s">
        <v>225</v>
      </c>
      <c r="J401" s="39" t="s">
        <v>72</v>
      </c>
      <c r="K401" s="45" t="str" cm="1">
        <f t="array" ref="K401">IFERROR(INDEX(Input_ForRateCalc[],MATCH($C401&amp;" - "&amp;K$320,Input_ForRateCalc[[Cost item]:[Cost item]],0),MATCH(Calc_TUV_Net_2[[#This Row],[Decision ref]:[Decision ref]],Input_ForRateCalc[#Headers],0)),"-")</f>
        <v>-</v>
      </c>
      <c r="L401" s="45" t="str" cm="1">
        <f t="array" ref="L401">IFERROR(INDEX(Input_ForRateCalc[],MATCH($C401&amp;" - "&amp;L$320,Input_ForRateCalc[[Cost item]:[Cost item]],0),MATCH(Calc_TUV_Net_2[[#This Row],[Decision ref]:[Decision ref]],Input_ForRateCalc[#Headers],0)),"-")</f>
        <v>-</v>
      </c>
      <c r="M401" s="45" t="str" cm="1">
        <f t="array" ref="M401">IFERROR(INDEX(Input_ForRateCalc[],MATCH($C401&amp;" - "&amp;M$320,Input_ForRateCalc[[Cost item]:[Cost item]],0),MATCH(Calc_TUV_Net_2[[#This Row],[Decision ref]:[Decision ref]],Input_ForRateCalc[#Headers],0)),"-")</f>
        <v>-</v>
      </c>
      <c r="N401" s="45" t="str" cm="1">
        <f t="array" ref="N401">IFERROR(INDEX(Input_ForRateCalc[],MATCH($C401&amp;" - "&amp;N$320,Input_ForRateCalc[[Cost item]:[Cost item]],0),MATCH(Calc_TUV_Net_2[[#This Row],[Decision ref]:[Decision ref]],Input_ForRateCalc[#Headers],0)),"-")</f>
        <v>-</v>
      </c>
      <c r="O401" s="45" t="str" cm="1">
        <f t="array" ref="O401">IFERROR(INDEX(Input_ForRateCalc[],MATCH($C401&amp;" - "&amp;O$320,Input_ForRateCalc[[Cost item]:[Cost item]],0),MATCH(Calc_TUV_Net_2[[#This Row],[Decision ref]:[Decision ref]],Input_ForRateCalc[#Headers],0)),"-")</f>
        <v>-</v>
      </c>
    </row>
    <row r="402" spans="3:15" hidden="1" outlineLevel="1" x14ac:dyDescent="0.25">
      <c r="C402" s="39" t="s">
        <v>461</v>
      </c>
      <c r="D402" s="58" t="str">
        <f>Calc_TU_values!$D$224</f>
        <v>VDO 2023-24 - Final</v>
      </c>
      <c r="E402" s="14" t="s">
        <v>322</v>
      </c>
      <c r="F402" s="58" t="e">
        <f>INDEX(Inputs!$H$17:$U$17,1,MATCH($D402,Inputs!$H$15:$U$15,0))</f>
        <v>#N/A</v>
      </c>
      <c r="G402" s="47"/>
      <c r="H402" s="14" t="s">
        <v>184</v>
      </c>
      <c r="I402" s="14" t="s">
        <v>225</v>
      </c>
      <c r="J402" s="39" t="s">
        <v>72</v>
      </c>
      <c r="K402" s="45" t="str" cm="1">
        <f t="array" ref="K402">IFERROR(INDEX(Input_ForRateCalc[],MATCH($C402&amp;" - "&amp;K$320,Input_ForRateCalc[[Cost item]:[Cost item]],0),MATCH(Calc_TUV_Net_2[[#This Row],[Decision ref]:[Decision ref]],Input_ForRateCalc[#Headers],0)),"-")</f>
        <v>-</v>
      </c>
      <c r="L402" s="45" t="str" cm="1">
        <f t="array" ref="L402">IFERROR(INDEX(Input_ForRateCalc[],MATCH($C402&amp;" - "&amp;L$320,Input_ForRateCalc[[Cost item]:[Cost item]],0),MATCH(Calc_TUV_Net_2[[#This Row],[Decision ref]:[Decision ref]],Input_ForRateCalc[#Headers],0)),"-")</f>
        <v>-</v>
      </c>
      <c r="M402" s="45" t="str" cm="1">
        <f t="array" ref="M402">IFERROR(INDEX(Input_ForRateCalc[],MATCH($C402&amp;" - "&amp;M$320,Input_ForRateCalc[[Cost item]:[Cost item]],0),MATCH(Calc_TUV_Net_2[[#This Row],[Decision ref]:[Decision ref]],Input_ForRateCalc[#Headers],0)),"-")</f>
        <v>-</v>
      </c>
      <c r="N402" s="45" t="str" cm="1">
        <f t="array" ref="N402">IFERROR(INDEX(Input_ForRateCalc[],MATCH($C402&amp;" - "&amp;N$320,Input_ForRateCalc[[Cost item]:[Cost item]],0),MATCH(Calc_TUV_Net_2[[#This Row],[Decision ref]:[Decision ref]],Input_ForRateCalc[#Headers],0)),"-")</f>
        <v>-</v>
      </c>
      <c r="O402" s="45" t="str" cm="1">
        <f t="array" ref="O402">IFERROR(INDEX(Input_ForRateCalc[],MATCH($C402&amp;" - "&amp;O$320,Input_ForRateCalc[[Cost item]:[Cost item]],0),MATCH(Calc_TUV_Net_2[[#This Row],[Decision ref]:[Decision ref]],Input_ForRateCalc[#Headers],0)),"-")</f>
        <v>-</v>
      </c>
    </row>
    <row r="403" spans="3:15" hidden="1" outlineLevel="1" x14ac:dyDescent="0.25">
      <c r="C403" s="39" t="s">
        <v>417</v>
      </c>
      <c r="D403" s="58" t="str">
        <f>Calc_TU_values!$D$224</f>
        <v>VDO 2023-24 - Final</v>
      </c>
      <c r="E403" s="14" t="s">
        <v>322</v>
      </c>
      <c r="F403" s="58" t="e">
        <f>INDEX(Inputs!$H$17:$U$17,1,MATCH($D403,Inputs!$H$15:$U$15,0))</f>
        <v>#N/A</v>
      </c>
      <c r="G403" s="38"/>
      <c r="H403" s="14" t="s">
        <v>184</v>
      </c>
      <c r="I403" s="14" t="s">
        <v>225</v>
      </c>
      <c r="J403" s="39" t="s">
        <v>72</v>
      </c>
      <c r="K403" s="46">
        <f>SUMIFS(TUNet_Usage_Actual_2[Value],TUNet_Usage_Actual_2[Customer type],Calc_TUV_Net_2[[#This Row],[Customer type]],TUNet_Usage_Actual_2[Description],"Usage per customer")*SUM(
IFERROR(K401/100*SUMIFS(#REF!,#REF!,Calc_TUV_Net_2[[#This Row],[Customer type]],#REF!,"Peak"),0),
IFERROR(K402/100*SUMIFS(#REF!,#REF!,Calc_TUV_Net_2[[#This Row],[Customer type]],#REF!,"Off peak"),0))</f>
        <v>0</v>
      </c>
      <c r="L403" s="46">
        <f>SUMIFS(TUNet_Usage_Actual_2[Value],TUNet_Usage_Actual_2[Customer type],Calc_TUV_Net_2[[#This Row],[Customer type]],TUNet_Usage_Actual_2[Description],"Usage per customer")*SUM(
IFERROR(L401/100*SUMIFS(#REF!,#REF!,Calc_TUV_Net_2[[#This Row],[Customer type]],#REF!,"Peak"),0),
IFERROR(L402/100*SUMIFS(#REF!,#REF!,Calc_TUV_Net_2[[#This Row],[Customer type]],#REF!,"Off peak"),0))</f>
        <v>0</v>
      </c>
      <c r="M403" s="46">
        <f>SUMIFS(TUNet_Usage_Actual_2[Value],TUNet_Usage_Actual_2[Customer type],Calc_TUV_Net_2[[#This Row],[Customer type]],TUNet_Usage_Actual_2[Description],"Usage per customer")*SUM(
IFERROR(M401/100*SUMIFS(#REF!,#REF!,Calc_TUV_Net_2[[#This Row],[Customer type]],#REF!,"Peak"),0),
IFERROR(M402/100*SUMIFS(#REF!,#REF!,Calc_TUV_Net_2[[#This Row],[Customer type]],#REF!,"Off peak"),0))</f>
        <v>0</v>
      </c>
      <c r="N403" s="46">
        <f>SUMIFS(TUNet_Usage_Actual_2[Value],TUNet_Usage_Actual_2[Customer type],Calc_TUV_Net_2[[#This Row],[Customer type]],TUNet_Usage_Actual_2[Description],"Usage per customer")*SUM(
IFERROR(N401/100*SUMIFS(#REF!,#REF!,Calc_TUV_Net_2[[#This Row],[Customer type]],#REF!,"Peak"),0),
IFERROR(N402/100*SUMIFS(#REF!,#REF!,Calc_TUV_Net_2[[#This Row],[Customer type]],#REF!,"Off peak"),0))</f>
        <v>0</v>
      </c>
      <c r="O403" s="46">
        <f>SUMIFS(TUNet_Usage_Actual_2[Value],TUNet_Usage_Actual_2[Customer type],Calc_TUV_Net_2[[#This Row],[Customer type]],TUNet_Usage_Actual_2[Description],"Usage per customer")*SUM(
IFERROR(O401/100*SUMIFS(#REF!,#REF!,Calc_TUV_Net_2[[#This Row],[Customer type]],#REF!,"Peak"),0),
IFERROR(O402/100*SUMIFS(#REF!,#REF!,Calc_TUV_Net_2[[#This Row],[Customer type]],#REF!,"Off peak"),0))</f>
        <v>0</v>
      </c>
    </row>
    <row r="404" spans="3:15" hidden="1" outlineLevel="1" x14ac:dyDescent="0.25">
      <c r="C404" s="39" t="s">
        <v>443</v>
      </c>
      <c r="D404" s="58" t="str">
        <f>INDEX(Input_DecisionActual[[Decision]:[Decision]],MATCH(Calc_TU_values!$D$224,Input_DecisionActual[[VDO period]:[VDO period]],0),1)</f>
        <v>VDO 2022-23 - Final</v>
      </c>
      <c r="E404" s="14" t="s">
        <v>102</v>
      </c>
      <c r="F404" s="58" t="str">
        <f>IF($D404="-","-",INDEX(Inputs!$H$17:$U$17,1,MATCH($D404,Inputs!$H$15:$U$15,0)))</f>
        <v>F-PreviousVDO_Input3</v>
      </c>
      <c r="G404" s="38"/>
      <c r="H404" s="14" t="s">
        <v>184</v>
      </c>
      <c r="I404" s="14" t="s">
        <v>71</v>
      </c>
      <c r="J404" s="39" t="s">
        <v>72</v>
      </c>
      <c r="K404" s="45" cm="1">
        <f t="array" ref="K404">IFERROR(INDEX(Input_ForRateCalc[],MATCH($C404&amp;" - "&amp;K$320,Input_ForRateCalc[[Cost item]:[Cost item]],0),MATCH(Calc_TUV_Net_2[[#This Row],[Decision ref]:[Decision ref]],Input_ForRateCalc[#Headers],0)),"-")</f>
        <v>12.7212</v>
      </c>
      <c r="L404" s="45" t="str" cm="1">
        <f t="array" ref="L404">IFERROR(INDEX(Input_ForRateCalc[],MATCH($C404&amp;" - "&amp;L$320,Input_ForRateCalc[[Cost item]:[Cost item]],0),MATCH(Calc_TUV_Net_2[[#This Row],[Decision ref]:[Decision ref]],Input_ForRateCalc[#Headers],0)),"-")</f>
        <v>-</v>
      </c>
      <c r="M404" s="45" t="str" cm="1">
        <f t="array" ref="M404">IFERROR(INDEX(Input_ForRateCalc[],MATCH($C404&amp;" - "&amp;M$320,Input_ForRateCalc[[Cost item]:[Cost item]],0),MATCH(Calc_TUV_Net_2[[#This Row],[Decision ref]:[Decision ref]],Input_ForRateCalc[#Headers],0)),"-")</f>
        <v>-</v>
      </c>
      <c r="N404" s="45" t="str" cm="1">
        <f t="array" ref="N404">IFERROR(INDEX(Input_ForRateCalc[],MATCH($C404&amp;" - "&amp;N$320,Input_ForRateCalc[[Cost item]:[Cost item]],0),MATCH(Calc_TUV_Net_2[[#This Row],[Decision ref]:[Decision ref]],Input_ForRateCalc[#Headers],0)),"-")</f>
        <v>-</v>
      </c>
      <c r="O404" s="45" t="str" cm="1">
        <f t="array" ref="O404">IFERROR(INDEX(Input_ForRateCalc[],MATCH($C404&amp;" - "&amp;O$320,Input_ForRateCalc[[Cost item]:[Cost item]],0),MATCH(Calc_TUV_Net_2[[#This Row],[Decision ref]:[Decision ref]],Input_ForRateCalc[#Headers],0)),"-")</f>
        <v>-</v>
      </c>
    </row>
    <row r="405" spans="3:15" hidden="1" outlineLevel="1" x14ac:dyDescent="0.25">
      <c r="C405" s="39" t="s">
        <v>444</v>
      </c>
      <c r="D405" s="58" t="str">
        <f>INDEX(Input_DecisionActual[[Decision]:[Decision]],MATCH(Calc_TU_values!$D$224,Input_DecisionActual[[VDO period]:[VDO period]],0),1)</f>
        <v>VDO 2022-23 - Final</v>
      </c>
      <c r="E405" s="14" t="s">
        <v>102</v>
      </c>
      <c r="F405" s="58" t="str">
        <f>IF($D405="-","-",INDEX(Inputs!$H$17:$U$17,1,MATCH($D405,Inputs!$H$15:$U$15,0)))</f>
        <v>F-PreviousVDO_Input3</v>
      </c>
      <c r="G405" s="38"/>
      <c r="H405" s="14" t="s">
        <v>184</v>
      </c>
      <c r="I405" s="14" t="s">
        <v>225</v>
      </c>
      <c r="J405" s="39" t="s">
        <v>72</v>
      </c>
      <c r="K405" s="45" cm="1">
        <f t="array" ref="K405">IFERROR(INDEX(Input_ForRateCalc[],MATCH($C405&amp;" - "&amp;K$320,Input_ForRateCalc[[Cost item]:[Cost item]],0),MATCH(Calc_TUV_Net_2[[#This Row],[Decision ref]:[Decision ref]],Input_ForRateCalc[#Headers],0)),"-")</f>
        <v>14.2392</v>
      </c>
      <c r="L405" s="45" t="str" cm="1">
        <f t="array" ref="L405">IFERROR(INDEX(Input_ForRateCalc[],MATCH($C405&amp;" - "&amp;L$320,Input_ForRateCalc[[Cost item]:[Cost item]],0),MATCH(Calc_TUV_Net_2[[#This Row],[Decision ref]:[Decision ref]],Input_ForRateCalc[#Headers],0)),"-")</f>
        <v>-</v>
      </c>
      <c r="M405" s="45" t="str" cm="1">
        <f t="array" ref="M405">IFERROR(INDEX(Input_ForRateCalc[],MATCH($C405&amp;" - "&amp;M$320,Input_ForRateCalc[[Cost item]:[Cost item]],0),MATCH(Calc_TUV_Net_2[[#This Row],[Decision ref]:[Decision ref]],Input_ForRateCalc[#Headers],0)),"-")</f>
        <v>-</v>
      </c>
      <c r="N405" s="45" t="str" cm="1">
        <f t="array" ref="N405">IFERROR(INDEX(Input_ForRateCalc[],MATCH($C405&amp;" - "&amp;N$320,Input_ForRateCalc[[Cost item]:[Cost item]],0),MATCH(Calc_TUV_Net_2[[#This Row],[Decision ref]:[Decision ref]],Input_ForRateCalc[#Headers],0)),"-")</f>
        <v>-</v>
      </c>
      <c r="O405" s="45" t="str" cm="1">
        <f t="array" ref="O405">IFERROR(INDEX(Input_ForRateCalc[],MATCH($C405&amp;" - "&amp;O$320,Input_ForRateCalc[[Cost item]:[Cost item]],0),MATCH(Calc_TUV_Net_2[[#This Row],[Decision ref]:[Decision ref]],Input_ForRateCalc[#Headers],0)),"-")</f>
        <v>-</v>
      </c>
    </row>
    <row r="406" spans="3:15" hidden="1" outlineLevel="1" x14ac:dyDescent="0.25">
      <c r="C406" s="39" t="s">
        <v>445</v>
      </c>
      <c r="D406" s="58" t="str">
        <f>INDEX(Input_DecisionActual[[Decision]:[Decision]],MATCH(Calc_TU_values!$D$224,Input_DecisionActual[[VDO period]:[VDO period]],0),1)</f>
        <v>VDO 2022-23 - Final</v>
      </c>
      <c r="E406" s="14" t="s">
        <v>102</v>
      </c>
      <c r="F406" s="58" t="str">
        <f>IF($D406="-","-",INDEX(Inputs!$H$17:$U$17,1,MATCH($D406,Inputs!$H$15:$U$15,0)))</f>
        <v>F-PreviousVDO_Input3</v>
      </c>
      <c r="G406" s="38"/>
      <c r="H406" s="14" t="s">
        <v>184</v>
      </c>
      <c r="I406" s="14" t="s">
        <v>225</v>
      </c>
      <c r="J406" s="39" t="s">
        <v>72</v>
      </c>
      <c r="K406" s="45" t="str" cm="1">
        <f t="array" ref="K406">IFERROR(INDEX(Input_ForRateCalc[],MATCH($C406&amp;" - "&amp;K$320,Input_ForRateCalc[[Cost item]:[Cost item]],0),MATCH(Calc_TUV_Net_2[[#This Row],[Decision ref]:[Decision ref]],Input_ForRateCalc[#Headers],0)),"-")</f>
        <v>-</v>
      </c>
      <c r="L406" s="45" cm="1">
        <f t="array" ref="L406">IFERROR(INDEX(Input_ForRateCalc[],MATCH($C406&amp;" - "&amp;L$320,Input_ForRateCalc[[Cost item]:[Cost item]],0),MATCH(Calc_TUV_Net_2[[#This Row],[Decision ref]:[Decision ref]],Input_ForRateCalc[#Headers],0)),"-")</f>
        <v>7.4</v>
      </c>
      <c r="M406" s="45" cm="1">
        <f t="array" ref="M406">IFERROR(INDEX(Input_ForRateCalc[],MATCH($C406&amp;" - "&amp;M$320,Input_ForRateCalc[[Cost item]:[Cost item]],0),MATCH(Calc_TUV_Net_2[[#This Row],[Decision ref]:[Decision ref]],Input_ForRateCalc[#Headers],0)),"-")</f>
        <v>8.2509999999999994</v>
      </c>
      <c r="N406" s="45" cm="1">
        <f t="array" ref="N406">IFERROR(INDEX(Input_ForRateCalc[],MATCH($C406&amp;" - "&amp;N$320,Input_ForRateCalc[[Cost item]:[Cost item]],0),MATCH(Calc_TUV_Net_2[[#This Row],[Decision ref]:[Decision ref]],Input_ForRateCalc[#Headers],0)),"-")</f>
        <v>8.15</v>
      </c>
      <c r="O406" s="45" cm="1">
        <f t="array" ref="O406">IFERROR(INDEX(Input_ForRateCalc[],MATCH($C406&amp;" - "&amp;O$320,Input_ForRateCalc[[Cost item]:[Cost item]],0),MATCH(Calc_TUV_Net_2[[#This Row],[Decision ref]:[Decision ref]],Input_ForRateCalc[#Headers],0)),"-")</f>
        <v>8.3000000000000007</v>
      </c>
    </row>
    <row r="407" spans="3:15" hidden="1" outlineLevel="1" x14ac:dyDescent="0.25">
      <c r="C407" s="39" t="s">
        <v>417</v>
      </c>
      <c r="D407" s="58" t="str">
        <f>INDEX(Input_DecisionActual[[Decision]:[Decision]],MATCH(Calc_TU_values!$D$224,Input_DecisionActual[[VDO period]:[VDO period]],0),1)</f>
        <v>VDO 2022-23 - Final</v>
      </c>
      <c r="E407" s="14" t="s">
        <v>102</v>
      </c>
      <c r="F407" s="58" t="str">
        <f>IF($D407="-","-",INDEX(Inputs!$H$17:$U$17,1,MATCH($D407,Inputs!$H$15:$U$15,0)))</f>
        <v>F-PreviousVDO_Input3</v>
      </c>
      <c r="G407" s="38"/>
      <c r="H407" s="14" t="s">
        <v>184</v>
      </c>
      <c r="I407" s="14" t="s">
        <v>225</v>
      </c>
      <c r="J407" s="39" t="s">
        <v>72</v>
      </c>
      <c r="K407" s="46">
        <f>SUM(
IFERROR(K404/100*SUMIFS(INDEX(TUNet_Usage_PerRate_2[],0,MATCH(K$320,TUNet_Usage_PerRate_2[#Headers],0)),TUNet_Usage_PerRate_2[Customer type],Calc_TUV_Net_2[[#This Row],[Customer type]],TUNet_Usage_PerRate_2[Description],"Usage per customer - Block 1"),0),
IFERROR(K405/100*SUMIFS(INDEX(TUNet_Usage_PerRate_2[],0,MATCH(K$320,TUNet_Usage_PerRate_2[#Headers],0)),TUNet_Usage_PerRate_2[Customer type],Calc_TUV_Net_2[[#This Row],[Customer type]],TUNet_Usage_PerRate_2[Description],"Usage per customer - Balance"),0),
IFERROR(K406/100*SUMIFS(INDEX(TUNet_Usage_PerRate_2[],0,MATCH(K$320,TUNet_Usage_PerRate_2[#Headers],0)),TUNet_Usage_PerRate_2[Customer type],Calc_TUV_Net_2[[#This Row],[Customer type]],TUNet_Usage_PerRate_2[Description],"Usage per customer - Single rate"),0))</f>
        <v>0</v>
      </c>
      <c r="L407" s="46">
        <f>SUM(
IFERROR(L404/100*SUMIFS(INDEX(TUNet_Usage_PerRate_2[],0,MATCH(L$320,TUNet_Usage_PerRate_2[#Headers],0)),TUNet_Usage_PerRate_2[Customer type],Calc_TUV_Net_2[[#This Row],[Customer type]],TUNet_Usage_PerRate_2[Description],"Usage per customer - Block 1"),0),
IFERROR(L405/100*SUMIFS(INDEX(TUNet_Usage_PerRate_2[],0,MATCH(L$320,TUNet_Usage_PerRate_2[#Headers],0)),TUNet_Usage_PerRate_2[Customer type],Calc_TUV_Net_2[[#This Row],[Customer type]],TUNet_Usage_PerRate_2[Description],"Usage per customer - Balance"),0),
IFERROR(L406/100*SUMIFS(INDEX(TUNet_Usage_PerRate_2[],0,MATCH(L$320,TUNet_Usage_PerRate_2[#Headers],0)),TUNet_Usage_PerRate_2[Customer type],Calc_TUV_Net_2[[#This Row],[Customer type]],TUNet_Usage_PerRate_2[Description],"Usage per customer - Single rate"),0))</f>
        <v>0</v>
      </c>
      <c r="M407" s="46">
        <f>SUM(
IFERROR(M404/100*SUMIFS(INDEX(TUNet_Usage_PerRate_2[],0,MATCH(M$320,TUNet_Usage_PerRate_2[#Headers],0)),TUNet_Usage_PerRate_2[Customer type],Calc_TUV_Net_2[[#This Row],[Customer type]],TUNet_Usage_PerRate_2[Description],"Usage per customer - Block 1"),0),
IFERROR(M405/100*SUMIFS(INDEX(TUNet_Usage_PerRate_2[],0,MATCH(M$320,TUNet_Usage_PerRate_2[#Headers],0)),TUNet_Usage_PerRate_2[Customer type],Calc_TUV_Net_2[[#This Row],[Customer type]],TUNet_Usage_PerRate_2[Description],"Usage per customer - Balance"),0),
IFERROR(M406/100*SUMIFS(INDEX(TUNet_Usage_PerRate_2[],0,MATCH(M$320,TUNet_Usage_PerRate_2[#Headers],0)),TUNet_Usage_PerRate_2[Customer type],Calc_TUV_Net_2[[#This Row],[Customer type]],TUNet_Usage_PerRate_2[Description],"Usage per customer - Single rate"),0))</f>
        <v>0</v>
      </c>
      <c r="N407" s="46">
        <f>SUM(
IFERROR(N404/100*SUMIFS(INDEX(TUNet_Usage_PerRate_2[],0,MATCH(N$320,TUNet_Usage_PerRate_2[#Headers],0)),TUNet_Usage_PerRate_2[Customer type],Calc_TUV_Net_2[[#This Row],[Customer type]],TUNet_Usage_PerRate_2[Description],"Usage per customer - Block 1"),0),
IFERROR(N405/100*SUMIFS(INDEX(TUNet_Usage_PerRate_2[],0,MATCH(N$320,TUNet_Usage_PerRate_2[#Headers],0)),TUNet_Usage_PerRate_2[Customer type],Calc_TUV_Net_2[[#This Row],[Customer type]],TUNet_Usage_PerRate_2[Description],"Usage per customer - Balance"),0),
IFERROR(N406/100*SUMIFS(INDEX(TUNet_Usage_PerRate_2[],0,MATCH(N$320,TUNet_Usage_PerRate_2[#Headers],0)),TUNet_Usage_PerRate_2[Customer type],Calc_TUV_Net_2[[#This Row],[Customer type]],TUNet_Usage_PerRate_2[Description],"Usage per customer - Single rate"),0))</f>
        <v>0</v>
      </c>
      <c r="O407" s="46">
        <f>SUM(
IFERROR(O404/100*SUMIFS(INDEX(TUNet_Usage_PerRate_2[],0,MATCH(O$320,TUNet_Usage_PerRate_2[#Headers],0)),TUNet_Usage_PerRate_2[Customer type],Calc_TUV_Net_2[[#This Row],[Customer type]],TUNet_Usage_PerRate_2[Description],"Usage per customer - Block 1"),0),
IFERROR(O405/100*SUMIFS(INDEX(TUNet_Usage_PerRate_2[],0,MATCH(O$320,TUNet_Usage_PerRate_2[#Headers],0)),TUNet_Usage_PerRate_2[Customer type],Calc_TUV_Net_2[[#This Row],[Customer type]],TUNet_Usage_PerRate_2[Description],"Usage per customer - Balance"),0),
IFERROR(O406/100*SUMIFS(INDEX(TUNet_Usage_PerRate_2[],0,MATCH(O$320,TUNet_Usage_PerRate_2[#Headers],0)),TUNet_Usage_PerRate_2[Customer type],Calc_TUV_Net_2[[#This Row],[Customer type]],TUNet_Usage_PerRate_2[Description],"Usage per customer - Single rate"),0))</f>
        <v>0</v>
      </c>
    </row>
    <row r="408" spans="3:15" hidden="1" outlineLevel="1" x14ac:dyDescent="0.25">
      <c r="C408" s="39" t="s">
        <v>418</v>
      </c>
      <c r="D408" s="39"/>
      <c r="E408" s="39"/>
      <c r="F408" s="39"/>
      <c r="G408" s="39"/>
      <c r="H408" s="14" t="s">
        <v>184</v>
      </c>
      <c r="I408" s="14" t="s">
        <v>71</v>
      </c>
      <c r="J408" s="39" t="s">
        <v>72</v>
      </c>
      <c r="K408" s="44" t="str">
        <f>IF(K407=0,"-",K403-K407)</f>
        <v>-</v>
      </c>
      <c r="L408" s="44" t="str">
        <f>IF(L407=0,"-",L403-L407)</f>
        <v>-</v>
      </c>
      <c r="M408" s="44" t="str">
        <f>IF(M407=0,"-",M403-M407)</f>
        <v>-</v>
      </c>
      <c r="N408" s="44" t="str">
        <f>IF(N407=0,"-",N403-N407)</f>
        <v>-</v>
      </c>
      <c r="O408" s="44" t="str">
        <f>IF(O407=0,"-",O403-O407)</f>
        <v>-</v>
      </c>
    </row>
    <row r="409" spans="3:15" hidden="1" outlineLevel="1" x14ac:dyDescent="0.25">
      <c r="C409" s="39" t="s">
        <v>420</v>
      </c>
      <c r="D409" s="58" t="str">
        <f>INDEX(Input_DecisionActual[[Decision]:[Decision]],MATCH(Calc_TU_values!$D$224,Input_DecisionActual[[VDO period]:[VDO period]],0),1)</f>
        <v>VDO 2022-23 - Final</v>
      </c>
      <c r="E409" s="14" t="s">
        <v>102</v>
      </c>
      <c r="F409" s="58" t="str">
        <f>IF($D409="-","-",INDEX(Inputs!$H$17:$U$17,1,MATCH($D409,Inputs!$H$15:$U$15,0)))</f>
        <v>F-PreviousVDO_Input3</v>
      </c>
      <c r="G409" s="39"/>
      <c r="H409" s="14" t="s">
        <v>184</v>
      </c>
      <c r="I409" s="14" t="s">
        <v>71</v>
      </c>
      <c r="J409" s="39" t="s">
        <v>72</v>
      </c>
      <c r="K409" s="45" cm="1">
        <f t="array" ref="K409">IFERROR(SUM(K408:K408)*(INDEX(Inputs!$H$18:$U$141,MATCH("Retail operating margin",Input_ForRateCalc[[Cost item]:[Cost item]],0),MATCH(Calc_TUV_Net_2[[#This Row],[Decision ref]:[Decision ref]],Inputs!$H$17:$U$17,0))),"-")</f>
        <v>0</v>
      </c>
      <c r="L409" s="45" cm="1">
        <f t="array" ref="L409">IFERROR(SUM(L408:L408)*(INDEX(Inputs!$H$18:$U$141,MATCH("Retail operating margin",Input_ForRateCalc[[Cost item]:[Cost item]],0),MATCH(Calc_TUV_Net_2[[#This Row],[Decision ref]:[Decision ref]],Inputs!$H$17:$U$17,0))),"-")</f>
        <v>0</v>
      </c>
      <c r="M409" s="45" cm="1">
        <f t="array" ref="M409">IFERROR(SUM(M408:M408)*(INDEX(Inputs!$H$18:$U$141,MATCH("Retail operating margin",Input_ForRateCalc[[Cost item]:[Cost item]],0),MATCH(Calc_TUV_Net_2[[#This Row],[Decision ref]:[Decision ref]],Inputs!$H$17:$U$17,0))),"-")</f>
        <v>0</v>
      </c>
      <c r="N409" s="45" cm="1">
        <f t="array" ref="N409">IFERROR(SUM(N408:N408)*(INDEX(Inputs!$H$18:$U$141,MATCH("Retail operating margin",Input_ForRateCalc[[Cost item]:[Cost item]],0),MATCH(Calc_TUV_Net_2[[#This Row],[Decision ref]:[Decision ref]],Inputs!$H$17:$U$17,0))),"-")</f>
        <v>0</v>
      </c>
      <c r="O409" s="45" cm="1">
        <f t="array" ref="O409">IFERROR(SUM(O408:O408)*(INDEX(Inputs!$H$18:$U$141,MATCH("Retail operating margin",Input_ForRateCalc[[Cost item]:[Cost item]],0),MATCH(Calc_TUV_Net_2[[#This Row],[Decision ref]:[Decision ref]],Inputs!$H$17:$U$17,0))),"-")</f>
        <v>0</v>
      </c>
    </row>
    <row r="410" spans="3:15" hidden="1" outlineLevel="1" x14ac:dyDescent="0.25">
      <c r="C410" s="39" t="s">
        <v>421</v>
      </c>
      <c r="D410" s="39"/>
      <c r="E410" s="39"/>
      <c r="F410" s="39"/>
      <c r="G410" s="39"/>
      <c r="H410" s="14" t="s">
        <v>184</v>
      </c>
      <c r="I410" s="14" t="s">
        <v>71</v>
      </c>
      <c r="J410" s="39" t="s">
        <v>72</v>
      </c>
      <c r="K410" s="45" t="str">
        <f>IF(K407=0,"-",SUM(K408:K409)*GST)</f>
        <v>-</v>
      </c>
      <c r="L410" s="45" t="str">
        <f>IF(L407=0,"-",SUM(L408:L409)*GST)</f>
        <v>-</v>
      </c>
      <c r="M410" s="45" t="str">
        <f>IF(M407=0,"-",SUM(M408:M409)*GST)</f>
        <v>-</v>
      </c>
      <c r="N410" s="45" t="str">
        <f>IF(N407=0,"-",SUM(N408:N409)*GST)</f>
        <v>-</v>
      </c>
      <c r="O410" s="45" t="str">
        <f>IF(O407=0,"-",SUM(O408:O409)*GST)</f>
        <v>-</v>
      </c>
    </row>
    <row r="411" spans="3:15" hidden="1" outlineLevel="1" x14ac:dyDescent="0.25">
      <c r="C411" s="14" t="s">
        <v>462</v>
      </c>
      <c r="D411" s="39"/>
      <c r="E411" s="39"/>
      <c r="F411" s="39"/>
      <c r="H411" s="14" t="s">
        <v>184</v>
      </c>
      <c r="I411" s="14" t="s">
        <v>71</v>
      </c>
      <c r="J411" s="39" t="s">
        <v>72</v>
      </c>
      <c r="K411" s="45" t="str">
        <f>IF(K407=0,"-",SUM(K408:K410))</f>
        <v>-</v>
      </c>
      <c r="L411" s="45" t="str">
        <f>IF(L407=0,"-",SUM(L408:L410))</f>
        <v>-</v>
      </c>
      <c r="M411" s="45" t="str">
        <f>IF(M407=0,"-",SUM(M408:M410))</f>
        <v>-</v>
      </c>
      <c r="N411" s="45" t="str">
        <f>IF(N407=0,"-",SUM(N408:N410))</f>
        <v>-</v>
      </c>
      <c r="O411" s="45" t="str">
        <f>IF(O407=0,"-",SUM(O408:O410))</f>
        <v>-</v>
      </c>
    </row>
    <row r="412" spans="3:15" hidden="1" outlineLevel="1" x14ac:dyDescent="0.25">
      <c r="C412" s="39"/>
      <c r="D412" s="39"/>
      <c r="E412" s="39"/>
      <c r="F412" s="39"/>
      <c r="G412" s="39"/>
      <c r="H412" s="14"/>
      <c r="I412" s="14"/>
      <c r="J412" s="39"/>
      <c r="K412" s="45"/>
      <c r="L412" s="45"/>
      <c r="M412" s="45"/>
      <c r="N412" s="45"/>
      <c r="O412" s="45"/>
    </row>
    <row r="413" spans="3:15" ht="15.75" hidden="1" outlineLevel="1" x14ac:dyDescent="0.25">
      <c r="C413" s="1" t="s">
        <v>319</v>
      </c>
      <c r="D413" s="39"/>
      <c r="E413" s="39"/>
      <c r="F413" s="39"/>
      <c r="G413" s="28" t="str">
        <f>INDEX(Input_TU_YesNo[],MATCH(Calc_TUV_Net_2[[#This Row],[Cost item]],Input_TU_YesNo[Component],0),MATCH($D$224,Inputs!$C$210:$BM$210,0))</f>
        <v>No</v>
      </c>
      <c r="H413" s="39"/>
      <c r="I413" s="14"/>
      <c r="J413" s="14"/>
      <c r="K413" s="44"/>
      <c r="L413" s="14"/>
      <c r="M413" s="14"/>
      <c r="N413" s="14"/>
      <c r="O413" s="14"/>
    </row>
    <row r="414" spans="3:15" hidden="1" outlineLevel="1" x14ac:dyDescent="0.25">
      <c r="C414" s="37" t="s">
        <v>463</v>
      </c>
      <c r="D414" s="37"/>
      <c r="E414" s="37"/>
      <c r="F414" s="37"/>
      <c r="G414" s="47"/>
      <c r="H414" s="47"/>
      <c r="I414" s="14"/>
      <c r="J414" s="14"/>
      <c r="K414" s="44"/>
      <c r="L414" s="14"/>
      <c r="M414" s="14"/>
      <c r="N414" s="14"/>
      <c r="O414" s="14"/>
    </row>
    <row r="415" spans="3:15" hidden="1" outlineLevel="1" x14ac:dyDescent="0.25">
      <c r="C415" s="39" t="s">
        <v>464</v>
      </c>
      <c r="D415" s="58" t="str">
        <f>Calc_TU_values!$D$224</f>
        <v>VDO 2023-24 - Final</v>
      </c>
      <c r="E415" s="14" t="s">
        <v>322</v>
      </c>
      <c r="F415" s="58" t="e">
        <f>INDEX(Inputs!$H$17:$U$17,1,MATCH($D415,Inputs!$H$15:$U$15,0))</f>
        <v>#N/A</v>
      </c>
      <c r="G415" s="38"/>
      <c r="H415" s="14" t="s">
        <v>138</v>
      </c>
      <c r="I415" s="14" t="s">
        <v>71</v>
      </c>
      <c r="J415" s="39" t="s">
        <v>73</v>
      </c>
      <c r="K415" s="45" t="str" cm="1">
        <f t="array" ref="K415">IFERROR(INDEX(Input_ForRateCalc[],MATCH($C415&amp;" - "&amp;K$320,Input_ForRateCalc[[Cost item]:[Cost item]],0),MATCH(Calc_TUV_Net_2[[#This Row],[Decision ref]:[Decision ref]],Input_ForRateCalc[#Headers],0))*TUProp_Days_2,"-")</f>
        <v>-</v>
      </c>
      <c r="L415" s="45" t="str" cm="1">
        <f t="array" ref="L415">IFERROR(INDEX(Input_ForRateCalc[],MATCH($C415&amp;" - "&amp;L$320,Input_ForRateCalc[[Cost item]:[Cost item]],0),MATCH(Calc_TUV_Net_2[[#This Row],[Decision ref]:[Decision ref]],Input_ForRateCalc[#Headers],0))*TUProp_Days_2,"-")</f>
        <v>-</v>
      </c>
      <c r="M415" s="45" t="str" cm="1">
        <f t="array" ref="M415">IFERROR(INDEX(Input_ForRateCalc[],MATCH($C415&amp;" - "&amp;M$320,Input_ForRateCalc[[Cost item]:[Cost item]],0),MATCH(Calc_TUV_Net_2[[#This Row],[Decision ref]:[Decision ref]],Input_ForRateCalc[#Headers],0))*TUProp_Days_2,"-")</f>
        <v>-</v>
      </c>
      <c r="N415" s="45" t="str" cm="1">
        <f t="array" ref="N415">IFERROR(INDEX(Input_ForRateCalc[],MATCH($C415&amp;" - "&amp;N$320,Input_ForRateCalc[[Cost item]:[Cost item]],0),MATCH(Calc_TUV_Net_2[[#This Row],[Decision ref]:[Decision ref]],Input_ForRateCalc[#Headers],0))*TUProp_Days_2,"-")</f>
        <v>-</v>
      </c>
      <c r="O415" s="45" t="str" cm="1">
        <f t="array" ref="O415">IFERROR(INDEX(Input_ForRateCalc[],MATCH($C415&amp;" - "&amp;O$320,Input_ForRateCalc[[Cost item]:[Cost item]],0),MATCH(Calc_TUV_Net_2[[#This Row],[Decision ref]:[Decision ref]],Input_ForRateCalc[#Headers],0))*TUProp_Days_2,"-")</f>
        <v>-</v>
      </c>
    </row>
    <row r="416" spans="3:15" hidden="1" outlineLevel="1" x14ac:dyDescent="0.25">
      <c r="C416" s="39" t="s">
        <v>363</v>
      </c>
      <c r="D416" s="58" t="str">
        <f>Calc_TU_values!$D$224</f>
        <v>VDO 2023-24 - Final</v>
      </c>
      <c r="E416" s="14" t="s">
        <v>322</v>
      </c>
      <c r="F416" s="58" t="e">
        <f>INDEX(Inputs!$H$17:$U$17,1,MATCH($D416,Inputs!$H$15:$U$15,0))</f>
        <v>#N/A</v>
      </c>
      <c r="G416" s="38"/>
      <c r="H416" s="14" t="s">
        <v>138</v>
      </c>
      <c r="I416" s="14" t="s">
        <v>71</v>
      </c>
      <c r="J416" s="39" t="s">
        <v>73</v>
      </c>
      <c r="K416" s="45" t="str" cm="1">
        <f t="array" ref="K416">IFERROR(INDEX(Input_ForRateCalc[],MATCH($C416&amp;" - "&amp;K$320,Input_ForRateCalc[[Cost item]:[Cost item]],0),MATCH(Calc_TUV_Net_2[[#This Row],[Decision ref]:[Decision ref]],Input_ForRateCalc[#Headers],0))*TUProp_Days_2,"-")</f>
        <v>-</v>
      </c>
      <c r="L416" s="45" t="str" cm="1">
        <f t="array" ref="L416">IFERROR(INDEX(Input_ForRateCalc[],MATCH($C416&amp;" - "&amp;L$320,Input_ForRateCalc[[Cost item]:[Cost item]],0),MATCH(Calc_TUV_Net_2[[#This Row],[Decision ref]:[Decision ref]],Input_ForRateCalc[#Headers],0))*TUProp_Days_2,"-")</f>
        <v>-</v>
      </c>
      <c r="M416" s="45" t="str" cm="1">
        <f t="array" ref="M416">IFERROR(INDEX(Input_ForRateCalc[],MATCH($C416&amp;" - "&amp;M$320,Input_ForRateCalc[[Cost item]:[Cost item]],0),MATCH(Calc_TUV_Net_2[[#This Row],[Decision ref]:[Decision ref]],Input_ForRateCalc[#Headers],0))*TUProp_Days_2,"-")</f>
        <v>-</v>
      </c>
      <c r="N416" s="45" t="str" cm="1">
        <f t="array" ref="N416">IFERROR(INDEX(Input_ForRateCalc[],MATCH($C416&amp;" - "&amp;N$320,Input_ForRateCalc[[Cost item]:[Cost item]],0),MATCH(Calc_TUV_Net_2[[#This Row],[Decision ref]:[Decision ref]],Input_ForRateCalc[#Headers],0))*TUProp_Days_2,"-")</f>
        <v>-</v>
      </c>
      <c r="O416" s="45" t="str" cm="1">
        <f t="array" ref="O416">IFERROR(INDEX(Input_ForRateCalc[],MATCH($C416&amp;" - "&amp;O$320,Input_ForRateCalc[[Cost item]:[Cost item]],0),MATCH(Calc_TUV_Net_2[[#This Row],[Decision ref]:[Decision ref]],Input_ForRateCalc[#Headers],0))*TUProp_Days_2,"-")</f>
        <v>-</v>
      </c>
    </row>
    <row r="417" spans="3:15" hidden="1" outlineLevel="1" x14ac:dyDescent="0.25">
      <c r="C417" s="39" t="s">
        <v>417</v>
      </c>
      <c r="D417" s="58" t="str">
        <f>Calc_TU_values!$D$224</f>
        <v>VDO 2023-24 - Final</v>
      </c>
      <c r="E417" s="14" t="s">
        <v>322</v>
      </c>
      <c r="F417" s="58" t="e">
        <f>INDEX(Inputs!$H$17:$U$17,1,MATCH($D417,Inputs!$H$15:$U$15,0))</f>
        <v>#N/A</v>
      </c>
      <c r="G417" s="38"/>
      <c r="H417" s="14" t="s">
        <v>138</v>
      </c>
      <c r="I417" s="14" t="s">
        <v>71</v>
      </c>
      <c r="J417" s="39" t="s">
        <v>73</v>
      </c>
      <c r="K417" s="43">
        <f>IFERROR(SUM(K415:K416),"-")</f>
        <v>0</v>
      </c>
      <c r="L417" s="43">
        <f>IFERROR(SUM(L415:L416),"-")</f>
        <v>0</v>
      </c>
      <c r="M417" s="43">
        <f>IFERROR(SUM(M415:M416),"-")</f>
        <v>0</v>
      </c>
      <c r="N417" s="43">
        <f>IFERROR(SUM(N415:N416),"-")</f>
        <v>0</v>
      </c>
      <c r="O417" s="43">
        <f>IFERROR(SUM(O415:O416),"-")</f>
        <v>0</v>
      </c>
    </row>
    <row r="418" spans="3:15" hidden="1" outlineLevel="1" x14ac:dyDescent="0.25">
      <c r="C418" s="39" t="s">
        <v>451</v>
      </c>
      <c r="D418" s="58" t="str">
        <f>INDEX(Input_DecisionActual[[Decision]:[Decision]],MATCH(Calc_TU_values!$D$224,Input_DecisionActual[[VDO period]:[VDO period]],0),1)</f>
        <v>VDO 2022-23 - Final</v>
      </c>
      <c r="E418" s="14" t="s">
        <v>102</v>
      </c>
      <c r="F418" s="58" t="str">
        <f>IF($D418="-","-",INDEX(Inputs!$H$17:$U$17,1,MATCH($D418,Inputs!$H$15:$U$15,0)))</f>
        <v>F-PreviousVDO_Input3</v>
      </c>
      <c r="G418" s="38"/>
      <c r="H418" s="14" t="s">
        <v>138</v>
      </c>
      <c r="I418" s="14" t="s">
        <v>71</v>
      </c>
      <c r="J418" s="39" t="s">
        <v>73</v>
      </c>
      <c r="K418" s="45" t="str" cm="1">
        <f t="array" ref="K418">IFERROR(INDEX(Input_ForRateCalc[],MATCH($C418&amp;" - "&amp;K$320,Input_ForRateCalc[[Cost item]:[Cost item]],0),MATCH(Calc_TUV_Net_2[[#This Row],[Decision ref]:[Decision ref]],Input_ForRateCalc[#Headers],0))*TUProp_Days_2,"-")</f>
        <v>-</v>
      </c>
      <c r="L418" s="45" t="str" cm="1">
        <f t="array" ref="L418">IFERROR(INDEX(Input_ForRateCalc[],MATCH($C418&amp;" - "&amp;L$320,Input_ForRateCalc[[Cost item]:[Cost item]],0),MATCH(Calc_TUV_Net_2[[#This Row],[Decision ref]:[Decision ref]],Input_ForRateCalc[#Headers],0))*TUProp_Days_2,"-")</f>
        <v>-</v>
      </c>
      <c r="M418" s="45" t="str" cm="1">
        <f t="array" ref="M418">IFERROR(INDEX(Input_ForRateCalc[],MATCH($C418&amp;" - "&amp;M$320,Input_ForRateCalc[[Cost item]:[Cost item]],0),MATCH(Calc_TUV_Net_2[[#This Row],[Decision ref]:[Decision ref]],Input_ForRateCalc[#Headers],0))*TUProp_Days_2,"-")</f>
        <v>-</v>
      </c>
      <c r="N418" s="45" t="str" cm="1">
        <f t="array" ref="N418">IFERROR(INDEX(Input_ForRateCalc[],MATCH($C418&amp;" - "&amp;N$320,Input_ForRateCalc[[Cost item]:[Cost item]],0),MATCH(Calc_TUV_Net_2[[#This Row],[Decision ref]:[Decision ref]],Input_ForRateCalc[#Headers],0))*TUProp_Days_2,"-")</f>
        <v>-</v>
      </c>
      <c r="O418" s="45" t="str" cm="1">
        <f t="array" ref="O418">IFERROR(INDEX(Input_ForRateCalc[],MATCH($C418&amp;" - "&amp;O$320,Input_ForRateCalc[[Cost item]:[Cost item]],0),MATCH(Calc_TUV_Net_2[[#This Row],[Decision ref]:[Decision ref]],Input_ForRateCalc[#Headers],0))*TUProp_Days_2,"-")</f>
        <v>-</v>
      </c>
    </row>
    <row r="419" spans="3:15" hidden="1" outlineLevel="1" x14ac:dyDescent="0.25">
      <c r="C419" s="39" t="s">
        <v>363</v>
      </c>
      <c r="D419" s="58" t="str">
        <f>INDEX(Input_DecisionActual[[Decision]:[Decision]],MATCH(Calc_TU_values!$D$224,Input_DecisionActual[[VDO period]:[VDO period]],0),1)</f>
        <v>VDO 2022-23 - Final</v>
      </c>
      <c r="E419" s="14" t="s">
        <v>102</v>
      </c>
      <c r="F419" s="58" t="str">
        <f>IF($D419="-","-",INDEX(Inputs!$H$17:$U$17,1,MATCH($D419,Inputs!$H$15:$U$15,0)))</f>
        <v>F-PreviousVDO_Input3</v>
      </c>
      <c r="G419" s="38"/>
      <c r="H419" s="14" t="s">
        <v>138</v>
      </c>
      <c r="I419" s="14" t="s">
        <v>71</v>
      </c>
      <c r="J419" s="39" t="s">
        <v>73</v>
      </c>
      <c r="K419" s="45" t="str" cm="1">
        <f t="array" ref="K419">IFERROR(INDEX(Input_ForRateCalc[],MATCH($C419&amp;" - "&amp;K$320,Input_ForRateCalc[[Cost item]:[Cost item]],0),MATCH(Calc_TUV_Net_2[[#This Row],[Decision ref]:[Decision ref]],Input_ForRateCalc[#Headers],0))*TUProp_Days_2,"-")</f>
        <v>-</v>
      </c>
      <c r="L419" s="45" t="str" cm="1">
        <f t="array" ref="L419">IFERROR(INDEX(Input_ForRateCalc[],MATCH($C419&amp;" - "&amp;L$320,Input_ForRateCalc[[Cost item]:[Cost item]],0),MATCH(Calc_TUV_Net_2[[#This Row],[Decision ref]:[Decision ref]],Input_ForRateCalc[#Headers],0))*TUProp_Days_2,"-")</f>
        <v>-</v>
      </c>
      <c r="M419" s="45" t="str" cm="1">
        <f t="array" ref="M419">IFERROR(INDEX(Input_ForRateCalc[],MATCH($C419&amp;" - "&amp;M$320,Input_ForRateCalc[[Cost item]:[Cost item]],0),MATCH(Calc_TUV_Net_2[[#This Row],[Decision ref]:[Decision ref]],Input_ForRateCalc[#Headers],0))*TUProp_Days_2,"-")</f>
        <v>-</v>
      </c>
      <c r="N419" s="45" t="str" cm="1">
        <f t="array" ref="N419">IFERROR(INDEX(Input_ForRateCalc[],MATCH($C419&amp;" - "&amp;N$320,Input_ForRateCalc[[Cost item]:[Cost item]],0),MATCH(Calc_TUV_Net_2[[#This Row],[Decision ref]:[Decision ref]],Input_ForRateCalc[#Headers],0))*TUProp_Days_2,"-")</f>
        <v>-</v>
      </c>
      <c r="O419" s="45" t="str" cm="1">
        <f t="array" ref="O419">IFERROR(INDEX(Input_ForRateCalc[],MATCH($C419&amp;" - "&amp;O$320,Input_ForRateCalc[[Cost item]:[Cost item]],0),MATCH(Calc_TUV_Net_2[[#This Row],[Decision ref]:[Decision ref]],Input_ForRateCalc[#Headers],0))*TUProp_Days_2,"-")</f>
        <v>-</v>
      </c>
    </row>
    <row r="420" spans="3:15" hidden="1" outlineLevel="1" x14ac:dyDescent="0.25">
      <c r="C420" s="39" t="s">
        <v>417</v>
      </c>
      <c r="D420" s="58" t="str">
        <f>INDEX(Input_DecisionActual[[Decision]:[Decision]],MATCH(Calc_TU_values!$D$224,Input_DecisionActual[[VDO period]:[VDO period]],0),1)</f>
        <v>VDO 2022-23 - Final</v>
      </c>
      <c r="E420" s="14" t="s">
        <v>102</v>
      </c>
      <c r="F420" s="58" t="str">
        <f>IF($D420="-","-",INDEX(Inputs!$H$17:$U$17,1,MATCH($D420,Inputs!$H$15:$U$15,0)))</f>
        <v>F-PreviousVDO_Input3</v>
      </c>
      <c r="G420" s="38"/>
      <c r="H420" s="14" t="s">
        <v>138</v>
      </c>
      <c r="I420" s="14" t="s">
        <v>71</v>
      </c>
      <c r="J420" s="39" t="s">
        <v>73</v>
      </c>
      <c r="K420" s="44">
        <f>SUM(K418:K419)</f>
        <v>0</v>
      </c>
      <c r="L420" s="44">
        <f>SUM(L418:L419)</f>
        <v>0</v>
      </c>
      <c r="M420" s="44">
        <f>SUM(M418:M419)</f>
        <v>0</v>
      </c>
      <c r="N420" s="44">
        <f>SUM(N418:N419)</f>
        <v>0</v>
      </c>
      <c r="O420" s="44">
        <f>SUM(O418:O419)</f>
        <v>0</v>
      </c>
    </row>
    <row r="421" spans="3:15" hidden="1" outlineLevel="1" x14ac:dyDescent="0.25">
      <c r="C421" s="39" t="s">
        <v>418</v>
      </c>
      <c r="D421" s="14"/>
      <c r="E421" s="14"/>
      <c r="F421" s="14"/>
      <c r="G421" s="39"/>
      <c r="H421" s="14" t="s">
        <v>138</v>
      </c>
      <c r="I421" s="14" t="s">
        <v>71</v>
      </c>
      <c r="J421" s="39" t="s">
        <v>73</v>
      </c>
      <c r="K421" s="44" t="str">
        <f>IF(K420=0,"-",K417-K420)</f>
        <v>-</v>
      </c>
      <c r="L421" s="44" t="str">
        <f>IF(L420=0,"-",L417-L420)</f>
        <v>-</v>
      </c>
      <c r="M421" s="44" t="str">
        <f>IF(M420=0,"-",M417-M420)</f>
        <v>-</v>
      </c>
      <c r="N421" s="44" t="str">
        <f>IF(N420=0,"-",N417-N420)</f>
        <v>-</v>
      </c>
      <c r="O421" s="44" t="str">
        <f>IF(O420=0,"-",O417-O420)</f>
        <v>-</v>
      </c>
    </row>
    <row r="422" spans="3:15" hidden="1" outlineLevel="1" x14ac:dyDescent="0.25">
      <c r="C422" s="39" t="s">
        <v>420</v>
      </c>
      <c r="D422" s="58" t="str">
        <f>INDEX(Input_DecisionActual[[Decision]:[Decision]],MATCH(Calc_TU_values!$D$224,Input_DecisionActual[[VDO period]:[VDO period]],0),1)</f>
        <v>VDO 2022-23 - Final</v>
      </c>
      <c r="E422" s="14" t="s">
        <v>102</v>
      </c>
      <c r="F422" s="58" t="str">
        <f>IF($D422="-","-",INDEX(Inputs!$H$17:$U$17,1,MATCH($D422,Inputs!$H$15:$U$15,0)))</f>
        <v>F-PreviousVDO_Input3</v>
      </c>
      <c r="G422" s="39"/>
      <c r="H422" s="14" t="s">
        <v>138</v>
      </c>
      <c r="I422" s="14" t="s">
        <v>71</v>
      </c>
      <c r="J422" s="39" t="s">
        <v>73</v>
      </c>
      <c r="K422" s="45" cm="1">
        <f t="array" ref="K422">IFERROR(SUM(K421:K421)*(INDEX(Inputs!$H$18:$U$141,MATCH("Retail operating margin",Input_ForRateCalc[[Cost item]:[Cost item]],0),MATCH(Calc_TUV_Net_2[[#This Row],[Decision ref]:[Decision ref]],Inputs!$H$17:$U$17,0))),"-")</f>
        <v>0</v>
      </c>
      <c r="L422" s="45" cm="1">
        <f t="array" ref="L422">IFERROR(SUM(L421:L421)*(INDEX(Inputs!$H$18:$U$141,MATCH("Retail operating margin",Input_ForRateCalc[[Cost item]:[Cost item]],0),MATCH(Calc_TUV_Net_2[[#This Row],[Decision ref]:[Decision ref]],Inputs!$H$17:$U$17,0))),"-")</f>
        <v>0</v>
      </c>
      <c r="M422" s="45" cm="1">
        <f t="array" ref="M422">IFERROR(SUM(M421:M421)*(INDEX(Inputs!$H$18:$U$141,MATCH("Retail operating margin",Input_ForRateCalc[[Cost item]:[Cost item]],0),MATCH(Calc_TUV_Net_2[[#This Row],[Decision ref]:[Decision ref]],Inputs!$H$17:$U$17,0))),"-")</f>
        <v>0</v>
      </c>
      <c r="N422" s="45" cm="1">
        <f t="array" ref="N422">IFERROR(SUM(N421:N421)*(INDEX(Inputs!$H$18:$U$141,MATCH("Retail operating margin",Input_ForRateCalc[[Cost item]:[Cost item]],0),MATCH(Calc_TUV_Net_2[[#This Row],[Decision ref]:[Decision ref]],Inputs!$H$17:$U$17,0))),"-")</f>
        <v>0</v>
      </c>
      <c r="O422" s="45" cm="1">
        <f t="array" ref="O422">IFERROR(SUM(O421:O421)*(INDEX(Inputs!$H$18:$U$141,MATCH("Retail operating margin",Input_ForRateCalc[[Cost item]:[Cost item]],0),MATCH(Calc_TUV_Net_2[[#This Row],[Decision ref]:[Decision ref]],Inputs!$H$17:$U$17,0))),"-")</f>
        <v>0</v>
      </c>
    </row>
    <row r="423" spans="3:15" hidden="1" outlineLevel="1" x14ac:dyDescent="0.25">
      <c r="C423" s="39" t="s">
        <v>421</v>
      </c>
      <c r="D423" s="14"/>
      <c r="E423" s="14"/>
      <c r="F423" s="14"/>
      <c r="G423" s="39"/>
      <c r="H423" s="14" t="s">
        <v>138</v>
      </c>
      <c r="I423" s="14" t="s">
        <v>71</v>
      </c>
      <c r="J423" s="39" t="s">
        <v>73</v>
      </c>
      <c r="K423" s="45" t="str">
        <f>IF(K420=0,"-",SUM(K421:K422)*GST)</f>
        <v>-</v>
      </c>
      <c r="L423" s="45" t="str">
        <f>IF(L420=0,"-",SUM(L421:L422)*GST)</f>
        <v>-</v>
      </c>
      <c r="M423" s="45" t="str">
        <f>IF(M420=0,"-",SUM(M421:M422)*GST)</f>
        <v>-</v>
      </c>
      <c r="N423" s="45" t="str">
        <f>IF(N420=0,"-",SUM(N421:N422)*GST)</f>
        <v>-</v>
      </c>
      <c r="O423" s="45" t="str">
        <f>IF(O420=0,"-",SUM(O421:O422)*GST)</f>
        <v>-</v>
      </c>
    </row>
    <row r="424" spans="3:15" hidden="1" outlineLevel="1" x14ac:dyDescent="0.25">
      <c r="C424" s="14" t="s">
        <v>458</v>
      </c>
      <c r="D424" s="14"/>
      <c r="E424" s="14"/>
      <c r="F424" s="14"/>
      <c r="G424" s="39"/>
      <c r="H424" s="14" t="s">
        <v>138</v>
      </c>
      <c r="I424" s="14" t="s">
        <v>71</v>
      </c>
      <c r="J424" s="39" t="s">
        <v>73</v>
      </c>
      <c r="K424" s="45" t="str">
        <f>IF(K420=0,"-",SUM(K421:K423))</f>
        <v>-</v>
      </c>
      <c r="L424" s="45" t="str">
        <f>IF(L420=0,"-",SUM(L421:L423))</f>
        <v>-</v>
      </c>
      <c r="M424" s="45" t="str">
        <f>IF(M420=0,"-",SUM(M421:M423))</f>
        <v>-</v>
      </c>
      <c r="N424" s="45" t="str">
        <f>IF(N420=0,"-",SUM(N421:N423))</f>
        <v>-</v>
      </c>
      <c r="O424" s="45" t="str">
        <f>IF(O420=0,"-",SUM(O421:O423))</f>
        <v>-</v>
      </c>
    </row>
    <row r="425" spans="3:15" hidden="1" outlineLevel="1" x14ac:dyDescent="0.25">
      <c r="C425" s="39"/>
      <c r="D425" s="39"/>
      <c r="E425" s="39"/>
      <c r="F425" s="39"/>
      <c r="H425" s="39"/>
      <c r="I425" s="14"/>
      <c r="J425" s="14"/>
      <c r="K425" s="87"/>
      <c r="L425" s="87"/>
      <c r="M425" s="87"/>
      <c r="N425" s="87"/>
      <c r="O425" s="87"/>
    </row>
    <row r="426" spans="3:15" hidden="1" outlineLevel="1" x14ac:dyDescent="0.25">
      <c r="C426" s="37" t="s">
        <v>465</v>
      </c>
      <c r="D426" s="39"/>
      <c r="E426" s="39"/>
      <c r="F426" s="39"/>
      <c r="G426" s="47"/>
      <c r="H426" s="39"/>
      <c r="I426" s="14"/>
      <c r="J426" s="14"/>
      <c r="K426" s="87"/>
      <c r="L426" s="87"/>
      <c r="M426" s="87"/>
      <c r="N426" s="87"/>
      <c r="O426" s="87"/>
    </row>
    <row r="427" spans="3:15" hidden="1" outlineLevel="1" x14ac:dyDescent="0.25">
      <c r="C427" s="39" t="s">
        <v>466</v>
      </c>
      <c r="D427" s="58" t="str">
        <f>Calc_TU_values!$D$224</f>
        <v>VDO 2023-24 - Final</v>
      </c>
      <c r="E427" s="14" t="s">
        <v>322</v>
      </c>
      <c r="F427" s="58" t="e">
        <f>INDEX(Inputs!$H$17:$U$17,1,MATCH($D427,Inputs!$H$15:$U$15,0))</f>
        <v>#N/A</v>
      </c>
      <c r="G427" s="39"/>
      <c r="H427" s="14" t="s">
        <v>184</v>
      </c>
      <c r="I427" s="14" t="s">
        <v>225</v>
      </c>
      <c r="J427" s="39" t="s">
        <v>73</v>
      </c>
      <c r="K427" s="45" t="str" cm="1">
        <f t="array" ref="K427">IFERROR(INDEX(Input_ForRateCalc[],MATCH($C427&amp;" - "&amp;K$320,Input_ForRateCalc[[Cost item]:[Cost item]],0),MATCH(Calc_TUV_Net_2[[#This Row],[Decision ref]:[Decision ref]],Input_ForRateCalc[#Headers],0)),"-")</f>
        <v>-</v>
      </c>
      <c r="L427" s="45" t="str" cm="1">
        <f t="array" ref="L427">IFERROR(INDEX(Input_ForRateCalc[],MATCH($C427&amp;" - "&amp;L$320,Input_ForRateCalc[[Cost item]:[Cost item]],0),MATCH(Calc_TUV_Net_2[[#This Row],[Decision ref]:[Decision ref]],Input_ForRateCalc[#Headers],0)),"-")</f>
        <v>-</v>
      </c>
      <c r="M427" s="45" t="str" cm="1">
        <f t="array" ref="M427">IFERROR(INDEX(Input_ForRateCalc[],MATCH($C427&amp;" - "&amp;M$320,Input_ForRateCalc[[Cost item]:[Cost item]],0),MATCH(Calc_TUV_Net_2[[#This Row],[Decision ref]:[Decision ref]],Input_ForRateCalc[#Headers],0)),"-")</f>
        <v>-</v>
      </c>
      <c r="N427" s="45" t="str" cm="1">
        <f t="array" ref="N427">IFERROR(INDEX(Input_ForRateCalc[],MATCH($C427&amp;" - "&amp;N$320,Input_ForRateCalc[[Cost item]:[Cost item]],0),MATCH(Calc_TUV_Net_2[[#This Row],[Decision ref]:[Decision ref]],Input_ForRateCalc[#Headers],0)),"-")</f>
        <v>-</v>
      </c>
      <c r="O427" s="45" t="str" cm="1">
        <f t="array" ref="O427">IFERROR(INDEX(Input_ForRateCalc[],MATCH($C427&amp;" - "&amp;O$320,Input_ForRateCalc[[Cost item]:[Cost item]],0),MATCH(Calc_TUV_Net_2[[#This Row],[Decision ref]:[Decision ref]],Input_ForRateCalc[#Headers],0)),"-")</f>
        <v>-</v>
      </c>
    </row>
    <row r="428" spans="3:15" hidden="1" outlineLevel="1" x14ac:dyDescent="0.25">
      <c r="C428" s="39" t="s">
        <v>467</v>
      </c>
      <c r="D428" s="58" t="str">
        <f>Calc_TU_values!$D$224</f>
        <v>VDO 2023-24 - Final</v>
      </c>
      <c r="E428" s="14" t="s">
        <v>322</v>
      </c>
      <c r="F428" s="58" t="e">
        <f>INDEX(Inputs!$H$17:$U$17,1,MATCH($D428,Inputs!$H$15:$U$15,0))</f>
        <v>#N/A</v>
      </c>
      <c r="G428" s="47"/>
      <c r="H428" s="14" t="s">
        <v>184</v>
      </c>
      <c r="I428" s="14" t="s">
        <v>225</v>
      </c>
      <c r="J428" s="39" t="s">
        <v>73</v>
      </c>
      <c r="K428" s="45" t="str" cm="1">
        <f t="array" ref="K428">IFERROR(INDEX(Input_ForRateCalc[],MATCH($C428&amp;" - "&amp;K$320,Input_ForRateCalc[[Cost item]:[Cost item]],0),MATCH(Calc_TUV_Net_2[[#This Row],[Decision ref]:[Decision ref]],Input_ForRateCalc[#Headers],0)),"-")</f>
        <v>-</v>
      </c>
      <c r="L428" s="45" t="str" cm="1">
        <f t="array" ref="L428">IFERROR(INDEX(Input_ForRateCalc[],MATCH($C428&amp;" - "&amp;L$320,Input_ForRateCalc[[Cost item]:[Cost item]],0),MATCH(Calc_TUV_Net_2[[#This Row],[Decision ref]:[Decision ref]],Input_ForRateCalc[#Headers],0)),"-")</f>
        <v>-</v>
      </c>
      <c r="M428" s="45" t="str" cm="1">
        <f t="array" ref="M428">IFERROR(INDEX(Input_ForRateCalc[],MATCH($C428&amp;" - "&amp;M$320,Input_ForRateCalc[[Cost item]:[Cost item]],0),MATCH(Calc_TUV_Net_2[[#This Row],[Decision ref]:[Decision ref]],Input_ForRateCalc[#Headers],0)),"-")</f>
        <v>-</v>
      </c>
      <c r="N428" s="45" t="str" cm="1">
        <f t="array" ref="N428">IFERROR(INDEX(Input_ForRateCalc[],MATCH($C428&amp;" - "&amp;N$320,Input_ForRateCalc[[Cost item]:[Cost item]],0),MATCH(Calc_TUV_Net_2[[#This Row],[Decision ref]:[Decision ref]],Input_ForRateCalc[#Headers],0)),"-")</f>
        <v>-</v>
      </c>
      <c r="O428" s="45" t="str" cm="1">
        <f t="array" ref="O428">IFERROR(INDEX(Input_ForRateCalc[],MATCH($C428&amp;" - "&amp;O$320,Input_ForRateCalc[[Cost item]:[Cost item]],0),MATCH(Calc_TUV_Net_2[[#This Row],[Decision ref]:[Decision ref]],Input_ForRateCalc[#Headers],0)),"-")</f>
        <v>-</v>
      </c>
    </row>
    <row r="429" spans="3:15" hidden="1" outlineLevel="1" x14ac:dyDescent="0.25">
      <c r="C429" s="39" t="s">
        <v>417</v>
      </c>
      <c r="D429" s="58" t="str">
        <f>Calc_TU_values!$D$224</f>
        <v>VDO 2023-24 - Final</v>
      </c>
      <c r="E429" s="14" t="s">
        <v>322</v>
      </c>
      <c r="F429" s="58" t="e">
        <f>INDEX(Inputs!$H$17:$U$17,1,MATCH($D429,Inputs!$H$15:$U$15,0))</f>
        <v>#N/A</v>
      </c>
      <c r="G429" s="38"/>
      <c r="H429" s="14" t="s">
        <v>184</v>
      </c>
      <c r="I429" s="14" t="s">
        <v>225</v>
      </c>
      <c r="J429" s="39" t="s">
        <v>73</v>
      </c>
      <c r="K429" s="46">
        <f>SUMIFS(TUNet_Usage_Actual_2[Value],TUNet_Usage_Actual_2[Customer type],Calc_TUV_Net_2[[#This Row],[Customer type]],TUNet_Usage_Actual_2[Description],"Usage per customer")*SUM(
IFERROR(K427/100*SUMIFS(#REF!,#REF!,Calc_TUV_Net_2[[#This Row],[Customer type]],#REF!,"Peak"),0),
IFERROR(K428/100*SUMIFS(#REF!,#REF!,Calc_TUV_Net_2[[#This Row],[Customer type]],#REF!,"Off peak"),0))</f>
        <v>0</v>
      </c>
      <c r="L429" s="46">
        <f>SUMIFS(TUNet_Usage_Actual_2[Value],TUNet_Usage_Actual_2[Customer type],Calc_TUV_Net_2[[#This Row],[Customer type]],TUNet_Usage_Actual_2[Description],"Usage per customer")*SUM(
IFERROR(L427/100*SUMIFS(#REF!,#REF!,Calc_TUV_Net_2[[#This Row],[Customer type]],#REF!,"Peak"),0),
IFERROR(L428/100*SUMIFS(#REF!,#REF!,Calc_TUV_Net_2[[#This Row],[Customer type]],#REF!,"Off peak"),0))</f>
        <v>0</v>
      </c>
      <c r="M429" s="46">
        <f>SUMIFS(TUNet_Usage_Actual_2[Value],TUNet_Usage_Actual_2[Customer type],Calc_TUV_Net_2[[#This Row],[Customer type]],TUNet_Usage_Actual_2[Description],"Usage per customer")*SUM(
IFERROR(M427/100*SUMIFS(#REF!,#REF!,Calc_TUV_Net_2[[#This Row],[Customer type]],#REF!,"Peak"),0),
IFERROR(M428/100*SUMIFS(#REF!,#REF!,Calc_TUV_Net_2[[#This Row],[Customer type]],#REF!,"Off peak"),0))</f>
        <v>0</v>
      </c>
      <c r="N429" s="46">
        <f>SUMIFS(TUNet_Usage_Actual_2[Value],TUNet_Usage_Actual_2[Customer type],Calc_TUV_Net_2[[#This Row],[Customer type]],TUNet_Usage_Actual_2[Description],"Usage per customer")*SUM(
IFERROR(N427/100*SUMIFS(#REF!,#REF!,Calc_TUV_Net_2[[#This Row],[Customer type]],#REF!,"Peak"),0),
IFERROR(N428/100*SUMIFS(#REF!,#REF!,Calc_TUV_Net_2[[#This Row],[Customer type]],#REF!,"Off peak"),0))</f>
        <v>0</v>
      </c>
      <c r="O429" s="46">
        <f>SUMIFS(TUNet_Usage_Actual_2[Value],TUNet_Usage_Actual_2[Customer type],Calc_TUV_Net_2[[#This Row],[Customer type]],TUNet_Usage_Actual_2[Description],"Usage per customer")*SUM(
IFERROR(O427/100*SUMIFS(#REF!,#REF!,Calc_TUV_Net_2[[#This Row],[Customer type]],#REF!,"Peak"),0),
IFERROR(O428/100*SUMIFS(#REF!,#REF!,Calc_TUV_Net_2[[#This Row],[Customer type]],#REF!,"Off peak"),0))</f>
        <v>0</v>
      </c>
    </row>
    <row r="430" spans="3:15" hidden="1" outlineLevel="1" x14ac:dyDescent="0.25">
      <c r="C430" s="39" t="s">
        <v>453</v>
      </c>
      <c r="D430" s="58" t="str">
        <f>INDEX(Input_DecisionActual[[Decision]:[Decision]],MATCH(Calc_TU_values!$D$224,Input_DecisionActual[[VDO period]:[VDO period]],0),1)</f>
        <v>VDO 2022-23 - Final</v>
      </c>
      <c r="E430" s="14" t="s">
        <v>102</v>
      </c>
      <c r="F430" s="58" t="str">
        <f>IF($D430="-","-",INDEX(Inputs!$H$17:$U$17,1,MATCH($D430,Inputs!$H$15:$U$15,0)))</f>
        <v>F-PreviousVDO_Input3</v>
      </c>
      <c r="G430" s="38"/>
      <c r="H430" s="14" t="s">
        <v>184</v>
      </c>
      <c r="I430" s="14" t="s">
        <v>71</v>
      </c>
      <c r="J430" s="39" t="s">
        <v>73</v>
      </c>
      <c r="K430" s="45" cm="1">
        <f t="array" ref="K430">IFERROR(INDEX(Input_ForRateCalc[],MATCH($C430&amp;" - "&amp;K$320,Input_ForRateCalc[[Cost item]:[Cost item]],0),MATCH(Calc_TUV_Net_2[[#This Row],[Decision ref]:[Decision ref]],Input_ForRateCalc[#Headers],0)),"-")</f>
        <v>17.498000000000001</v>
      </c>
      <c r="L430" s="45" t="str" cm="1">
        <f t="array" ref="L430">IFERROR(INDEX(Input_ForRateCalc[],MATCH($C430&amp;" - "&amp;L$320,Input_ForRateCalc[[Cost item]:[Cost item]],0),MATCH(Calc_TUV_Net_2[[#This Row],[Decision ref]:[Decision ref]],Input_ForRateCalc[#Headers],0)),"-")</f>
        <v>-</v>
      </c>
      <c r="M430" s="45" t="str" cm="1">
        <f t="array" ref="M430">IFERROR(INDEX(Input_ForRateCalc[],MATCH($C430&amp;" - "&amp;M$320,Input_ForRateCalc[[Cost item]:[Cost item]],0),MATCH(Calc_TUV_Net_2[[#This Row],[Decision ref]:[Decision ref]],Input_ForRateCalc[#Headers],0)),"-")</f>
        <v>-</v>
      </c>
      <c r="N430" s="45" t="str" cm="1">
        <f t="array" ref="N430">IFERROR(INDEX(Input_ForRateCalc[],MATCH($C430&amp;" - "&amp;N$320,Input_ForRateCalc[[Cost item]:[Cost item]],0),MATCH(Calc_TUV_Net_2[[#This Row],[Decision ref]:[Decision ref]],Input_ForRateCalc[#Headers],0)),"-")</f>
        <v>-</v>
      </c>
      <c r="O430" s="45" t="str" cm="1">
        <f t="array" ref="O430">IFERROR(INDEX(Input_ForRateCalc[],MATCH($C430&amp;" - "&amp;O$320,Input_ForRateCalc[[Cost item]:[Cost item]],0),MATCH(Calc_TUV_Net_2[[#This Row],[Decision ref]:[Decision ref]],Input_ForRateCalc[#Headers],0)),"-")</f>
        <v>-</v>
      </c>
    </row>
    <row r="431" spans="3:15" hidden="1" outlineLevel="1" x14ac:dyDescent="0.25">
      <c r="C431" s="39" t="s">
        <v>454</v>
      </c>
      <c r="D431" s="58" t="str">
        <f>INDEX(Input_DecisionActual[[Decision]:[Decision]],MATCH(Calc_TU_values!$D$224,Input_DecisionActual[[VDO period]:[VDO period]],0),1)</f>
        <v>VDO 2022-23 - Final</v>
      </c>
      <c r="E431" s="14" t="s">
        <v>102</v>
      </c>
      <c r="F431" s="58" t="str">
        <f>IF($D431="-","-",INDEX(Inputs!$H$17:$U$17,1,MATCH($D431,Inputs!$H$15:$U$15,0)))</f>
        <v>F-PreviousVDO_Input3</v>
      </c>
      <c r="G431" s="38"/>
      <c r="H431" s="14" t="s">
        <v>184</v>
      </c>
      <c r="I431" s="14" t="s">
        <v>225</v>
      </c>
      <c r="J431" s="39" t="s">
        <v>73</v>
      </c>
      <c r="K431" s="45" cm="1">
        <f t="array" ref="K431">IFERROR(INDEX(Input_ForRateCalc[],MATCH($C431&amp;" - "&amp;K$320,Input_ForRateCalc[[Cost item]:[Cost item]],0),MATCH(Calc_TUV_Net_2[[#This Row],[Decision ref]:[Decision ref]],Input_ForRateCalc[#Headers],0)),"-")</f>
        <v>20.5366</v>
      </c>
      <c r="L431" s="45" t="str" cm="1">
        <f t="array" ref="L431">IFERROR(INDEX(Input_ForRateCalc[],MATCH($C431&amp;" - "&amp;L$320,Input_ForRateCalc[[Cost item]:[Cost item]],0),MATCH(Calc_TUV_Net_2[[#This Row],[Decision ref]:[Decision ref]],Input_ForRateCalc[#Headers],0)),"-")</f>
        <v>-</v>
      </c>
      <c r="M431" s="45" t="str" cm="1">
        <f t="array" ref="M431">IFERROR(INDEX(Input_ForRateCalc[],MATCH($C431&amp;" - "&amp;M$320,Input_ForRateCalc[[Cost item]:[Cost item]],0),MATCH(Calc_TUV_Net_2[[#This Row],[Decision ref]:[Decision ref]],Input_ForRateCalc[#Headers],0)),"-")</f>
        <v>-</v>
      </c>
      <c r="N431" s="45" t="str" cm="1">
        <f t="array" ref="N431">IFERROR(INDEX(Input_ForRateCalc[],MATCH($C431&amp;" - "&amp;N$320,Input_ForRateCalc[[Cost item]:[Cost item]],0),MATCH(Calc_TUV_Net_2[[#This Row],[Decision ref]:[Decision ref]],Input_ForRateCalc[#Headers],0)),"-")</f>
        <v>-</v>
      </c>
      <c r="O431" s="45" t="str" cm="1">
        <f t="array" ref="O431">IFERROR(INDEX(Input_ForRateCalc[],MATCH($C431&amp;" - "&amp;O$320,Input_ForRateCalc[[Cost item]:[Cost item]],0),MATCH(Calc_TUV_Net_2[[#This Row],[Decision ref]:[Decision ref]],Input_ForRateCalc[#Headers],0)),"-")</f>
        <v>-</v>
      </c>
    </row>
    <row r="432" spans="3:15" hidden="1" outlineLevel="1" x14ac:dyDescent="0.25">
      <c r="C432" s="39" t="s">
        <v>455</v>
      </c>
      <c r="D432" s="58" t="str">
        <f>INDEX(Input_DecisionActual[[Decision]:[Decision]],MATCH(Calc_TU_values!$D$224,Input_DecisionActual[[VDO period]:[VDO period]],0),1)</f>
        <v>VDO 2022-23 - Final</v>
      </c>
      <c r="E432" s="14" t="s">
        <v>102</v>
      </c>
      <c r="F432" s="58" t="str">
        <f>IF($D432="-","-",INDEX(Inputs!$H$17:$U$17,1,MATCH($D432,Inputs!$H$15:$U$15,0)))</f>
        <v>F-PreviousVDO_Input3</v>
      </c>
      <c r="G432" s="38"/>
      <c r="H432" s="14" t="s">
        <v>184</v>
      </c>
      <c r="I432" s="14" t="s">
        <v>225</v>
      </c>
      <c r="J432" s="39" t="s">
        <v>73</v>
      </c>
      <c r="K432" s="45" t="str" cm="1">
        <f t="array" ref="K432">IFERROR(INDEX(Input_ForRateCalc[],MATCH($C432&amp;" - "&amp;K$320,Input_ForRateCalc[[Cost item]:[Cost item]],0),MATCH(Calc_TUV_Net_2[[#This Row],[Decision ref]:[Decision ref]],Input_ForRateCalc[#Headers],0)),"-")</f>
        <v>-</v>
      </c>
      <c r="L432" s="45" cm="1">
        <f t="array" ref="L432">IFERROR(INDEX(Input_ForRateCalc[],MATCH($C432&amp;" - "&amp;L$320,Input_ForRateCalc[[Cost item]:[Cost item]],0),MATCH(Calc_TUV_Net_2[[#This Row],[Decision ref]:[Decision ref]],Input_ForRateCalc[#Headers],0)),"-")</f>
        <v>8.0299999999999994</v>
      </c>
      <c r="M432" s="45" cm="1">
        <f t="array" ref="M432">IFERROR(INDEX(Input_ForRateCalc[],MATCH($C432&amp;" - "&amp;M$320,Input_ForRateCalc[[Cost item]:[Cost item]],0),MATCH(Calc_TUV_Net_2[[#This Row],[Decision ref]:[Decision ref]],Input_ForRateCalc[#Headers],0)),"-")</f>
        <v>10.84</v>
      </c>
      <c r="N432" s="45" cm="1">
        <f t="array" ref="N432">IFERROR(INDEX(Input_ForRateCalc[],MATCH($C432&amp;" - "&amp;N$320,Input_ForRateCalc[[Cost item]:[Cost item]],0),MATCH(Calc_TUV_Net_2[[#This Row],[Decision ref]:[Decision ref]],Input_ForRateCalc[#Headers],0)),"-")</f>
        <v>9.2899999999999991</v>
      </c>
      <c r="O432" s="45" cm="1">
        <f t="array" ref="O432">IFERROR(INDEX(Input_ForRateCalc[],MATCH($C432&amp;" - "&amp;O$320,Input_ForRateCalc[[Cost item]:[Cost item]],0),MATCH(Calc_TUV_Net_2[[#This Row],[Decision ref]:[Decision ref]],Input_ForRateCalc[#Headers],0)),"-")</f>
        <v>9.14</v>
      </c>
    </row>
    <row r="433" spans="3:15" hidden="1" outlineLevel="1" x14ac:dyDescent="0.25">
      <c r="C433" s="39" t="s">
        <v>417</v>
      </c>
      <c r="D433" s="58" t="str">
        <f>INDEX(Input_DecisionActual[[Decision]:[Decision]],MATCH(Calc_TU_values!$D$224,Input_DecisionActual[[VDO period]:[VDO period]],0),1)</f>
        <v>VDO 2022-23 - Final</v>
      </c>
      <c r="E433" s="14" t="s">
        <v>102</v>
      </c>
      <c r="F433" s="58" t="str">
        <f>IF($D433="-","-",INDEX(Inputs!$H$17:$U$17,1,MATCH($D433,Inputs!$H$15:$U$15,0)))</f>
        <v>F-PreviousVDO_Input3</v>
      </c>
      <c r="G433" s="38"/>
      <c r="H433" s="14" t="s">
        <v>184</v>
      </c>
      <c r="I433" s="14" t="s">
        <v>225</v>
      </c>
      <c r="J433" s="39" t="s">
        <v>73</v>
      </c>
      <c r="K433" s="46">
        <f>SUM(
IFERROR(K430/100*SUMIFS(INDEX(TUNet_Usage_PerRate_2[],0,MATCH(K$320,TUNet_Usage_PerRate_2[#Headers],0)),TUNet_Usage_PerRate_2[Customer type],Calc_TUV_Net_2[[#This Row],[Customer type]],TUNet_Usage_PerRate_2[Description],"Usage per customer - Block 1"),0),
IFERROR(K431/100*SUMIFS(INDEX(TUNet_Usage_PerRate_2[],0,MATCH(K$320,TUNet_Usage_PerRate_2[#Headers],0)),TUNet_Usage_PerRate_2[Customer type],Calc_TUV_Net_2[[#This Row],[Customer type]],TUNet_Usage_PerRate_2[Description],"Usage per customer - Balance"),0),
IFERROR(K432/100*SUMIFS(INDEX(TUNet_Usage_PerRate_2[],0,MATCH(K$320,TUNet_Usage_PerRate_2[#Headers],0)),TUNet_Usage_PerRate_2[Customer type],Calc_TUV_Net_2[[#This Row],[Customer type]],TUNet_Usage_PerRate_2[Description],"Usage per customer - Single rate"),0))</f>
        <v>0</v>
      </c>
      <c r="L433" s="46">
        <f>SUM(
IFERROR(L430/100*SUMIFS(INDEX(TUNet_Usage_PerRate_2[],0,MATCH(L$320,TUNet_Usage_PerRate_2[#Headers],0)),TUNet_Usage_PerRate_2[Customer type],Calc_TUV_Net_2[[#This Row],[Customer type]],TUNet_Usage_PerRate_2[Description],"Usage per customer - Block 1"),0),
IFERROR(L431/100*SUMIFS(INDEX(TUNet_Usage_PerRate_2[],0,MATCH(L$320,TUNet_Usage_PerRate_2[#Headers],0)),TUNet_Usage_PerRate_2[Customer type],Calc_TUV_Net_2[[#This Row],[Customer type]],TUNet_Usage_PerRate_2[Description],"Usage per customer - Balance"),0),
IFERROR(L432/100*SUMIFS(INDEX(TUNet_Usage_PerRate_2[],0,MATCH(L$320,TUNet_Usage_PerRate_2[#Headers],0)),TUNet_Usage_PerRate_2[Customer type],Calc_TUV_Net_2[[#This Row],[Customer type]],TUNet_Usage_PerRate_2[Description],"Usage per customer - Single rate"),0))</f>
        <v>0</v>
      </c>
      <c r="M433" s="46">
        <f>SUM(
IFERROR(M430/100*SUMIFS(INDEX(TUNet_Usage_PerRate_2[],0,MATCH(M$320,TUNet_Usage_PerRate_2[#Headers],0)),TUNet_Usage_PerRate_2[Customer type],Calc_TUV_Net_2[[#This Row],[Customer type]],TUNet_Usage_PerRate_2[Description],"Usage per customer - Block 1"),0),
IFERROR(M431/100*SUMIFS(INDEX(TUNet_Usage_PerRate_2[],0,MATCH(M$320,TUNet_Usage_PerRate_2[#Headers],0)),TUNet_Usage_PerRate_2[Customer type],Calc_TUV_Net_2[[#This Row],[Customer type]],TUNet_Usage_PerRate_2[Description],"Usage per customer - Balance"),0),
IFERROR(M432/100*SUMIFS(INDEX(TUNet_Usage_PerRate_2[],0,MATCH(M$320,TUNet_Usage_PerRate_2[#Headers],0)),TUNet_Usage_PerRate_2[Customer type],Calc_TUV_Net_2[[#This Row],[Customer type]],TUNet_Usage_PerRate_2[Description],"Usage per customer - Single rate"),0))</f>
        <v>0</v>
      </c>
      <c r="N433" s="46">
        <f>SUM(
IFERROR(N430/100*SUMIFS(INDEX(TUNet_Usage_PerRate_2[],0,MATCH(N$320,TUNet_Usage_PerRate_2[#Headers],0)),TUNet_Usage_PerRate_2[Customer type],Calc_TUV_Net_2[[#This Row],[Customer type]],TUNet_Usage_PerRate_2[Description],"Usage per customer - Block 1"),0),
IFERROR(N431/100*SUMIFS(INDEX(TUNet_Usage_PerRate_2[],0,MATCH(N$320,TUNet_Usage_PerRate_2[#Headers],0)),TUNet_Usage_PerRate_2[Customer type],Calc_TUV_Net_2[[#This Row],[Customer type]],TUNet_Usage_PerRate_2[Description],"Usage per customer - Balance"),0),
IFERROR(N432/100*SUMIFS(INDEX(TUNet_Usage_PerRate_2[],0,MATCH(N$320,TUNet_Usage_PerRate_2[#Headers],0)),TUNet_Usage_PerRate_2[Customer type],Calc_TUV_Net_2[[#This Row],[Customer type]],TUNet_Usage_PerRate_2[Description],"Usage per customer - Single rate"),0))</f>
        <v>0</v>
      </c>
      <c r="O433" s="46">
        <f>SUM(
IFERROR(O430/100*SUMIFS(INDEX(TUNet_Usage_PerRate_2[],0,MATCH(O$320,TUNet_Usage_PerRate_2[#Headers],0)),TUNet_Usage_PerRate_2[Customer type],Calc_TUV_Net_2[[#This Row],[Customer type]],TUNet_Usage_PerRate_2[Description],"Usage per customer - Block 1"),0),
IFERROR(O431/100*SUMIFS(INDEX(TUNet_Usage_PerRate_2[],0,MATCH(O$320,TUNet_Usage_PerRate_2[#Headers],0)),TUNet_Usage_PerRate_2[Customer type],Calc_TUV_Net_2[[#This Row],[Customer type]],TUNet_Usage_PerRate_2[Description],"Usage per customer - Balance"),0),
IFERROR(O432/100*SUMIFS(INDEX(TUNet_Usage_PerRate_2[],0,MATCH(O$320,TUNet_Usage_PerRate_2[#Headers],0)),TUNet_Usage_PerRate_2[Customer type],Calc_TUV_Net_2[[#This Row],[Customer type]],TUNet_Usage_PerRate_2[Description],"Usage per customer - Single rate"),0))</f>
        <v>0</v>
      </c>
    </row>
    <row r="434" spans="3:15" hidden="1" outlineLevel="1" x14ac:dyDescent="0.25">
      <c r="C434" s="39" t="s">
        <v>418</v>
      </c>
      <c r="D434" s="39"/>
      <c r="E434" s="39"/>
      <c r="F434" s="39"/>
      <c r="G434" s="39"/>
      <c r="H434" s="14" t="s">
        <v>184</v>
      </c>
      <c r="I434" s="14" t="s">
        <v>71</v>
      </c>
      <c r="J434" s="39" t="s">
        <v>73</v>
      </c>
      <c r="K434" s="44" t="str">
        <f>IF(K433=0,"-",K429-K433)</f>
        <v>-</v>
      </c>
      <c r="L434" s="44" t="str">
        <f>IF(L433=0,"-",L429-L433)</f>
        <v>-</v>
      </c>
      <c r="M434" s="44" t="str">
        <f>IF(M433=0,"-",M429-M433)</f>
        <v>-</v>
      </c>
      <c r="N434" s="44" t="str">
        <f>IF(N433=0,"-",N429-N433)</f>
        <v>-</v>
      </c>
      <c r="O434" s="44" t="str">
        <f>IF(O433=0,"-",O429-O433)</f>
        <v>-</v>
      </c>
    </row>
    <row r="435" spans="3:15" hidden="1" outlineLevel="1" x14ac:dyDescent="0.25">
      <c r="C435" s="39" t="s">
        <v>420</v>
      </c>
      <c r="D435" s="58" t="str">
        <f>INDEX(Input_DecisionActual[[Decision]:[Decision]],MATCH(Calc_TU_values!$D$224,Input_DecisionActual[[VDO period]:[VDO period]],0),1)</f>
        <v>VDO 2022-23 - Final</v>
      </c>
      <c r="E435" s="14" t="s">
        <v>102</v>
      </c>
      <c r="F435" s="58" t="str">
        <f>IF($D435="-","-",INDEX(Inputs!$H$17:$U$17,1,MATCH($D435,Inputs!$H$15:$U$15,0)))</f>
        <v>F-PreviousVDO_Input3</v>
      </c>
      <c r="G435" s="39"/>
      <c r="H435" s="14" t="s">
        <v>184</v>
      </c>
      <c r="I435" s="14" t="s">
        <v>71</v>
      </c>
      <c r="J435" s="39" t="s">
        <v>73</v>
      </c>
      <c r="K435" s="45" cm="1">
        <f t="array" ref="K435">IFERROR(SUM(K434:K434)*(INDEX(Inputs!$H$18:$U$141,MATCH("Retail operating margin",Input_ForRateCalc[[Cost item]:[Cost item]],0),MATCH(Calc_TUV_Net_2[[#This Row],[Decision ref]:[Decision ref]],Inputs!$H$17:$U$17,0))),"-")</f>
        <v>0</v>
      </c>
      <c r="L435" s="45" cm="1">
        <f t="array" ref="L435">IFERROR(SUM(L434:L434)*(INDEX(Inputs!$H$18:$U$141,MATCH("Retail operating margin",Input_ForRateCalc[[Cost item]:[Cost item]],0),MATCH(Calc_TUV_Net_2[[#This Row],[Decision ref]:[Decision ref]],Inputs!$H$17:$U$17,0))),"-")</f>
        <v>0</v>
      </c>
      <c r="M435" s="45" cm="1">
        <f t="array" ref="M435">IFERROR(SUM(M434:M434)*(INDEX(Inputs!$H$18:$U$141,MATCH("Retail operating margin",Input_ForRateCalc[[Cost item]:[Cost item]],0),MATCH(Calc_TUV_Net_2[[#This Row],[Decision ref]:[Decision ref]],Inputs!$H$17:$U$17,0))),"-")</f>
        <v>0</v>
      </c>
      <c r="N435" s="45" cm="1">
        <f t="array" ref="N435">IFERROR(SUM(N434:N434)*(INDEX(Inputs!$H$18:$U$141,MATCH("Retail operating margin",Input_ForRateCalc[[Cost item]:[Cost item]],0),MATCH(Calc_TUV_Net_2[[#This Row],[Decision ref]:[Decision ref]],Inputs!$H$17:$U$17,0))),"-")</f>
        <v>0</v>
      </c>
      <c r="O435" s="45" cm="1">
        <f t="array" ref="O435">IFERROR(SUM(O434:O434)*(INDEX(Inputs!$H$18:$U$141,MATCH("Retail operating margin",Input_ForRateCalc[[Cost item]:[Cost item]],0),MATCH(Calc_TUV_Net_2[[#This Row],[Decision ref]:[Decision ref]],Inputs!$H$17:$U$17,0))),"-")</f>
        <v>0</v>
      </c>
    </row>
    <row r="436" spans="3:15" hidden="1" outlineLevel="1" x14ac:dyDescent="0.25">
      <c r="C436" s="39" t="s">
        <v>421</v>
      </c>
      <c r="D436" s="39"/>
      <c r="E436" s="39"/>
      <c r="F436" s="39"/>
      <c r="G436" s="39"/>
      <c r="H436" s="14" t="s">
        <v>184</v>
      </c>
      <c r="I436" s="14" t="s">
        <v>71</v>
      </c>
      <c r="J436" s="39" t="s">
        <v>73</v>
      </c>
      <c r="K436" s="45" t="str">
        <f>IF(K433=0,"-",SUM(K434:K435)*GST)</f>
        <v>-</v>
      </c>
      <c r="L436" s="45" t="str">
        <f>IF(L433=0,"-",SUM(L434:L435)*GST)</f>
        <v>-</v>
      </c>
      <c r="M436" s="45" t="str">
        <f>IF(M433=0,"-",SUM(M434:M435)*GST)</f>
        <v>-</v>
      </c>
      <c r="N436" s="45" t="str">
        <f>IF(N433=0,"-",SUM(N434:N435)*GST)</f>
        <v>-</v>
      </c>
      <c r="O436" s="45" t="str">
        <f>IF(O433=0,"-",SUM(O434:O435)*GST)</f>
        <v>-</v>
      </c>
    </row>
    <row r="437" spans="3:15" hidden="1" outlineLevel="1" x14ac:dyDescent="0.25">
      <c r="C437" s="14" t="s">
        <v>462</v>
      </c>
      <c r="D437" s="39"/>
      <c r="E437" s="39"/>
      <c r="F437" s="39"/>
      <c r="H437" s="14" t="s">
        <v>184</v>
      </c>
      <c r="I437" s="14" t="s">
        <v>71</v>
      </c>
      <c r="J437" s="39" t="s">
        <v>73</v>
      </c>
      <c r="K437" s="45" t="str">
        <f>IF(K433=0,"-",SUM(K434:K436))</f>
        <v>-</v>
      </c>
      <c r="L437" s="45" t="str">
        <f>IF(L433=0,"-",SUM(L434:L436))</f>
        <v>-</v>
      </c>
      <c r="M437" s="45" t="str">
        <f>IF(M433=0,"-",SUM(M434:M436))</f>
        <v>-</v>
      </c>
      <c r="N437" s="45" t="str">
        <f>IF(N433=0,"-",SUM(N434:N436))</f>
        <v>-</v>
      </c>
      <c r="O437" s="45" t="str">
        <f>IF(O433=0,"-",SUM(O434:O436))</f>
        <v>-</v>
      </c>
    </row>
    <row r="438" spans="3:15" hidden="1" outlineLevel="1" x14ac:dyDescent="0.25">
      <c r="C438" s="37"/>
      <c r="D438" s="37"/>
      <c r="E438" s="37"/>
      <c r="F438" s="37"/>
      <c r="G438" s="47"/>
      <c r="H438" s="47"/>
      <c r="I438" s="39"/>
      <c r="J438" s="39"/>
      <c r="K438" s="45"/>
      <c r="L438" s="39"/>
      <c r="M438" s="39"/>
      <c r="N438" s="39"/>
      <c r="O438" s="39"/>
    </row>
    <row r="439" spans="3:15" hidden="1" outlineLevel="1" x14ac:dyDescent="0.25"/>
    <row r="440" spans="3:15" hidden="1" outlineLevel="1" x14ac:dyDescent="0.25"/>
    <row r="441" spans="3:15" hidden="1" outlineLevel="1" x14ac:dyDescent="0.25"/>
    <row r="442" spans="3:15" hidden="1" outlineLevel="1" x14ac:dyDescent="0.25"/>
    <row r="443" spans="3:15" hidden="1" outlineLevel="1" x14ac:dyDescent="0.25"/>
    <row r="444" spans="3:15" hidden="1" outlineLevel="1" x14ac:dyDescent="0.25"/>
    <row r="445" spans="3:15" hidden="1" outlineLevel="1" x14ac:dyDescent="0.25"/>
    <row r="446" spans="3:15" hidden="1" outlineLevel="1" x14ac:dyDescent="0.25"/>
    <row r="447" spans="3:15" hidden="1" outlineLevel="1" x14ac:dyDescent="0.25"/>
    <row r="448" spans="3:15" hidden="1" x14ac:dyDescent="0.25"/>
  </sheetData>
  <sheetProtection algorithmName="SHA-512" hashValue="zsb0OEBnVp8+r5wIeGQEGVELMzOlm5DGFTEtTrvsVUx+njk/GIhS9TbTQ4na97Mk7DbztQaHsCmuOH0sleJpuA==" saltValue="HoccdQ4nHag6W+ToFwEkEg==" spinCount="100000" sheet="1" objects="1" scenarios="1"/>
  <mergeCells count="1">
    <mergeCell ref="A2:A3"/>
  </mergeCells>
  <phoneticPr fontId="30" type="noConversion"/>
  <dataValidations count="1">
    <dataValidation type="list" allowBlank="1" showInputMessage="1" showErrorMessage="1" sqref="G438:I438 G360:I360 G169:G175 G237:G242 H17:I17 G18:G23 H30:I30 H249:I249 G31:G36 H43:I43 G250:G255 G44:G49 G374:G380 G385:I386 H388:I388 H262:I262 G183:G188 G207 G324:G329 G400 G361:G366 G372 G219:I219 G428:G433 H236:I236 G117:G123 G414:I414 G415:G420 G115 G103:I103 G388:G394 G263:G268 G426 G402:G407 G323:I323 G337:G343 G335 G141:I141 G155:G161 G166:I167 H169:I169 G104:G109 G181 G142:G147 G153 G209:G214 G129 G195:I195 G196:G201" xr:uid="{1AE6ACDE-CA28-4EF7-9893-0F6188807EA2}">
      <formula1>"Yes,No"</formula1>
    </dataValidation>
  </dataValidations>
  <hyperlinks>
    <hyperlink ref="B1" location="Contents!A1" display="&lt;&lt; Back to Contents" xr:uid="{2F17FAF7-1958-4883-B70A-826CD57A149A}"/>
  </hyperlinks>
  <pageMargins left="0.7" right="0.7" top="0.75" bottom="0.75" header="0.3" footer="0.3"/>
  <pageSetup paperSize="9" orientation="portrait" r:id="rId1"/>
  <headerFooter>
    <oddHeader>&amp;C&amp;B&amp;"Arial"&amp;12&amp;Kff0000​‌OFFICIAL‌​</oddHeader>
  </headerFooter>
  <ignoredErrors>
    <ignoredError sqref="K332:K333 L344:O344 K346:O347 K356:K357" calculatedColumn="1"/>
  </ignoredErrors>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E815EA05-8F41-4BAC-860A-D30B0531C615}">
          <x14:formula1>
            <xm:f>'Lookup refs'!$E$8:$E$20</xm:f>
          </x14:formula1>
          <xm:sqref>F55 F220 I279:I290 I59:I70 I229:I231 I10:I12 I16:I54 I101:I219 I235:I273 I321:I438</xm:sqref>
        </x14:dataValidation>
        <x14:dataValidation type="list" allowBlank="1" showInputMessage="1" showErrorMessage="1" xr:uid="{057ACAD4-5C6C-42F9-B5A1-859B19EB380F}">
          <x14:formula1>
            <xm:f>'Lookup refs'!$G$8:$G$10</xm:f>
          </x14:formula1>
          <xm:sqref>G55 G220 J279 J285 J282 J288 J10:J12 J72:J73 J229:J231 J292:J293 J31:J42 J44:J54 J18:J29 J104:J139 J142:J165 J170:J193 J196:J218 J237:J248 J250:J261 J263:J273 J324:J358 J361:J384 J389:J412 J415:J437</xm:sqref>
        </x14:dataValidation>
        <x14:dataValidation type="list" allowBlank="1" showInputMessage="1" showErrorMessage="1" xr:uid="{5CD920AE-075C-4307-97A9-458228D01FB3}">
          <x14:formula1>
            <xm:f>'Lookup refs'!$C$8:$C$10</xm:f>
          </x14:formula1>
          <xm:sqref>E55 E220 H31:H42 H44:H54 H18:H29 H104:H139 H142:H165 H170:H193 H196:H218 H237:H248 H250:H261 H263:H273 H324:H358 H361:H384 H389:H412 H415:H437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86CEB-3301-4A59-8593-A05FFA1D9B81}">
  <sheetPr>
    <tabColor rgb="FF236192"/>
    <outlinePr summaryBelow="0"/>
    <pageSetUpPr autoPageBreaks="0"/>
  </sheetPr>
  <dimension ref="A1:V267"/>
  <sheetViews>
    <sheetView showGridLines="0" topLeftCell="B1" zoomScale="60" zoomScaleNormal="60" workbookViewId="0">
      <pane ySplit="3" topLeftCell="A4" activePane="bottomLeft" state="frozen"/>
      <selection activeCell="B33" sqref="B33"/>
      <selection pane="bottomLeft" activeCell="R65" sqref="R65"/>
    </sheetView>
  </sheetViews>
  <sheetFormatPr defaultColWidth="9.42578125" defaultRowHeight="15" outlineLevelRow="1" outlineLevelCol="1" x14ac:dyDescent="0.25"/>
  <cols>
    <col min="1" max="1" width="100.5703125" hidden="1" customWidth="1" outlineLevel="1" collapsed="1"/>
    <col min="2" max="2" width="10.5703125" style="5" customWidth="1" collapsed="1"/>
    <col min="3" max="3" width="50.5703125" customWidth="1"/>
    <col min="4" max="12" width="20.5703125" customWidth="1"/>
    <col min="13" max="13" width="12.28515625" bestFit="1" customWidth="1"/>
  </cols>
  <sheetData>
    <row r="1" spans="1:12" ht="15" customHeight="1" x14ac:dyDescent="0.25">
      <c r="A1" s="1" t="s">
        <v>33</v>
      </c>
      <c r="B1" s="249" t="s">
        <v>576</v>
      </c>
      <c r="C1" s="13"/>
      <c r="D1" s="85" t="s">
        <v>358</v>
      </c>
      <c r="E1" s="70"/>
      <c r="F1" s="13"/>
      <c r="G1" s="13"/>
      <c r="H1" s="13"/>
      <c r="I1" s="13"/>
      <c r="J1" s="13"/>
      <c r="K1" s="13"/>
      <c r="L1" s="13"/>
    </row>
    <row r="2" spans="1:12" s="3" customFormat="1" ht="50.1" customHeight="1" x14ac:dyDescent="0.25">
      <c r="A2" s="253" t="s">
        <v>34</v>
      </c>
      <c r="B2" s="16"/>
      <c r="C2" s="16" t="str">
        <f>Disclaimer!$B$1</f>
        <v>VDO calculation model</v>
      </c>
      <c r="D2" s="124" t="str">
        <f>$D$5</f>
        <v>VDO 2024-25 - Final</v>
      </c>
      <c r="E2" s="124" t="str">
        <f>$D$135</f>
        <v>VDO 2023-24 - Final</v>
      </c>
      <c r="F2" s="16"/>
      <c r="G2" s="16"/>
      <c r="H2" s="16"/>
      <c r="I2" s="16"/>
      <c r="J2" s="16"/>
      <c r="K2" s="16"/>
      <c r="L2" s="16"/>
    </row>
    <row r="3" spans="1:12" s="3" customFormat="1" ht="30" customHeight="1" x14ac:dyDescent="0.25">
      <c r="A3" s="254"/>
      <c r="B3" s="18">
        <f ca="1">_xlfn.SHEET()</f>
        <v>15</v>
      </c>
      <c r="C3" s="17" t="s">
        <v>472</v>
      </c>
      <c r="D3" s="69">
        <f>SUM($H$44:$L$48,$H$100:$L$132)</f>
        <v>0</v>
      </c>
      <c r="E3" s="69">
        <f>SUM($H$174:$L$178,$H$230:$L$262)</f>
        <v>0</v>
      </c>
      <c r="F3" s="17"/>
      <c r="G3" s="17"/>
      <c r="H3" s="17"/>
      <c r="I3" s="17"/>
      <c r="J3" s="17"/>
      <c r="K3" s="17"/>
      <c r="L3" s="17"/>
    </row>
    <row r="4" spans="1:12" x14ac:dyDescent="0.25">
      <c r="B4"/>
    </row>
    <row r="5" spans="1:12" ht="15.75" x14ac:dyDescent="0.25">
      <c r="B5"/>
      <c r="C5" s="36" t="s">
        <v>49</v>
      </c>
      <c r="D5" s="28" t="str">
        <f>Calc_Rates!$D$5</f>
        <v>VDO 2024-25 - Final</v>
      </c>
    </row>
    <row r="6" spans="1:12" x14ac:dyDescent="0.25">
      <c r="B6"/>
    </row>
    <row r="7" spans="1:12" ht="16.5" collapsed="1" thickBot="1" x14ac:dyDescent="0.3">
      <c r="B7" s="155">
        <f ca="1">MAX(B$3:B6)+0.01</f>
        <v>15.01</v>
      </c>
      <c r="C7" s="19" t="s">
        <v>473</v>
      </c>
      <c r="D7" s="19"/>
      <c r="E7" s="19"/>
      <c r="F7" s="19"/>
      <c r="G7" s="19"/>
      <c r="H7" s="19"/>
      <c r="I7" s="19"/>
      <c r="J7" s="19"/>
      <c r="K7" s="19"/>
      <c r="L7" s="19"/>
    </row>
    <row r="8" spans="1:12" ht="15.75" hidden="1" outlineLevel="1" x14ac:dyDescent="0.25">
      <c r="C8" s="20"/>
    </row>
    <row r="9" spans="1:12" ht="15.75" hidden="1" outlineLevel="1" x14ac:dyDescent="0.25">
      <c r="C9" s="20" t="s">
        <v>474</v>
      </c>
    </row>
    <row r="10" spans="1:12" ht="15.75" hidden="1" outlineLevel="1" x14ac:dyDescent="0.25">
      <c r="C10" s="90" t="s">
        <v>51</v>
      </c>
      <c r="D10" s="90" t="s">
        <v>114</v>
      </c>
      <c r="E10" s="90" t="s">
        <v>62</v>
      </c>
      <c r="F10" s="90" t="s">
        <v>63</v>
      </c>
      <c r="G10" s="90" t="s">
        <v>50</v>
      </c>
      <c r="H10" s="40" t="s">
        <v>65</v>
      </c>
      <c r="I10" s="40" t="s">
        <v>66</v>
      </c>
      <c r="J10" s="40" t="s">
        <v>67</v>
      </c>
      <c r="K10" s="40" t="s">
        <v>68</v>
      </c>
      <c r="L10" s="40" t="s">
        <v>69</v>
      </c>
    </row>
    <row r="11" spans="1:12" hidden="1" outlineLevel="1" x14ac:dyDescent="0.25">
      <c r="C11" s="14" t="str">
        <f>IF(COUNTIFS(Calc_TUV_Net_1[Pass through (Yes/No)],"Yes",Calc_TUV_Net_1[Cost item],"Anytime - "&amp;Calc_TUV_NetGroup_1[[#This Row],[Customer type]])=1,"Anytime - supply","-")</f>
        <v>-</v>
      </c>
      <c r="D11" s="14" t="s">
        <v>138</v>
      </c>
      <c r="E11" s="39" t="s">
        <v>71</v>
      </c>
      <c r="F11" s="14" t="s">
        <v>72</v>
      </c>
      <c r="G11" s="14" t="s">
        <v>87</v>
      </c>
      <c r="H11" s="98">
        <f>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1" s="98" cm="1">
        <f t="array" ref="I11">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1" s="98" cm="1">
        <f t="array" ref="J11">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1" s="98" cm="1">
        <f t="array" ref="K11">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1" s="98" cm="1">
        <f t="array" ref="L11">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2" spans="1:12" hidden="1" outlineLevel="1" x14ac:dyDescent="0.25">
      <c r="C12" s="14" t="str">
        <f>IF(COUNTIFS(Calc_TUV_Net_1[Pass through (Yes/No)],"Yes",Calc_TUV_Net_1[Cost item],"Anytime - "&amp;Calc_TUV_NetGroup_1[[#This Row],[Customer type]])=1,"Anytime - usage","-")</f>
        <v>-</v>
      </c>
      <c r="D12" s="14" t="s">
        <v>184</v>
      </c>
      <c r="E12" s="39" t="s">
        <v>71</v>
      </c>
      <c r="F12" s="14" t="s">
        <v>72</v>
      </c>
      <c r="G12" s="14" t="s">
        <v>87</v>
      </c>
      <c r="H12" s="98" cm="1">
        <f t="array" ref="H12">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2" s="98" cm="1">
        <f t="array" ref="I12">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2" s="98" cm="1">
        <f t="array" ref="J12">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2" s="98" cm="1">
        <f t="array" ref="K12">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2" s="98" cm="1">
        <f t="array" ref="L12">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3" spans="1:12" hidden="1" outlineLevel="1" x14ac:dyDescent="0.25">
      <c r="C13" s="14" t="str">
        <f>IF(COUNTIFS(Calc_TUV_Net_1[Pass through (Yes/No)],"Yes",Calc_TUV_Net_1[Cost item],"Anytime - "&amp;Calc_TUV_NetGroup_1[[#This Row],[Customer type]])=1,"Anytime - supply","-")</f>
        <v>-</v>
      </c>
      <c r="D13" s="14" t="s">
        <v>138</v>
      </c>
      <c r="E13" s="39" t="s">
        <v>71</v>
      </c>
      <c r="F13" s="14" t="s">
        <v>73</v>
      </c>
      <c r="G13" s="14" t="s">
        <v>87</v>
      </c>
      <c r="H13" s="98" cm="1">
        <f t="array" ref="H13">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3" s="98" cm="1">
        <f t="array" ref="I13">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3" s="98" cm="1">
        <f t="array" ref="J13">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3" s="98" cm="1">
        <f t="array" ref="K13">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3" s="98" cm="1">
        <f t="array" ref="L13">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4" spans="1:12" hidden="1" outlineLevel="1" x14ac:dyDescent="0.25">
      <c r="C14" s="14" t="str">
        <f>IF(COUNTIFS(Calc_TUV_Net_1[Pass through (Yes/No)],"Yes",Calc_TUV_Net_1[Cost item],"Anytime - "&amp;Calc_TUV_NetGroup_1[[#This Row],[Customer type]])=1,"Anytime - usage","-")</f>
        <v>-</v>
      </c>
      <c r="D14" s="14" t="s">
        <v>184</v>
      </c>
      <c r="E14" s="39" t="s">
        <v>71</v>
      </c>
      <c r="F14" s="14" t="s">
        <v>73</v>
      </c>
      <c r="G14" s="14" t="s">
        <v>87</v>
      </c>
      <c r="H14" s="98" cm="1">
        <f t="array" ref="H14">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4" s="98" cm="1">
        <f t="array" ref="I14">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4" s="98" cm="1">
        <f t="array" ref="J14">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4" s="98" cm="1">
        <f t="array" ref="K14">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4" s="98" cm="1">
        <f t="array" ref="L14">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5" spans="1:12" hidden="1" outlineLevel="1" x14ac:dyDescent="0.25">
      <c r="C15" s="14" t="str">
        <f>IF(COUNTIFS(Calc_TUV_Net_1[Pass through (Yes/No)],"Yes",Calc_TUV_Net_1[Cost item],"Controlled load cost - "&amp;Calc_TUV_NetGroup_1[[#This Row],[Customer type]])=1,"Controlled load - usage","-")</f>
        <v>-</v>
      </c>
      <c r="D15" s="14" t="s">
        <v>184</v>
      </c>
      <c r="E15" s="39" t="s">
        <v>71</v>
      </c>
      <c r="F15" s="14" t="s">
        <v>72</v>
      </c>
      <c r="G15" s="14" t="s">
        <v>87</v>
      </c>
      <c r="H15" s="98" cm="1">
        <f t="array" ref="H15">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5" s="98" cm="1">
        <f t="array" ref="I15">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5" s="98" cm="1">
        <f t="array" ref="J15">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5" s="98" cm="1">
        <f t="array" ref="K15">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5" s="98" cm="1">
        <f t="array" ref="L15">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6" spans="1:12" hidden="1" outlineLevel="1" x14ac:dyDescent="0.25">
      <c r="C16" s="14" t="str">
        <f>IF(COUNTIFS(Calc_TUV_Net_1[Pass through (Yes/No)],"Yes",Calc_TUV_Net_1[Cost item],"TOU - "&amp;Calc_TUV_NetGroup_1[[#This Row],[Customer type]])=1,"TOU - supply","-")</f>
        <v>-</v>
      </c>
      <c r="D16" s="14" t="s">
        <v>138</v>
      </c>
      <c r="E16" s="39" t="s">
        <v>71</v>
      </c>
      <c r="F16" s="14" t="s">
        <v>72</v>
      </c>
      <c r="G16" s="14" t="s">
        <v>87</v>
      </c>
      <c r="H16" s="98" cm="1">
        <f t="array" ref="H16">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6" s="98" cm="1">
        <f t="array" ref="I16">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6" s="98" cm="1">
        <f t="array" ref="J16">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6" s="98" cm="1">
        <f t="array" ref="K16">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6" s="98" cm="1">
        <f t="array" ref="L16">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7" spans="3:12" hidden="1" outlineLevel="1" x14ac:dyDescent="0.25">
      <c r="C17" s="14" t="str">
        <f>IF(COUNTIFS(Calc_TUV_Net_1[Pass through (Yes/No)],"Yes",Calc_TUV_Net_1[Cost item],"TOU - "&amp;Calc_TUV_NetGroup_1[[#This Row],[Customer type]])=1,"TOU - usage","-")</f>
        <v>-</v>
      </c>
      <c r="D17" s="14" t="s">
        <v>184</v>
      </c>
      <c r="E17" s="39" t="s">
        <v>71</v>
      </c>
      <c r="F17" s="14" t="s">
        <v>72</v>
      </c>
      <c r="G17" s="14" t="s">
        <v>87</v>
      </c>
      <c r="H17" s="98" cm="1">
        <f t="array" ref="H17">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7" s="98" cm="1">
        <f t="array" ref="I17">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7" s="98" cm="1">
        <f t="array" ref="J17">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7" s="98" cm="1">
        <f t="array" ref="K17">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7" s="98" cm="1">
        <f t="array" ref="L17">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8" spans="3:12" hidden="1" outlineLevel="1" x14ac:dyDescent="0.25">
      <c r="C18" s="14" t="str">
        <f>IF(COUNTIFS(Calc_TUV_Net_1[Pass through (Yes/No)],"Yes",Calc_TUV_Net_1[Cost item],"TOU - "&amp;Calc_TUV_NetGroup_1[[#This Row],[Customer type]])=1,"TOU - supply","-")</f>
        <v>-</v>
      </c>
      <c r="D18" s="14" t="s">
        <v>138</v>
      </c>
      <c r="E18" s="39" t="s">
        <v>71</v>
      </c>
      <c r="F18" s="14" t="s">
        <v>73</v>
      </c>
      <c r="G18" s="14" t="s">
        <v>87</v>
      </c>
      <c r="H18" s="98" cm="1">
        <f t="array" ref="H18">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8" s="98" cm="1">
        <f t="array" ref="I18">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8" s="98" cm="1">
        <f t="array" ref="J18">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8" s="98" cm="1">
        <f t="array" ref="K18">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8" s="98" cm="1">
        <f t="array" ref="L18">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19" spans="3:12" hidden="1" outlineLevel="1" x14ac:dyDescent="0.25">
      <c r="C19" s="14" t="str">
        <f>IF(COUNTIFS(Calc_TUV_Net_1[Pass through (Yes/No)],"Yes",Calc_TUV_Net_1[Cost item],"TOU - "&amp;Calc_TUV_NetGroup_1[[#This Row],[Customer type]])=1,"TOU - usage","-")</f>
        <v>-</v>
      </c>
      <c r="D19" s="14" t="s">
        <v>184</v>
      </c>
      <c r="E19" s="39" t="s">
        <v>71</v>
      </c>
      <c r="F19" s="14" t="s">
        <v>73</v>
      </c>
      <c r="G19" s="14" t="s">
        <v>87</v>
      </c>
      <c r="H19" s="98" cm="1">
        <f t="array" ref="H19">IFERROR(SUMIFS(INDEX(Calc_TUV_Net_1[[Ausnet]:[United Energy]],0,MATCH(Calc_TUV_NetGroup_1[[#Headers],[Ausnet]],Calc_TUV_Net_1[[#Headers],[Ausnet]:[United Energy]],0)),
Calc_TUV_Net_1[Cost item],Calc_TUV_NetGroup_1[[#This Row],[Cost item]]&amp;" cost true up",
Calc_TUV_Net_1[Customer type],Calc_TUV_NetGroup_1[[#This Row],[Customer type]]),"-")</f>
        <v>0</v>
      </c>
      <c r="I19" s="98" cm="1">
        <f t="array" ref="I19">IFERROR(SUMIFS(INDEX(Calc_TUV_Net_1[[Ausnet]:[United Energy]],0,MATCH(Calc_TUV_NetGroup_1[[#Headers],[Citipower]],Calc_TUV_Net_1[[#Headers],[Ausnet]:[United Energy]],0)),
Calc_TUV_Net_1[Cost item],Calc_TUV_NetGroup_1[[#This Row],[Cost item]]&amp;" cost true up",
Calc_TUV_Net_1[Customer type],Calc_TUV_NetGroup_1[[#This Row],[Customer type]]),"-")</f>
        <v>0</v>
      </c>
      <c r="J19" s="98" cm="1">
        <f t="array" ref="J19">IFERROR(SUMIFS(INDEX(Calc_TUV_Net_1[[Ausnet]:[United Energy]],0,MATCH(Calc_TUV_NetGroup_1[[#Headers],[Jemena]],Calc_TUV_Net_1[[#Headers],[Ausnet]:[United Energy]],0)),
Calc_TUV_Net_1[Cost item],Calc_TUV_NetGroup_1[[#This Row],[Cost item]]&amp;" cost true up",
Calc_TUV_Net_1[Customer type],Calc_TUV_NetGroup_1[[#This Row],[Customer type]]),"-")</f>
        <v>0</v>
      </c>
      <c r="K19" s="98" cm="1">
        <f t="array" ref="K19">IFERROR(SUMIFS(INDEX(Calc_TUV_Net_1[[Ausnet]:[United Energy]],0,MATCH(Calc_TUV_NetGroup_1[[#Headers],[Powercor]],Calc_TUV_Net_1[[#Headers],[Ausnet]:[United Energy]],0)),
Calc_TUV_Net_1[Cost item],Calc_TUV_NetGroup_1[[#This Row],[Cost item]]&amp;" cost true up",
Calc_TUV_Net_1[Customer type],Calc_TUV_NetGroup_1[[#This Row],[Customer type]]),"-")</f>
        <v>0</v>
      </c>
      <c r="L19" s="98" cm="1">
        <f t="array" ref="L19">IFERROR(SUMIFS(INDEX(Calc_TUV_Net_1[[Ausnet]:[United Energy]],0,MATCH(Calc_TUV_NetGroup_1[[#Headers],[United Energy]],Calc_TUV_Net_1[[#Headers],[Ausnet]:[United Energy]],0)),
Calc_TUV_Net_1[Cost item],Calc_TUV_NetGroup_1[[#This Row],[Cost item]]&amp;" cost true up",
Calc_TUV_Net_1[Customer type],Calc_TUV_NetGroup_1[[#This Row],[Customer type]]),"-")</f>
        <v>0</v>
      </c>
    </row>
    <row r="20" spans="3:12" ht="15.75" hidden="1" outlineLevel="1" x14ac:dyDescent="0.25">
      <c r="C20" s="20"/>
    </row>
    <row r="21" spans="3:12" ht="15.75" hidden="1" outlineLevel="1" x14ac:dyDescent="0.25">
      <c r="C21" s="36" t="s">
        <v>475</v>
      </c>
      <c r="D21" s="58" t="e">
        <f>INDEX(Inputs!$C$17:$Y$17,1,MATCH($D$5,Inputs!$C$15:$Y$15,0))</f>
        <v>#N/A</v>
      </c>
      <c r="E21" s="119" t="str">
        <f>IFERROR(INDEX(#REF!,MATCH(Calc_TU_rates!C21,#REF!,0),MATCH(Calc_TU_rates!D21,#REF!,0)),"-")</f>
        <v>-</v>
      </c>
    </row>
    <row r="22" spans="3:12" ht="15.75" hidden="1" outlineLevel="1" x14ac:dyDescent="0.25">
      <c r="C22" s="36" t="s">
        <v>476</v>
      </c>
      <c r="D22" s="58" t="e">
        <f>INDEX(Inputs!$C$17:$Y$17,1,MATCH($D$5,Inputs!$C$15:$Y$15,0))</f>
        <v>#N/A</v>
      </c>
      <c r="E22" s="119" t="str">
        <f>IFERROR(INDEX(#REF!,MATCH(Calc_TU_rates!C22,#REF!,0),MATCH(Calc_TU_rates!D22,#REF!,0)),"-")</f>
        <v>-</v>
      </c>
    </row>
    <row r="23" spans="3:12" ht="15.75" hidden="1" outlineLevel="1" x14ac:dyDescent="0.25">
      <c r="C23" s="20"/>
    </row>
    <row r="24" spans="3:12" ht="15.75" hidden="1" outlineLevel="1" x14ac:dyDescent="0.25">
      <c r="C24" s="36" t="s">
        <v>428</v>
      </c>
      <c r="E24" s="129" t="str">
        <f>IFERROR(_xlfn.DAYS(E22,E21)+1,"-")</f>
        <v>-</v>
      </c>
    </row>
    <row r="25" spans="3:12" ht="15.75" hidden="1" outlineLevel="1" x14ac:dyDescent="0.25">
      <c r="C25" s="20"/>
    </row>
    <row r="26" spans="3:12" ht="15.75" hidden="1" outlineLevel="1" x14ac:dyDescent="0.25">
      <c r="C26" s="20" t="s">
        <v>477</v>
      </c>
    </row>
    <row r="27" spans="3:12" ht="15.75" hidden="1" outlineLevel="1" x14ac:dyDescent="0.25">
      <c r="C27" s="30" t="s">
        <v>478</v>
      </c>
      <c r="D27" s="90" t="s">
        <v>114</v>
      </c>
      <c r="E27" s="90" t="s">
        <v>62</v>
      </c>
      <c r="F27" s="90" t="s">
        <v>63</v>
      </c>
      <c r="G27" s="90" t="s">
        <v>50</v>
      </c>
      <c r="H27" s="40" t="s">
        <v>65</v>
      </c>
      <c r="I27" s="40" t="s">
        <v>66</v>
      </c>
      <c r="J27" s="40" t="s">
        <v>67</v>
      </c>
      <c r="K27" s="40" t="s">
        <v>68</v>
      </c>
      <c r="L27" s="40" t="s">
        <v>69</v>
      </c>
    </row>
    <row r="28" spans="3:12" hidden="1" outlineLevel="1" collapsed="1" x14ac:dyDescent="0.25">
      <c r="C28" s="14" t="s">
        <v>86</v>
      </c>
      <c r="D28" s="14" t="s">
        <v>138</v>
      </c>
      <c r="E28" s="39" t="s">
        <v>71</v>
      </c>
      <c r="F28" s="14" t="s">
        <v>72</v>
      </c>
      <c r="G28" s="14" t="s">
        <v>87</v>
      </c>
      <c r="H28" s="99" t="str">
        <f>IFERROR(
(SUMIFS(Calc_TUV_NetGroup_1[Ausnet],
Calc_TUV_NetGroup_1[Cost item],Calc_TUR_Net_1[[#This Row],[Rate type]]&amp;" - supply",
Calc_TUV_NetGroup_1[Customer type],Calc_TUR_Net_1[[#This Row],[Customer type]],
Calc_TUV_NetGroup_1[Cost element],Calc_TUR_Net_1[[#This Row],[Cost element]])+
SUMIFS(Calc_TUV_NetGroup_1[Ausnet],
Calc_TUV_NetGroup_1[Cost item],Calc_TUR_Net_1[[#This Row],[Rate type]]&amp;" - usage",
Calc_TUV_NetGroup_1[Customer type],Calc_TUR_Net_1[[#This Row],[Customer type]],
Calc_TUV_NetGroup_1[Cost element],Calc_TUR_Net_1[[#This Row],[Cost element]]))
/$E$24,"-")</f>
        <v>-</v>
      </c>
      <c r="I28" s="99" t="str" cm="1">
        <f t="array" ref="I28">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8" s="99" t="str" cm="1">
        <f t="array" ref="J28">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8" s="99" t="str" cm="1">
        <f t="array" ref="K28">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8" s="99" t="str" cm="1">
        <f t="array" ref="L28">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29" spans="3:12" hidden="1" outlineLevel="1" x14ac:dyDescent="0.25">
      <c r="C29" s="14" t="s">
        <v>86</v>
      </c>
      <c r="D29" s="14" t="s">
        <v>138</v>
      </c>
      <c r="E29" s="39" t="s">
        <v>71</v>
      </c>
      <c r="F29" s="14" t="s">
        <v>73</v>
      </c>
      <c r="G29" s="14" t="s">
        <v>87</v>
      </c>
      <c r="H29" s="99" t="str" cm="1">
        <f t="array" ref="H29">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29" s="99" t="str" cm="1">
        <f t="array" ref="I29">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29" s="99" t="str" cm="1">
        <f t="array" ref="J29">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29" s="99" t="str" cm="1">
        <f t="array" ref="K29">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29" s="99" t="str" cm="1">
        <f t="array" ref="L29">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0" spans="3:12" hidden="1" outlineLevel="1" x14ac:dyDescent="0.25">
      <c r="C30" s="14" t="s">
        <v>88</v>
      </c>
      <c r="D30" s="14" t="s">
        <v>138</v>
      </c>
      <c r="E30" s="39" t="s">
        <v>71</v>
      </c>
      <c r="F30" s="14" t="s">
        <v>72</v>
      </c>
      <c r="G30" s="14" t="s">
        <v>87</v>
      </c>
      <c r="H30" s="99" t="str" cm="1">
        <f t="array" ref="H30">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0" s="99" t="str" cm="1">
        <f t="array" ref="I30">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0" s="99" t="str" cm="1">
        <f t="array" ref="J30">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0" s="99" t="str" cm="1">
        <f t="array" ref="K30">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0" s="99" t="str" cm="1">
        <f t="array" ref="L30">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1" spans="3:12" hidden="1" outlineLevel="1" x14ac:dyDescent="0.25">
      <c r="C31" s="14" t="s">
        <v>88</v>
      </c>
      <c r="D31" s="14" t="s">
        <v>138</v>
      </c>
      <c r="E31" s="39" t="s">
        <v>71</v>
      </c>
      <c r="F31" s="14" t="s">
        <v>73</v>
      </c>
      <c r="G31" s="14" t="s">
        <v>87</v>
      </c>
      <c r="H31" s="99" t="str" cm="1">
        <f t="array" ref="H31">IFERROR(
(SUMIFS(Calc_TUV_NetGroup_1[Ausnet],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SUMIFS(Calc_TUV_NetGroup_1[Ausnet],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I31" s="99" t="str" cm="1">
        <f t="array" ref="I31">IFERROR(
(SUMIFS(Calc_TUV_NetGroup_1[Citipower],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SUMIFS(Calc_TUV_NetGroup_1[Citipower],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J31" s="99" t="str" cm="1">
        <f t="array" ref="J31">IFERROR(
(SUMIFS(Calc_TUV_NetGroup_1[Jemena],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SUMIFS(Calc_TUV_NetGroup_1[Jemena],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K31" s="99" t="str" cm="1">
        <f t="array" ref="K31">IFERROR(
(SUMIFS(Calc_TUV_NetGroup_1[Powercor],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SUMIFS(Calc_TUV_NetGroup_1[Powercor],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c r="L31" s="99" t="str" cm="1">
        <f t="array" ref="L31">IFERROR(
(SUMIFS(Calc_TUV_NetGroup_1[United Energy],
Calc_TUV_NetGroup_1[[Cost item]:[Cost item]],Calc_TUR_Net_1[[#This Row],[Rate type]:[Rate type]]&amp;" - supply",
Calc_TUV_NetGroup_1[[Customer type]:[Customer type]],Calc_TUR_Net_1[[#This Row],[Customer type]:[Customer type]],
Calc_TUV_NetGroup_1[[Cost element]:[Cost element]],Calc_TUR_Net_1[[#This Row],[Cost element]:[Cost element]])+
SUMIFS(Calc_TUV_NetGroup_1[United Energy],
Calc_TUV_NetGroup_1[[Cost item]:[Cost item]],Calc_TUR_Net_1[[#This Row],[Rate type]:[Rate type]]&amp;" - usage",
Calc_TUV_NetGroup_1[[Customer type]:[Customer type]],Calc_TUR_Net_1[[#This Row],[Customer type]:[Customer type]],
Calc_TUV_NetGroup_1[[Cost element]:[Cost element]],Calc_TUR_Net_1[[#This Row],[Cost element]:[Cost element]]))
/$E$24,"-")</f>
        <v>-</v>
      </c>
    </row>
    <row r="32" spans="3:12" hidden="1" outlineLevel="1" x14ac:dyDescent="0.25">
      <c r="C32" s="93"/>
      <c r="D32" s="93"/>
      <c r="E32" s="94"/>
      <c r="F32" s="93"/>
      <c r="G32" s="93"/>
      <c r="H32" s="93"/>
      <c r="I32" s="93"/>
      <c r="J32" s="93"/>
      <c r="K32" s="93"/>
      <c r="L32" s="93"/>
    </row>
    <row r="33" spans="3:12" ht="15.75" hidden="1" outlineLevel="1" x14ac:dyDescent="0.25">
      <c r="C33" s="36" t="s">
        <v>479</v>
      </c>
      <c r="E33" s="102" t="str">
        <f>IFERROR((_xlfn.DAYS(E22,E21)+1)/_xlfn.SINGLE(DiY),"-")</f>
        <v>-</v>
      </c>
    </row>
    <row r="34" spans="3:12" ht="15.75" hidden="1" outlineLevel="1" x14ac:dyDescent="0.25">
      <c r="C34" s="36" t="s">
        <v>480</v>
      </c>
      <c r="E34" s="134" t="str">
        <f>IFERROR(
INDEX(Input_Usage[[F-PreviousVDO_Input]:[F-PreviousVDO_Input2]],MATCH("Residential - medium - Controlled load",Input_Usage[Ref],0),MATCH($D$5,Inputs!$H$147:$L$147,0))*E33,"-")</f>
        <v>-</v>
      </c>
      <c r="G34" s="133"/>
    </row>
    <row r="35" spans="3:12" ht="15.75" hidden="1" outlineLevel="1" x14ac:dyDescent="0.25">
      <c r="C35" s="36" t="s">
        <v>481</v>
      </c>
      <c r="D35" s="58" t="e">
        <f>INDEX(Inputs!$C$17:$Y$17,1,MATCH($D$5,Inputs!$C$15:$Y$15,0))</f>
        <v>#N/A</v>
      </c>
      <c r="E35" s="102" t="str" cm="1">
        <f t="array" ref="E35">IFERROR(INDEX(#REF!,MATCH(1,(#REF!="Total usage - Controlled Load")*(#REF!="Residential")*(#REF!="January 2021 to June 2021"),0),MATCH($D$35,#REF!,0))
/INDEX(#REF!,MATCH(1,(#REF!="Total usage - Controlled Load")*(#REF!="Residential")*(#REF!="July 2020 to June 2021"),0),MATCH($D$35,#REF!,0)),"-")</f>
        <v>-</v>
      </c>
      <c r="G35" s="133"/>
    </row>
    <row r="36" spans="3:12" ht="15.75" hidden="1" outlineLevel="1" x14ac:dyDescent="0.25">
      <c r="C36" s="36" t="s">
        <v>482</v>
      </c>
      <c r="E36" s="134" t="str">
        <f>IFERROR(
INDEX(Input_Usage[[F-PreviousVDO_Input]:[F-PreviousVDO_Input2]],MATCH("Residential - medium - Controlled load",Input_Usage[Ref],0),MATCH(Calc_TU_rates!$D$135,Inputs!$H$147:$L$147,0))*E35,"-")</f>
        <v>-</v>
      </c>
      <c r="G36" s="133"/>
    </row>
    <row r="37" spans="3:12" hidden="1" outlineLevel="1" x14ac:dyDescent="0.25"/>
    <row r="38" spans="3:12" ht="15.75" hidden="1" outlineLevel="1" x14ac:dyDescent="0.25">
      <c r="C38" s="20" t="s">
        <v>483</v>
      </c>
    </row>
    <row r="39" spans="3:12" ht="15.75" hidden="1" outlineLevel="1" x14ac:dyDescent="0.25">
      <c r="C39" s="30" t="s">
        <v>478</v>
      </c>
      <c r="D39" s="90" t="s">
        <v>114</v>
      </c>
      <c r="E39" s="90" t="s">
        <v>62</v>
      </c>
      <c r="F39" s="90" t="s">
        <v>63</v>
      </c>
      <c r="G39" s="90" t="s">
        <v>50</v>
      </c>
      <c r="H39" s="40" t="s">
        <v>65</v>
      </c>
      <c r="I39" s="40" t="s">
        <v>66</v>
      </c>
      <c r="J39" s="40" t="s">
        <v>67</v>
      </c>
      <c r="K39" s="40" t="s">
        <v>68</v>
      </c>
      <c r="L39" s="40" t="s">
        <v>69</v>
      </c>
    </row>
    <row r="40" spans="3:12" hidden="1" outlineLevel="1" x14ac:dyDescent="0.25">
      <c r="C40" s="14" t="s">
        <v>81</v>
      </c>
      <c r="D40" s="14" t="s">
        <v>184</v>
      </c>
      <c r="E40" s="39" t="s">
        <v>71</v>
      </c>
      <c r="F40" s="14" t="s">
        <v>72</v>
      </c>
      <c r="G40" s="14" t="s">
        <v>87</v>
      </c>
      <c r="H40" s="99" t="str" cm="1">
        <f t="array" ref="H40">IFERROR(
(SUMIFS(Calc_TUV_NetGroup_1[Ausnet],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SUMIFS(Calc_TUV_NetGroup_1[Ausnet],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I40" s="99" t="str" cm="1">
        <f t="array" ref="I40">IFERROR(
(SUMIFS(Calc_TUV_NetGroup_1[Citipower],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SUMIFS(Calc_TUV_NetGroup_1[Citipower],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J40" s="99" t="str" cm="1">
        <f t="array" ref="J40">IFERROR(
(SUMIFS(Calc_TUV_NetGroup_1[Jemena],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SUMIFS(Calc_TUV_NetGroup_1[Jemena],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K40" s="99" t="str" cm="1">
        <f t="array" ref="K40">IFERROR(
(SUMIFS(Calc_TUV_NetGroup_1[Powercor],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SUMIFS(Calc_TUV_NetGroup_1[Powercor],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c r="L40" s="99" t="str" cm="1">
        <f t="array" ref="L40">IFERROR(
(SUMIFS(Calc_TUV_NetGroup_1[United Energy],
Calc_TUV_NetGroup_1[[Cost item]:[Cost item]],Calc_TUR_NetCL_1[[#This Row],[Rate type]:[Rate type]]&amp;" - supply",
Calc_TUV_NetGroup_1[[Customer type]:[Customer type]],Calc_TUR_NetCL_1[[#This Row],[Customer type]:[Customer type]],
Calc_TUV_NetGroup_1[[Cost element]:[Cost element]],Calc_TUR_NetCL_1[[#This Row],[Cost element]:[Cost element]])+
SUMIFS(Calc_TUV_NetGroup_1[United Energy],
Calc_TUV_NetGroup_1[[Cost item]:[Cost item]],Calc_TUR_NetCL_1[[#This Row],[Rate type]:[Rate type]]&amp;" - usage",
Calc_TUV_NetGroup_1[[Customer type]:[Customer type]],Calc_TUR_NetCL_1[[#This Row],[Customer type]:[Customer type]],
Calc_TUV_NetGroup_1[[Cost element]:[Cost element]],Calc_TUR_NetCL_1[[#This Row],[Cost element]:[Cost element]]))
/$E$34,"-")</f>
        <v>-</v>
      </c>
    </row>
    <row r="41" spans="3:12" hidden="1" outlineLevel="1" x14ac:dyDescent="0.25">
      <c r="C41" s="93"/>
      <c r="D41" s="93"/>
      <c r="E41" s="94"/>
      <c r="F41" s="93"/>
      <c r="G41" s="93"/>
      <c r="H41" s="93"/>
      <c r="I41" s="93"/>
      <c r="J41" s="93"/>
      <c r="K41" s="93"/>
      <c r="L41" s="93"/>
    </row>
    <row r="42" spans="3:12" ht="15.75" hidden="1" outlineLevel="1" x14ac:dyDescent="0.25">
      <c r="C42" s="20" t="s">
        <v>16</v>
      </c>
    </row>
    <row r="43" spans="3:12" ht="15.75" hidden="1" outlineLevel="1" x14ac:dyDescent="0.25">
      <c r="C43" s="89" t="s">
        <v>478</v>
      </c>
      <c r="D43" s="89" t="s">
        <v>114</v>
      </c>
      <c r="E43" s="89" t="s">
        <v>62</v>
      </c>
      <c r="F43" s="89" t="s">
        <v>63</v>
      </c>
      <c r="G43" s="103" t="s">
        <v>50</v>
      </c>
      <c r="H43" s="32" t="s">
        <v>65</v>
      </c>
      <c r="I43" s="32" t="s">
        <v>66</v>
      </c>
      <c r="J43" s="32" t="s">
        <v>67</v>
      </c>
      <c r="K43" s="32" t="s">
        <v>68</v>
      </c>
      <c r="L43" s="32" t="s">
        <v>69</v>
      </c>
    </row>
    <row r="44" spans="3:12" ht="15.75" hidden="1" outlineLevel="1" x14ac:dyDescent="0.25">
      <c r="C44" s="14" t="s">
        <v>86</v>
      </c>
      <c r="D44" s="14" t="s">
        <v>138</v>
      </c>
      <c r="E44" s="14" t="s">
        <v>71</v>
      </c>
      <c r="F44" s="14" t="s">
        <v>72</v>
      </c>
      <c r="G44" s="14" t="s">
        <v>87</v>
      </c>
      <c r="H44" s="67" t="str">
        <f>IFERROR(
IF(
(SUMIFS(Calc_TUV_NetGroup_1[Ausnet],Calc_TUV_NetGroup_1[[Customer type]:[Customer type]],$F44,Calc_TUV_NetGroup_1[[Cost item]:[Cost item]],$C44&amp;" - supply")+
SUMIFS(Calc_TUV_NetGroup_1[Ausnet],Calc_TUV_NetGroup_1[[Customer type]:[Customer type]],$F44,Calc_TUV_NetGroup_1[[Cost item]:[Cost item]],$C44&amp;" - usage"))/
IF($C44&lt;&gt;"Controlled load",$E$24,$E$34)=H28,
0,1),"-")</f>
        <v>-</v>
      </c>
      <c r="I44" s="67" t="str">
        <f>IFERROR(
IF(
(SUMIFS(Calc_TUV_NetGroup_1[Citipower],Calc_TUV_NetGroup_1[[Customer type]:[Customer type]],$F44,Calc_TUV_NetGroup_1[[Cost item]:[Cost item]],$C44&amp;" - supply")+
SUMIFS(Calc_TUV_NetGroup_1[Citipower],Calc_TUV_NetGroup_1[[Customer type]:[Customer type]],$F44,Calc_TUV_NetGroup_1[[Cost item]:[Cost item]],$C44&amp;" - usage"))/
IF($C44&lt;&gt;"Controlled load",$E$24,$E$34)=I28,
0,1),"-")</f>
        <v>-</v>
      </c>
      <c r="J44" s="67" t="str">
        <f>IFERROR(
IF(
(SUMIFS(Calc_TUV_NetGroup_1[Jemena],Calc_TUV_NetGroup_1[[Customer type]:[Customer type]],$F44,Calc_TUV_NetGroup_1[[Cost item]:[Cost item]],$C44&amp;" - supply")+
SUMIFS(Calc_TUV_NetGroup_1[Jemena],Calc_TUV_NetGroup_1[[Customer type]:[Customer type]],$F44,Calc_TUV_NetGroup_1[[Cost item]:[Cost item]],$C44&amp;" - usage"))/
IF($C44&lt;&gt;"Controlled load",$E$24,$E$34)=J28,
0,1),"-")</f>
        <v>-</v>
      </c>
      <c r="K44" s="67" t="str">
        <f>IFERROR(
IF(
(SUMIFS(Calc_TUV_NetGroup_1[Powercor],Calc_TUV_NetGroup_1[[Customer type]:[Customer type]],$F44,Calc_TUV_NetGroup_1[[Cost item]:[Cost item]],$C44&amp;" - supply")+
SUMIFS(Calc_TUV_NetGroup_1[Powercor],Calc_TUV_NetGroup_1[[Customer type]:[Customer type]],$F44,Calc_TUV_NetGroup_1[[Cost item]:[Cost item]],$C44&amp;" - usage"))/
IF($C44&lt;&gt;"Controlled load",$E$24,$E$34)=K28,
0,1),"-")</f>
        <v>-</v>
      </c>
      <c r="L44" s="67" t="str">
        <f>IFERROR(
IF(
(SUMIFS(Calc_TUV_NetGroup_1[United Energy],Calc_TUV_NetGroup_1[[Customer type]:[Customer type]],$F44,Calc_TUV_NetGroup_1[[Cost item]:[Cost item]],$C44&amp;" - supply")+
SUMIFS(Calc_TUV_NetGroup_1[United Energy],Calc_TUV_NetGroup_1[[Customer type]:[Customer type]],$F44,Calc_TUV_NetGroup_1[[Cost item]:[Cost item]],$C44&amp;" - usage"))/
IF($C44&lt;&gt;"Controlled load",$E$24,$E$34)=L28,
0,1),"-")</f>
        <v>-</v>
      </c>
    </row>
    <row r="45" spans="3:12" ht="15.75" hidden="1" outlineLevel="1" x14ac:dyDescent="0.25">
      <c r="C45" s="14" t="s">
        <v>86</v>
      </c>
      <c r="D45" s="14" t="s">
        <v>138</v>
      </c>
      <c r="E45" s="39" t="s">
        <v>71</v>
      </c>
      <c r="F45" s="14" t="s">
        <v>73</v>
      </c>
      <c r="G45" s="14" t="s">
        <v>87</v>
      </c>
      <c r="H45" s="67" t="str">
        <f>IFERROR(
IF(
(SUMIFS(Calc_TUV_NetGroup_1[Ausnet],Calc_TUV_NetGroup_1[[Customer type]:[Customer type]],$F45,Calc_TUV_NetGroup_1[[Cost item]:[Cost item]],$C45&amp;" - supply")+
SUMIFS(Calc_TUV_NetGroup_1[Ausnet],Calc_TUV_NetGroup_1[[Customer type]:[Customer type]],$F45,Calc_TUV_NetGroup_1[[Cost item]:[Cost item]],$C45&amp;" - usage"))/
IF($C45&lt;&gt;"Controlled load",$E$24,$E$34)=H29,
0,1),"-")</f>
        <v>-</v>
      </c>
      <c r="I45" s="67" t="str">
        <f>IFERROR(
IF(
(SUMIFS(Calc_TUV_NetGroup_1[Citipower],Calc_TUV_NetGroup_1[[Customer type]:[Customer type]],$F45,Calc_TUV_NetGroup_1[[Cost item]:[Cost item]],$C45&amp;" - supply")+
SUMIFS(Calc_TUV_NetGroup_1[Citipower],Calc_TUV_NetGroup_1[[Customer type]:[Customer type]],$F45,Calc_TUV_NetGroup_1[[Cost item]:[Cost item]],$C45&amp;" - usage"))/
IF($C45&lt;&gt;"Controlled load",$E$24,$E$34)=I29,
0,1),"-")</f>
        <v>-</v>
      </c>
      <c r="J45" s="67" t="str">
        <f>IFERROR(
IF(
(SUMIFS(Calc_TUV_NetGroup_1[Jemena],Calc_TUV_NetGroup_1[[Customer type]:[Customer type]],$F45,Calc_TUV_NetGroup_1[[Cost item]:[Cost item]],$C45&amp;" - supply")+
SUMIFS(Calc_TUV_NetGroup_1[Jemena],Calc_TUV_NetGroup_1[[Customer type]:[Customer type]],$F45,Calc_TUV_NetGroup_1[[Cost item]:[Cost item]],$C45&amp;" - usage"))/
IF($C45&lt;&gt;"Controlled load",$E$24,$E$34)=J29,
0,1),"-")</f>
        <v>-</v>
      </c>
      <c r="K45" s="67" t="str">
        <f>IFERROR(
IF(
(SUMIFS(Calc_TUV_NetGroup_1[Powercor],Calc_TUV_NetGroup_1[[Customer type]:[Customer type]],$F45,Calc_TUV_NetGroup_1[[Cost item]:[Cost item]],$C45&amp;" - supply")+
SUMIFS(Calc_TUV_NetGroup_1[Powercor],Calc_TUV_NetGroup_1[[Customer type]:[Customer type]],$F45,Calc_TUV_NetGroup_1[[Cost item]:[Cost item]],$C45&amp;" - usage"))/
IF($C45&lt;&gt;"Controlled load",$E$24,$E$34)=K29,
0,1),"-")</f>
        <v>-</v>
      </c>
      <c r="L45" s="67" t="str">
        <f>IFERROR(
IF(
(SUMIFS(Calc_TUV_NetGroup_1[United Energy],Calc_TUV_NetGroup_1[[Customer type]:[Customer type]],$F45,Calc_TUV_NetGroup_1[[Cost item]:[Cost item]],$C45&amp;" - supply")+
SUMIFS(Calc_TUV_NetGroup_1[United Energy],Calc_TUV_NetGroup_1[[Customer type]:[Customer type]],$F45,Calc_TUV_NetGroup_1[[Cost item]:[Cost item]],$C45&amp;" - usage"))/
IF($C45&lt;&gt;"Controlled load",$E$24,$E$34)=L29,
0,1),"-")</f>
        <v>-</v>
      </c>
    </row>
    <row r="46" spans="3:12" ht="15.75" hidden="1" outlineLevel="1" x14ac:dyDescent="0.25">
      <c r="C46" s="14" t="s">
        <v>88</v>
      </c>
      <c r="D46" s="14" t="s">
        <v>138</v>
      </c>
      <c r="E46" s="39" t="s">
        <v>71</v>
      </c>
      <c r="F46" s="14" t="s">
        <v>72</v>
      </c>
      <c r="G46" s="14" t="s">
        <v>87</v>
      </c>
      <c r="H46" s="67" t="str">
        <f>IFERROR(
IF(
(SUMIFS(Calc_TUV_NetGroup_1[Ausnet],Calc_TUV_NetGroup_1[[Customer type]:[Customer type]],$F46,Calc_TUV_NetGroup_1[[Cost item]:[Cost item]],$C46&amp;" - supply")+
SUMIFS(Calc_TUV_NetGroup_1[Ausnet],Calc_TUV_NetGroup_1[[Customer type]:[Customer type]],$F46,Calc_TUV_NetGroup_1[[Cost item]:[Cost item]],$C46&amp;" - usage"))/
IF($C46&lt;&gt;"Controlled load",$E$24,$E$34)=H30,
0,1),"-")</f>
        <v>-</v>
      </c>
      <c r="I46" s="67" t="str">
        <f>IFERROR(
IF(
(SUMIFS(Calc_TUV_NetGroup_1[Citipower],Calc_TUV_NetGroup_1[[Customer type]:[Customer type]],$F46,Calc_TUV_NetGroup_1[[Cost item]:[Cost item]],$C46&amp;" - supply")+
SUMIFS(Calc_TUV_NetGroup_1[Citipower],Calc_TUV_NetGroup_1[[Customer type]:[Customer type]],$F46,Calc_TUV_NetGroup_1[[Cost item]:[Cost item]],$C46&amp;" - usage"))/
IF($C46&lt;&gt;"Controlled load",$E$24,$E$34)=I30,
0,1),"-")</f>
        <v>-</v>
      </c>
      <c r="J46" s="67" t="str">
        <f>IFERROR(
IF(
(SUMIFS(Calc_TUV_NetGroup_1[Jemena],Calc_TUV_NetGroup_1[[Customer type]:[Customer type]],$F46,Calc_TUV_NetGroup_1[[Cost item]:[Cost item]],$C46&amp;" - supply")+
SUMIFS(Calc_TUV_NetGroup_1[Jemena],Calc_TUV_NetGroup_1[[Customer type]:[Customer type]],$F46,Calc_TUV_NetGroup_1[[Cost item]:[Cost item]],$C46&amp;" - usage"))/
IF($C46&lt;&gt;"Controlled load",$E$24,$E$34)=J30,
0,1),"-")</f>
        <v>-</v>
      </c>
      <c r="K46" s="67" t="str">
        <f>IFERROR(
IF(
(SUMIFS(Calc_TUV_NetGroup_1[Powercor],Calc_TUV_NetGroup_1[[Customer type]:[Customer type]],$F46,Calc_TUV_NetGroup_1[[Cost item]:[Cost item]],$C46&amp;" - supply")+
SUMIFS(Calc_TUV_NetGroup_1[Powercor],Calc_TUV_NetGroup_1[[Customer type]:[Customer type]],$F46,Calc_TUV_NetGroup_1[[Cost item]:[Cost item]],$C46&amp;" - usage"))/
IF($C46&lt;&gt;"Controlled load",$E$24,$E$34)=K30,
0,1),"-")</f>
        <v>-</v>
      </c>
      <c r="L46" s="67" t="str">
        <f>IFERROR(
IF(
(SUMIFS(Calc_TUV_NetGroup_1[United Energy],Calc_TUV_NetGroup_1[[Customer type]:[Customer type]],$F46,Calc_TUV_NetGroup_1[[Cost item]:[Cost item]],$C46&amp;" - supply")+
SUMIFS(Calc_TUV_NetGroup_1[United Energy],Calc_TUV_NetGroup_1[[Customer type]:[Customer type]],$F46,Calc_TUV_NetGroup_1[[Cost item]:[Cost item]],$C46&amp;" - usage"))/
IF($C46&lt;&gt;"Controlled load",$E$24,$E$34)=L30,
0,1),"-")</f>
        <v>-</v>
      </c>
    </row>
    <row r="47" spans="3:12" ht="15.75" hidden="1" outlineLevel="1" x14ac:dyDescent="0.25">
      <c r="C47" s="14" t="s">
        <v>88</v>
      </c>
      <c r="D47" s="14" t="s">
        <v>138</v>
      </c>
      <c r="E47" s="39" t="s">
        <v>71</v>
      </c>
      <c r="F47" s="14" t="s">
        <v>73</v>
      </c>
      <c r="G47" s="14" t="s">
        <v>87</v>
      </c>
      <c r="H47" s="67" t="str">
        <f>IFERROR(
IF(
(SUMIFS(Calc_TUV_NetGroup_1[Ausnet],Calc_TUV_NetGroup_1[[Customer type]:[Customer type]],$F47,Calc_TUV_NetGroup_1[[Cost item]:[Cost item]],$C47&amp;" - supply")+
SUMIFS(Calc_TUV_NetGroup_1[Ausnet],Calc_TUV_NetGroup_1[[Customer type]:[Customer type]],$F47,Calc_TUV_NetGroup_1[[Cost item]:[Cost item]],$C47&amp;" - usage"))/
IF($C47&lt;&gt;"Controlled load",$E$24,$E$34)=H31,
0,1),"-")</f>
        <v>-</v>
      </c>
      <c r="I47" s="67" t="str">
        <f>IFERROR(
IF(
(SUMIFS(Calc_TUV_NetGroup_1[Citipower],Calc_TUV_NetGroup_1[[Customer type]:[Customer type]],$F47,Calc_TUV_NetGroup_1[[Cost item]:[Cost item]],$C47&amp;" - supply")+
SUMIFS(Calc_TUV_NetGroup_1[Citipower],Calc_TUV_NetGroup_1[[Customer type]:[Customer type]],$F47,Calc_TUV_NetGroup_1[[Cost item]:[Cost item]],$C47&amp;" - usage"))/
IF($C47&lt;&gt;"Controlled load",$E$24,$E$34)=I31,
0,1),"-")</f>
        <v>-</v>
      </c>
      <c r="J47" s="67" t="str">
        <f>IFERROR(
IF(
(SUMIFS(Calc_TUV_NetGroup_1[Jemena],Calc_TUV_NetGroup_1[[Customer type]:[Customer type]],$F47,Calc_TUV_NetGroup_1[[Cost item]:[Cost item]],$C47&amp;" - supply")+
SUMIFS(Calc_TUV_NetGroup_1[Jemena],Calc_TUV_NetGroup_1[[Customer type]:[Customer type]],$F47,Calc_TUV_NetGroup_1[[Cost item]:[Cost item]],$C47&amp;" - usage"))/
IF($C47&lt;&gt;"Controlled load",$E$24,$E$34)=J31,
0,1),"-")</f>
        <v>-</v>
      </c>
      <c r="K47" s="67" t="str">
        <f>IFERROR(
IF(
(SUMIFS(Calc_TUV_NetGroup_1[Powercor],Calc_TUV_NetGroup_1[[Customer type]:[Customer type]],$F47,Calc_TUV_NetGroup_1[[Cost item]:[Cost item]],$C47&amp;" - supply")+
SUMIFS(Calc_TUV_NetGroup_1[Powercor],Calc_TUV_NetGroup_1[[Customer type]:[Customer type]],$F47,Calc_TUV_NetGroup_1[[Cost item]:[Cost item]],$C47&amp;" - usage"))/
IF($C47&lt;&gt;"Controlled load",$E$24,$E$34)=K31,
0,1),"-")</f>
        <v>-</v>
      </c>
      <c r="L47" s="67" t="str">
        <f>IFERROR(
IF(
(SUMIFS(Calc_TUV_NetGroup_1[United Energy],Calc_TUV_NetGroup_1[[Customer type]:[Customer type]],$F47,Calc_TUV_NetGroup_1[[Cost item]:[Cost item]],$C47&amp;" - supply")+
SUMIFS(Calc_TUV_NetGroup_1[United Energy],Calc_TUV_NetGroup_1[[Customer type]:[Customer type]],$F47,Calc_TUV_NetGroup_1[[Cost item]:[Cost item]],$C47&amp;" - usage"))/
IF($C47&lt;&gt;"Controlled load",$E$24,$E$34)=L31,
0,1),"-")</f>
        <v>-</v>
      </c>
    </row>
    <row r="48" spans="3:12" ht="15.75" hidden="1" outlineLevel="1" x14ac:dyDescent="0.25">
      <c r="C48" s="14" t="s">
        <v>81</v>
      </c>
      <c r="D48" s="14" t="s">
        <v>184</v>
      </c>
      <c r="E48" s="39" t="s">
        <v>71</v>
      </c>
      <c r="F48" s="14" t="s">
        <v>72</v>
      </c>
      <c r="G48" s="14" t="s">
        <v>87</v>
      </c>
      <c r="H48" s="67" t="str">
        <f>IFERROR(
IF(
(SUMIFS(Calc_TUV_NetGroup_1[Ausnet],Calc_TUV_NetGroup_1[[Customer type]:[Customer type]],$F48,Calc_TUV_NetGroup_1[[Cost item]:[Cost item]],$C48&amp;" - supply")+
SUMIFS(Calc_TUV_NetGroup_1[Ausnet],Calc_TUV_NetGroup_1[[Customer type]:[Customer type]],$F48,Calc_TUV_NetGroup_1[[Cost item]:[Cost item]],$C48&amp;" - usage"))/
IF($C48&lt;&gt;"Controlled load",$E$24,$E$34)=H40,
0,1),"-")</f>
        <v>-</v>
      </c>
      <c r="I48" s="67" t="str">
        <f>IFERROR(
IF(
(SUMIFS(Calc_TUV_NetGroup_1[Citipower],Calc_TUV_NetGroup_1[[Customer type]:[Customer type]],$F48,Calc_TUV_NetGroup_1[[Cost item]:[Cost item]],$C48&amp;" - supply")+
SUMIFS(Calc_TUV_NetGroup_1[Citipower],Calc_TUV_NetGroup_1[[Customer type]:[Customer type]],$F48,Calc_TUV_NetGroup_1[[Cost item]:[Cost item]],$C48&amp;" - usage"))/
IF($C48&lt;&gt;"Controlled load",$E$24,$E$34)=I40,
0,1),"-")</f>
        <v>-</v>
      </c>
      <c r="J48" s="67" t="str">
        <f>IFERROR(
IF(
(SUMIFS(Calc_TUV_NetGroup_1[Jemena],Calc_TUV_NetGroup_1[[Customer type]:[Customer type]],$F48,Calc_TUV_NetGroup_1[[Cost item]:[Cost item]],$C48&amp;" - supply")+
SUMIFS(Calc_TUV_NetGroup_1[Jemena],Calc_TUV_NetGroup_1[[Customer type]:[Customer type]],$F48,Calc_TUV_NetGroup_1[[Cost item]:[Cost item]],$C48&amp;" - usage"))/
IF($C48&lt;&gt;"Controlled load",$E$24,$E$34)=J40,
0,1),"-")</f>
        <v>-</v>
      </c>
      <c r="K48" s="67" t="str">
        <f>IFERROR(
IF(
(SUMIFS(Calc_TUV_NetGroup_1[Powercor],Calc_TUV_NetGroup_1[[Customer type]:[Customer type]],$F48,Calc_TUV_NetGroup_1[[Cost item]:[Cost item]],$C48&amp;" - supply")+
SUMIFS(Calc_TUV_NetGroup_1[Powercor],Calc_TUV_NetGroup_1[[Customer type]:[Customer type]],$F48,Calc_TUV_NetGroup_1[[Cost item]:[Cost item]],$C48&amp;" - usage"))/
IF($C48&lt;&gt;"Controlled load",$E$24,$E$34)=K40,
0,1),"-")</f>
        <v>-</v>
      </c>
      <c r="L48" s="67" t="str">
        <f>IFERROR(
IF(
(SUMIFS(Calc_TUV_NetGroup_1[United Energy],Calc_TUV_NetGroup_1[[Customer type]:[Customer type]],$F48,Calc_TUV_NetGroup_1[[Cost item]:[Cost item]],$C48&amp;" - supply")+
SUMIFS(Calc_TUV_NetGroup_1[United Energy],Calc_TUV_NetGroup_1[[Customer type]:[Customer type]],$F48,Calc_TUV_NetGroup_1[[Cost item]:[Cost item]],$C48&amp;" - usage"))/
IF($C48&lt;&gt;"Controlled load",$E$24,$E$34)=L40,
0,1),"-")</f>
        <v>-</v>
      </c>
    </row>
    <row r="50" spans="2:12" ht="16.5" thickBot="1" x14ac:dyDescent="0.3">
      <c r="B50" s="155">
        <f ca="1">MAX(B$3:B49)+0.01</f>
        <v>15.02</v>
      </c>
      <c r="C50" s="19" t="s">
        <v>484</v>
      </c>
      <c r="D50" s="19"/>
      <c r="E50" s="19"/>
      <c r="F50" s="19"/>
      <c r="G50" s="19"/>
      <c r="H50" s="19"/>
      <c r="I50" s="19"/>
      <c r="J50" s="19"/>
      <c r="K50" s="19"/>
      <c r="L50" s="19"/>
    </row>
    <row r="51" spans="2:12" outlineLevel="1" x14ac:dyDescent="0.25"/>
    <row r="52" spans="2:12" ht="15.75" outlineLevel="1" x14ac:dyDescent="0.25">
      <c r="C52" s="20" t="s">
        <v>485</v>
      </c>
    </row>
    <row r="53" spans="2:12" ht="15.75" outlineLevel="1" x14ac:dyDescent="0.25">
      <c r="C53" s="30" t="s">
        <v>51</v>
      </c>
      <c r="D53" s="30" t="s">
        <v>114</v>
      </c>
      <c r="E53" s="30" t="s">
        <v>62</v>
      </c>
      <c r="F53" s="30" t="s">
        <v>63</v>
      </c>
      <c r="G53" s="30" t="s">
        <v>50</v>
      </c>
      <c r="H53" s="40" t="s">
        <v>65</v>
      </c>
      <c r="I53" s="40" t="s">
        <v>66</v>
      </c>
      <c r="J53" s="40" t="s">
        <v>67</v>
      </c>
      <c r="K53" s="40" t="s">
        <v>68</v>
      </c>
      <c r="L53" s="40" t="s">
        <v>69</v>
      </c>
    </row>
    <row r="54" spans="2:12" outlineLevel="1" x14ac:dyDescent="0.25">
      <c r="C54" s="39" t="str">
        <f>IF(COUNTIFS(Calc_TUV_Env_1[Pass through (Yes/No)],"Yes",Calc_TUV_Env_1[Cost item],"Large-scale renewable energy target (LRET)")=1,"LRET True Up","-")</f>
        <v>LRET True Up</v>
      </c>
      <c r="D54" s="39" t="s">
        <v>184</v>
      </c>
      <c r="E54" s="39" t="s">
        <v>75</v>
      </c>
      <c r="F54" s="39" t="s">
        <v>139</v>
      </c>
      <c r="G54" s="39" t="s">
        <v>89</v>
      </c>
      <c r="H54" s="106" cm="1">
        <f t="array" ref="H54">IFERROR(SUMIFS(INDEX(Calc_TUV_Env_1[[Ausnet]:[United Energy]],0,MATCH(Calc_TUV_EnvGroup_1[[#Headers],[Ausnet]],Calc_TUV_Env_1[[#Headers],[Ausnet]:[United Energy]],0)),
Calc_TUV_Env_1[Cost item],Calc_TUV_EnvGroup_1[[#This Row],[Cost item]],
Calc_TUV_Env_1[Customer type],Calc_TUV_EnvGroup_1[[#This Row],[Customer type]]),"-")</f>
        <v>-1.6591428732548732E-4</v>
      </c>
      <c r="I54" s="106" cm="1">
        <f t="array" ref="I54">IFERROR(SUMIFS(INDEX(Calc_TUV_Env_1[[Ausnet]:[United Energy]],0,MATCH(Calc_TUV_EnvGroup_1[[#Headers],[Citipower]],Calc_TUV_Env_1[[#Headers],[Ausnet]:[United Energy]],0)),
Calc_TUV_Env_1[Cost item],Calc_TUV_EnvGroup_1[[#This Row],[Cost item]],
Calc_TUV_Env_1[Customer type],Calc_TUV_EnvGroup_1[[#This Row],[Customer type]]),"-")</f>
        <v>-1.5973424686555542E-4</v>
      </c>
      <c r="J54" s="106" cm="1">
        <f t="array" ref="J54">IFERROR(SUMIFS(INDEX(Calc_TUV_Env_1[[Ausnet]:[United Energy]],0,MATCH(Calc_TUV_EnvGroup_1[[#Headers],[Jemena]],Calc_TUV_Env_1[[#Headers],[Ausnet]:[United Energy]],0)),
Calc_TUV_Env_1[Cost item],Calc_TUV_EnvGroup_1[[#This Row],[Cost item]],
Calc_TUV_Env_1[Customer type],Calc_TUV_EnvGroup_1[[#This Row],[Customer type]]),"-")</f>
        <v>-1.5978979328574007E-4</v>
      </c>
      <c r="K54" s="106" cm="1">
        <f t="array" ref="K54">IFERROR(SUMIFS(INDEX(Calc_TUV_Env_1[[Ausnet]:[United Energy]],0,MATCH(Calc_TUV_EnvGroup_1[[#Headers],[Powercor]],Calc_TUV_Env_1[[#Headers],[Ausnet]:[United Energy]],0)),
Calc_TUV_Env_1[Cost item],Calc_TUV_EnvGroup_1[[#This Row],[Cost item]],
Calc_TUV_Env_1[Customer type],Calc_TUV_EnvGroup_1[[#This Row],[Customer type]]),"-")</f>
        <v>-1.6377603685831233E-4</v>
      </c>
      <c r="L54" s="106" cm="1">
        <f t="array" ref="L54">IFERROR(SUMIFS(INDEX(Calc_TUV_Env_1[[Ausnet]:[United Energy]],0,MATCH(Calc_TUV_EnvGroup_1[[#Headers],[United Energy]],Calc_TUV_Env_1[[#Headers],[Ausnet]:[United Energy]],0)),
Calc_TUV_Env_1[Cost item],Calc_TUV_EnvGroup_1[[#This Row],[Cost item]],
Calc_TUV_Env_1[Customer type],Calc_TUV_EnvGroup_1[[#This Row],[Customer type]]),"-")</f>
        <v>-1.6003341758034665E-4</v>
      </c>
    </row>
    <row r="55" spans="2:12" outlineLevel="1" x14ac:dyDescent="0.25">
      <c r="C55" s="39" t="str">
        <f>IF(COUNTIFS(Calc_TUV_Env_1[Pass through (Yes/No)],"Yes",Calc_TUV_Env_1[Cost item],"Small-scale renewable energy scheme (SRES)")=1,"SRES True Up","-")</f>
        <v>SRES True Up</v>
      </c>
      <c r="D55" s="39" t="s">
        <v>184</v>
      </c>
      <c r="E55" s="39" t="s">
        <v>75</v>
      </c>
      <c r="F55" s="39" t="s">
        <v>139</v>
      </c>
      <c r="G55" s="39" t="s">
        <v>89</v>
      </c>
      <c r="H55" s="106">
        <f>IFERROR(SUMIFS(INDEX(Calc_TUV_Env_1[[Ausnet]:[United Energy]],0,MATCH(Calc_TUV_EnvGroup_1[[#Headers],[Ausnet]],Calc_TUV_Env_1[[#Headers],[Ausnet]:[United Energy]],0)),
Calc_TUV_Env_1[Cost item],Calc_TUV_EnvGroup_1[[#This Row],[Cost item]],
Calc_TUV_Env_1[Customer type],Calc_TUV_EnvGroup_1[[#This Row],[Customer type]]),"-")</f>
        <v>8.2457857552792183E-4</v>
      </c>
      <c r="I55" s="106" cm="1">
        <f t="array" ref="I55">IFERROR(SUMIFS(INDEX(Calc_TUV_Env_1[[Ausnet]:[United Energy]],0,MATCH(Calc_TUV_EnvGroup_1[[#Headers],[Citipower]],Calc_TUV_Env_1[[#Headers],[Ausnet]:[United Energy]],0)),
Calc_TUV_Env_1[Cost item],Calc_TUV_EnvGroup_1[[#This Row],[Cost item]],
Calc_TUV_Env_1[Customer type],Calc_TUV_EnvGroup_1[[#This Row],[Customer type]]),"-")</f>
        <v>7.9386434927711995E-4</v>
      </c>
      <c r="J55" s="106" cm="1">
        <f t="array" ref="J55">IFERROR(SUMIFS(INDEX(Calc_TUV_Env_1[[Ausnet]:[United Energy]],0,MATCH(Calc_TUV_EnvGroup_1[[#Headers],[Jemena]],Calc_TUV_Env_1[[#Headers],[Ausnet]:[United Energy]],0)),
Calc_TUV_Env_1[Cost item],Calc_TUV_EnvGroup_1[[#This Row],[Cost item]],
Calc_TUV_Env_1[Customer type],Calc_TUV_EnvGroup_1[[#This Row],[Customer type]]),"-")</f>
        <v>7.9414040981880003E-4</v>
      </c>
      <c r="K55" s="106" cm="1">
        <f t="array" ref="K55">IFERROR(SUMIFS(INDEX(Calc_TUV_Env_1[[Ausnet]:[United Energy]],0,MATCH(Calc_TUV_EnvGroup_1[[#Headers],[Powercor]],Calc_TUV_Env_1[[#Headers],[Ausnet]:[United Energy]],0)),
Calc_TUV_Env_1[Cost item],Calc_TUV_EnvGroup_1[[#This Row],[Cost item]],
Calc_TUV_Env_1[Customer type],Calc_TUV_EnvGroup_1[[#This Row],[Customer type]]),"-")</f>
        <v>8.1395166959494355E-4</v>
      </c>
      <c r="L55" s="106" cm="1">
        <f t="array" ref="L55">IFERROR(SUMIFS(INDEX(Calc_TUV_Env_1[[Ausnet]:[United Energy]],0,MATCH(Calc_TUV_EnvGroup_1[[#Headers],[United Energy]],Calc_TUV_Env_1[[#Headers],[Ausnet]:[United Energy]],0)),
Calc_TUV_Env_1[Cost item],Calc_TUV_EnvGroup_1[[#This Row],[Cost item]],
Calc_TUV_Env_1[Customer type],Calc_TUV_EnvGroup_1[[#This Row],[Customer type]]),"-")</f>
        <v>7.9535119990233613E-4</v>
      </c>
    </row>
    <row r="56" spans="2:12" outlineLevel="1" x14ac:dyDescent="0.25">
      <c r="C56" s="39" t="str">
        <f>IF(COUNTIFS(Calc_TUV_Env_1[Pass through (Yes/No)],"Yes",Calc_TUV_Env_1[Cost item],"Victorian energy upgrades (VEU)")=1,"VEU True Up","-")</f>
        <v>-</v>
      </c>
      <c r="D56" s="39" t="s">
        <v>184</v>
      </c>
      <c r="E56" s="39" t="s">
        <v>75</v>
      </c>
      <c r="F56" s="39" t="s">
        <v>139</v>
      </c>
      <c r="G56" s="39" t="s">
        <v>89</v>
      </c>
      <c r="H56" s="106" cm="1">
        <f t="array" ref="H56">IFERROR(SUMIFS(INDEX(Calc_TUV_Env_1[[Ausnet]:[United Energy]],0,MATCH(Calc_TUV_EnvGroup_1[[#Headers],[Ausnet]],Calc_TUV_Env_1[[#Headers],[Ausnet]:[United Energy]],0)),
Calc_TUV_Env_1[Cost item],Calc_TUV_EnvGroup_1[[#This Row],[Cost item]],
Calc_TUV_Env_1[Customer type],Calc_TUV_EnvGroup_1[[#This Row],[Customer type]]),"-")</f>
        <v>0</v>
      </c>
      <c r="I56" s="106" cm="1">
        <f t="array" ref="I56">IFERROR(SUMIFS(INDEX(Calc_TUV_Env_1[[Ausnet]:[United Energy]],0,MATCH(Calc_TUV_EnvGroup_1[[#Headers],[Citipower]],Calc_TUV_Env_1[[#Headers],[Ausnet]:[United Energy]],0)),
Calc_TUV_Env_1[Cost item],Calc_TUV_EnvGroup_1[[#This Row],[Cost item]],
Calc_TUV_Env_1[Customer type],Calc_TUV_EnvGroup_1[[#This Row],[Customer type]]),"-")</f>
        <v>0</v>
      </c>
      <c r="J56" s="106" cm="1">
        <f t="array" ref="J56">IFERROR(SUMIFS(INDEX(Calc_TUV_Env_1[[Ausnet]:[United Energy]],0,MATCH(Calc_TUV_EnvGroup_1[[#Headers],[Jemena]],Calc_TUV_Env_1[[#Headers],[Ausnet]:[United Energy]],0)),
Calc_TUV_Env_1[Cost item],Calc_TUV_EnvGroup_1[[#This Row],[Cost item]],
Calc_TUV_Env_1[Customer type],Calc_TUV_EnvGroup_1[[#This Row],[Customer type]]),"-")</f>
        <v>0</v>
      </c>
      <c r="K56" s="106" cm="1">
        <f t="array" ref="K56">IFERROR(SUMIFS(INDEX(Calc_TUV_Env_1[[Ausnet]:[United Energy]],0,MATCH(Calc_TUV_EnvGroup_1[[#Headers],[Powercor]],Calc_TUV_Env_1[[#Headers],[Ausnet]:[United Energy]],0)),
Calc_TUV_Env_1[Cost item],Calc_TUV_EnvGroup_1[[#This Row],[Cost item]],
Calc_TUV_Env_1[Customer type],Calc_TUV_EnvGroup_1[[#This Row],[Customer type]]),"-")</f>
        <v>0</v>
      </c>
      <c r="L56" s="106" cm="1">
        <f t="array" ref="L56">IFERROR(SUMIFS(INDEX(Calc_TUV_Env_1[[Ausnet]:[United Energy]],0,MATCH(Calc_TUV_EnvGroup_1[[#Headers],[United Energy]],Calc_TUV_Env_1[[#Headers],[Ausnet]:[United Energy]],0)),
Calc_TUV_Env_1[Cost item],Calc_TUV_EnvGroup_1[[#This Row],[Cost item]],
Calc_TUV_Env_1[Customer type],Calc_TUV_EnvGroup_1[[#This Row],[Customer type]]),"-")</f>
        <v>0</v>
      </c>
    </row>
    <row r="57" spans="2:12" outlineLevel="1" x14ac:dyDescent="0.25">
      <c r="H57" s="131"/>
      <c r="I57" s="131"/>
      <c r="J57" s="131"/>
      <c r="K57" s="131"/>
      <c r="L57" s="131"/>
    </row>
    <row r="58" spans="2:12" ht="15.75" outlineLevel="1" x14ac:dyDescent="0.25">
      <c r="C58" s="36" t="s">
        <v>486</v>
      </c>
      <c r="D58" t="s">
        <v>102</v>
      </c>
      <c r="E58" s="58" t="str">
        <f>INDEX(Input_DecisionActual[Decision],MATCH(Calc_TU_rates!E59,Input_DecisionActual[Actual],0),1)</f>
        <v>VDO 2023-24 - Final</v>
      </c>
      <c r="F58" s="52">
        <f>INDEX(Input_TU_Periods[],2,MATCH($E58,Inputs!$C$203:$BM$203,0))</f>
        <v>366</v>
      </c>
    </row>
    <row r="59" spans="2:12" ht="15.75" outlineLevel="1" x14ac:dyDescent="0.25">
      <c r="C59" s="36" t="s">
        <v>486</v>
      </c>
      <c r="D59" t="s">
        <v>322</v>
      </c>
      <c r="E59" s="58" t="str">
        <f>D5</f>
        <v>VDO 2024-25 - Final</v>
      </c>
      <c r="F59" s="52">
        <f>INDEX(Input_TU_Periods[],2,MATCH($E59,Inputs!$C$203:$BM$203,0))</f>
        <v>365</v>
      </c>
    </row>
    <row r="60" spans="2:12" ht="15.75" outlineLevel="1" x14ac:dyDescent="0.25">
      <c r="C60" s="36" t="s">
        <v>487</v>
      </c>
      <c r="F60" s="135">
        <f>F58/F59</f>
        <v>1.0027397260273974</v>
      </c>
    </row>
    <row r="61" spans="2:12" outlineLevel="1" x14ac:dyDescent="0.25"/>
    <row r="62" spans="2:12" ht="15.75" outlineLevel="1" x14ac:dyDescent="0.25">
      <c r="C62" s="20" t="s">
        <v>488</v>
      </c>
    </row>
    <row r="63" spans="2:12" ht="15.75" outlineLevel="1" x14ac:dyDescent="0.25">
      <c r="C63" s="30" t="s">
        <v>478</v>
      </c>
      <c r="D63" s="90" t="s">
        <v>404</v>
      </c>
      <c r="E63" s="90" t="s">
        <v>62</v>
      </c>
      <c r="F63" s="90" t="s">
        <v>63</v>
      </c>
      <c r="G63" s="90" t="s">
        <v>50</v>
      </c>
      <c r="H63" s="40" t="s">
        <v>65</v>
      </c>
      <c r="I63" s="40" t="s">
        <v>66</v>
      </c>
      <c r="J63" s="40" t="s">
        <v>67</v>
      </c>
      <c r="K63" s="40" t="s">
        <v>68</v>
      </c>
      <c r="L63" s="40" t="s">
        <v>69</v>
      </c>
    </row>
    <row r="64" spans="2:12" outlineLevel="1" x14ac:dyDescent="0.25">
      <c r="C64" s="14" t="s">
        <v>77</v>
      </c>
      <c r="D64" s="14" t="s">
        <v>489</v>
      </c>
      <c r="E64" s="39" t="s">
        <v>75</v>
      </c>
      <c r="F64" s="14" t="s">
        <v>72</v>
      </c>
      <c r="G64" s="14" t="s">
        <v>89</v>
      </c>
      <c r="H64" s="108" t="str" cm="1">
        <f t="array" ref="H6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64" s="108" cm="1">
        <f t="array" ref="I6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-1.6017187493915969E-4</v>
      </c>
      <c r="J64" s="108" cm="1">
        <f t="array" ref="J6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-1.6022757354131745E-4</v>
      </c>
      <c r="K64" s="108" cm="1">
        <f t="array" ref="K6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-1.6422473832915704E-4</v>
      </c>
      <c r="L64" s="108" cm="1">
        <f t="array" ref="L6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-1.6047186529974486E-4</v>
      </c>
    </row>
    <row r="65" spans="3:12" outlineLevel="1" x14ac:dyDescent="0.25">
      <c r="C65" s="14" t="s">
        <v>74</v>
      </c>
      <c r="D65" s="14" t="s">
        <v>489</v>
      </c>
      <c r="E65" s="39" t="s">
        <v>75</v>
      </c>
      <c r="F65" s="14" t="s">
        <v>72</v>
      </c>
      <c r="G65" s="14" t="s">
        <v>89</v>
      </c>
      <c r="H65" s="108" cm="1">
        <f t="array" ref="H6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65" s="108" t="str" cm="1">
        <f t="array" ref="I6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5" s="108" t="str" cm="1">
        <f t="array" ref="J6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5" s="108" t="str" cm="1">
        <f t="array" ref="K6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5" s="108" t="str" cm="1">
        <f t="array" ref="L6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6" spans="3:12" outlineLevel="1" x14ac:dyDescent="0.25">
      <c r="C66" s="14" t="s">
        <v>76</v>
      </c>
      <c r="D66" s="14" t="s">
        <v>489</v>
      </c>
      <c r="E66" s="39" t="s">
        <v>75</v>
      </c>
      <c r="F66" s="14" t="s">
        <v>72</v>
      </c>
      <c r="G66" s="14" t="s">
        <v>89</v>
      </c>
      <c r="H66" s="108" cm="1">
        <f t="array" ref="H6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66" s="108" t="str" cm="1">
        <f t="array" ref="I6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66" s="108" t="str" cm="1">
        <f t="array" ref="J6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66" s="108" t="str" cm="1">
        <f t="array" ref="K6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66" s="108" t="str" cm="1">
        <f t="array" ref="L6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67" spans="3:12" outlineLevel="1" x14ac:dyDescent="0.25">
      <c r="C67" s="14" t="s">
        <v>81</v>
      </c>
      <c r="D67" s="14" t="s">
        <v>489</v>
      </c>
      <c r="E67" s="39" t="s">
        <v>75</v>
      </c>
      <c r="F67" s="14" t="s">
        <v>72</v>
      </c>
      <c r="G67" s="14" t="s">
        <v>89</v>
      </c>
      <c r="H67" s="108" cm="1">
        <f t="array" ref="H6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67" s="108" cm="1">
        <f t="array" ref="I6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-1.6017187493915969E-4</v>
      </c>
      <c r="J67" s="108" cm="1">
        <f t="array" ref="J6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-1.6022757354131745E-4</v>
      </c>
      <c r="K67" s="108" cm="1">
        <f t="array" ref="K6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-1.6422473832915704E-4</v>
      </c>
      <c r="L67" s="108" cm="1">
        <f t="array" ref="L6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-1.6047186529974486E-4</v>
      </c>
    </row>
    <row r="68" spans="3:12" outlineLevel="1" x14ac:dyDescent="0.25">
      <c r="C68" s="14" t="s">
        <v>79</v>
      </c>
      <c r="D68" s="14" t="s">
        <v>489</v>
      </c>
      <c r="E68" s="39" t="s">
        <v>75</v>
      </c>
      <c r="F68" s="14" t="s">
        <v>72</v>
      </c>
      <c r="G68" s="14" t="s">
        <v>89</v>
      </c>
      <c r="H68" s="108" cm="1">
        <f t="array" ref="H6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68" s="108" cm="1">
        <f t="array" ref="I6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-1.6017187493915969E-4</v>
      </c>
      <c r="J68" s="108" cm="1">
        <f t="array" ref="J6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-1.6022757354131745E-4</v>
      </c>
      <c r="K68" s="108" cm="1">
        <f t="array" ref="K6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-1.6422473832915704E-4</v>
      </c>
      <c r="L68" s="108" cm="1">
        <f t="array" ref="L6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-1.6047186529974486E-4</v>
      </c>
    </row>
    <row r="69" spans="3:12" outlineLevel="1" x14ac:dyDescent="0.25">
      <c r="C69" s="14" t="s">
        <v>80</v>
      </c>
      <c r="D69" s="14" t="s">
        <v>489</v>
      </c>
      <c r="E69" s="39" t="s">
        <v>75</v>
      </c>
      <c r="F69" s="14" t="s">
        <v>72</v>
      </c>
      <c r="G69" s="14" t="s">
        <v>89</v>
      </c>
      <c r="H69" s="108" cm="1">
        <f t="array" ref="H6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69" s="108" cm="1">
        <f t="array" ref="I6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-1.6017187493915969E-4</v>
      </c>
      <c r="J69" s="108" cm="1">
        <f t="array" ref="J6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-1.6022757354131745E-4</v>
      </c>
      <c r="K69" s="108" cm="1">
        <f t="array" ref="K6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-1.6422473832915704E-4</v>
      </c>
      <c r="L69" s="108" cm="1">
        <f t="array" ref="L6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-1.6047186529974486E-4</v>
      </c>
    </row>
    <row r="70" spans="3:12" outlineLevel="1" x14ac:dyDescent="0.25">
      <c r="C70" s="14" t="s">
        <v>77</v>
      </c>
      <c r="D70" s="14" t="s">
        <v>490</v>
      </c>
      <c r="E70" s="39" t="s">
        <v>75</v>
      </c>
      <c r="F70" s="14" t="s">
        <v>72</v>
      </c>
      <c r="G70" s="14" t="s">
        <v>89</v>
      </c>
      <c r="H70" s="108" t="str" cm="1">
        <f t="array" ref="H7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0" s="108" cm="1">
        <f t="array" ref="I7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7.9603932009705738E-4</v>
      </c>
      <c r="J70" s="108" cm="1">
        <f t="array" ref="J7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7.963161369689886E-4</v>
      </c>
      <c r="K70" s="108" cm="1">
        <f t="array" ref="K7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8.1618167416917635E-4</v>
      </c>
      <c r="L70" s="108" cm="1">
        <f t="array" ref="L7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7.9753024428563031E-4</v>
      </c>
    </row>
    <row r="71" spans="3:12" outlineLevel="1" x14ac:dyDescent="0.25">
      <c r="C71" s="14" t="s">
        <v>74</v>
      </c>
      <c r="D71" s="14" t="s">
        <v>490</v>
      </c>
      <c r="E71" s="39" t="s">
        <v>75</v>
      </c>
      <c r="F71" s="14" t="s">
        <v>72</v>
      </c>
      <c r="G71" s="14" t="s">
        <v>89</v>
      </c>
      <c r="H71" s="108" cm="1">
        <f t="array" ref="H7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71" s="108" t="str" cm="1">
        <f t="array" ref="I7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1" s="108" t="str" cm="1">
        <f t="array" ref="J7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1" s="108" t="str" cm="1">
        <f t="array" ref="K7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1" s="108" t="str" cm="1">
        <f t="array" ref="L7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2" spans="3:12" outlineLevel="1" x14ac:dyDescent="0.25">
      <c r="C72" s="14" t="s">
        <v>76</v>
      </c>
      <c r="D72" s="14" t="s">
        <v>490</v>
      </c>
      <c r="E72" s="39" t="s">
        <v>75</v>
      </c>
      <c r="F72" s="14" t="s">
        <v>72</v>
      </c>
      <c r="G72" s="14" t="s">
        <v>89</v>
      </c>
      <c r="H72" s="108" cm="1">
        <f t="array" ref="H7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72" s="108" t="str" cm="1">
        <f t="array" ref="I7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2" s="108" t="str" cm="1">
        <f t="array" ref="J7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2" s="108" t="str" cm="1">
        <f t="array" ref="K7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2" s="108" t="str" cm="1">
        <f t="array" ref="L7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3" spans="3:12" outlineLevel="1" x14ac:dyDescent="0.25">
      <c r="C73" s="14" t="s">
        <v>81</v>
      </c>
      <c r="D73" s="14" t="s">
        <v>490</v>
      </c>
      <c r="E73" s="39" t="s">
        <v>75</v>
      </c>
      <c r="F73" s="14" t="s">
        <v>72</v>
      </c>
      <c r="G73" s="14" t="s">
        <v>89</v>
      </c>
      <c r="H73" s="108" cm="1">
        <f t="array" ref="H7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73" s="108" cm="1">
        <f t="array" ref="I7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7.9603932009705738E-4</v>
      </c>
      <c r="J73" s="108" cm="1">
        <f t="array" ref="J7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7.963161369689886E-4</v>
      </c>
      <c r="K73" s="108" cm="1">
        <f t="array" ref="K7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8.1618167416917635E-4</v>
      </c>
      <c r="L73" s="108" cm="1">
        <f t="array" ref="L7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7.9753024428563031E-4</v>
      </c>
    </row>
    <row r="74" spans="3:12" outlineLevel="1" x14ac:dyDescent="0.25">
      <c r="C74" s="14" t="s">
        <v>79</v>
      </c>
      <c r="D74" s="14" t="s">
        <v>490</v>
      </c>
      <c r="E74" s="39" t="s">
        <v>75</v>
      </c>
      <c r="F74" s="14" t="s">
        <v>72</v>
      </c>
      <c r="G74" s="14" t="s">
        <v>89</v>
      </c>
      <c r="H74" s="108" cm="1">
        <f t="array" ref="H7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74" s="108" cm="1">
        <f t="array" ref="I7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7.9603932009705738E-4</v>
      </c>
      <c r="J74" s="108" cm="1">
        <f t="array" ref="J7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7.963161369689886E-4</v>
      </c>
      <c r="K74" s="108" cm="1">
        <f t="array" ref="K7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8.1618167416917635E-4</v>
      </c>
      <c r="L74" s="108" cm="1">
        <f t="array" ref="L7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7.9753024428563031E-4</v>
      </c>
    </row>
    <row r="75" spans="3:12" outlineLevel="1" x14ac:dyDescent="0.25">
      <c r="C75" s="14" t="s">
        <v>80</v>
      </c>
      <c r="D75" s="14" t="s">
        <v>490</v>
      </c>
      <c r="E75" s="39" t="s">
        <v>75</v>
      </c>
      <c r="F75" s="14" t="s">
        <v>72</v>
      </c>
      <c r="G75" s="14" t="s">
        <v>89</v>
      </c>
      <c r="H75" s="108" cm="1">
        <f t="array" ref="H7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75" s="108" cm="1">
        <f t="array" ref="I7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7.9603932009705738E-4</v>
      </c>
      <c r="J75" s="108" cm="1">
        <f t="array" ref="J7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7.963161369689886E-4</v>
      </c>
      <c r="K75" s="108" cm="1">
        <f t="array" ref="K7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8.1618167416917635E-4</v>
      </c>
      <c r="L75" s="108" cm="1">
        <f t="array" ref="L7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7.9753024428563031E-4</v>
      </c>
    </row>
    <row r="76" spans="3:12" outlineLevel="1" x14ac:dyDescent="0.25">
      <c r="C76" s="14" t="s">
        <v>77</v>
      </c>
      <c r="D76" s="14" t="s">
        <v>491</v>
      </c>
      <c r="E76" s="39" t="s">
        <v>75</v>
      </c>
      <c r="F76" s="14" t="s">
        <v>72</v>
      </c>
      <c r="G76" s="14" t="s">
        <v>89</v>
      </c>
      <c r="H76" s="108" t="str" cm="1">
        <f t="array" ref="H7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76" s="108" cm="1">
        <f t="array" ref="I7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6" s="108" cm="1">
        <f t="array" ref="J7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6" s="108" cm="1">
        <f t="array" ref="K7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6" s="108" cm="1">
        <f t="array" ref="L7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77" spans="3:12" outlineLevel="1" x14ac:dyDescent="0.25">
      <c r="C77" s="14" t="s">
        <v>74</v>
      </c>
      <c r="D77" s="14" t="s">
        <v>491</v>
      </c>
      <c r="E77" s="39" t="s">
        <v>75</v>
      </c>
      <c r="F77" s="14" t="s">
        <v>72</v>
      </c>
      <c r="G77" s="14" t="s">
        <v>89</v>
      </c>
      <c r="H77" s="108" cm="1">
        <f t="array" ref="H7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7" s="108" t="str" cm="1">
        <f t="array" ref="I7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7" s="108" t="str" cm="1">
        <f t="array" ref="J7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7" s="108" t="str" cm="1">
        <f t="array" ref="K7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7" s="108" t="str" cm="1">
        <f t="array" ref="L7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8" spans="3:12" outlineLevel="1" x14ac:dyDescent="0.25">
      <c r="C78" s="14" t="s">
        <v>76</v>
      </c>
      <c r="D78" s="14" t="s">
        <v>491</v>
      </c>
      <c r="E78" s="39" t="s">
        <v>75</v>
      </c>
      <c r="F78" s="14" t="s">
        <v>72</v>
      </c>
      <c r="G78" s="14" t="s">
        <v>89</v>
      </c>
      <c r="H78" s="108" cm="1">
        <f t="array" ref="H7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8" s="108" t="str" cm="1">
        <f t="array" ref="I7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78" s="108" t="str" cm="1">
        <f t="array" ref="J7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78" s="108" t="str" cm="1">
        <f t="array" ref="K7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78" s="108" t="str" cm="1">
        <f t="array" ref="L7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79" spans="3:12" outlineLevel="1" x14ac:dyDescent="0.25">
      <c r="C79" s="14" t="s">
        <v>81</v>
      </c>
      <c r="D79" s="14" t="s">
        <v>491</v>
      </c>
      <c r="E79" s="39" t="s">
        <v>75</v>
      </c>
      <c r="F79" s="14" t="s">
        <v>72</v>
      </c>
      <c r="G79" s="14" t="s">
        <v>89</v>
      </c>
      <c r="H79" s="108" cm="1">
        <f t="array" ref="H7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79" s="108" cm="1">
        <f t="array" ref="I7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79" s="108" cm="1">
        <f t="array" ref="J7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79" s="108" cm="1">
        <f t="array" ref="K7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79" s="108" cm="1">
        <f t="array" ref="L7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0" spans="3:12" outlineLevel="1" x14ac:dyDescent="0.25">
      <c r="C80" s="14" t="s">
        <v>79</v>
      </c>
      <c r="D80" s="14" t="s">
        <v>491</v>
      </c>
      <c r="E80" s="39" t="s">
        <v>75</v>
      </c>
      <c r="F80" s="14" t="s">
        <v>72</v>
      </c>
      <c r="G80" s="14" t="s">
        <v>89</v>
      </c>
      <c r="H80" s="108" cm="1">
        <f t="array" ref="H8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0" s="108" cm="1">
        <f t="array" ref="I8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0" s="108" cm="1">
        <f t="array" ref="J8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0" s="108" cm="1">
        <f t="array" ref="K8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0" s="108" cm="1">
        <f t="array" ref="L8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1" spans="3:12" outlineLevel="1" x14ac:dyDescent="0.25">
      <c r="C81" s="14" t="s">
        <v>80</v>
      </c>
      <c r="D81" s="14" t="s">
        <v>491</v>
      </c>
      <c r="E81" s="39" t="s">
        <v>75</v>
      </c>
      <c r="F81" s="14" t="s">
        <v>72</v>
      </c>
      <c r="G81" s="14" t="s">
        <v>89</v>
      </c>
      <c r="H81" s="108" cm="1">
        <f t="array" ref="H8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81" s="108" cm="1">
        <f t="array" ref="I8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81" s="108" cm="1">
        <f t="array" ref="J8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81" s="108" cm="1">
        <f t="array" ref="K8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81" s="108" cm="1">
        <f t="array" ref="L8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82" spans="3:12" outlineLevel="1" x14ac:dyDescent="0.25">
      <c r="C82" s="14" t="s">
        <v>77</v>
      </c>
      <c r="D82" s="14" t="s">
        <v>489</v>
      </c>
      <c r="E82" s="39" t="s">
        <v>75</v>
      </c>
      <c r="F82" s="14" t="s">
        <v>73</v>
      </c>
      <c r="G82" s="14" t="s">
        <v>89</v>
      </c>
      <c r="H82" s="108" t="str" cm="1">
        <f t="array" ref="H8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2" s="108" cm="1">
        <f t="array" ref="I8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-1.6017187493915969E-4</v>
      </c>
      <c r="J82" s="108" cm="1">
        <f t="array" ref="J8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-1.6022757354131745E-4</v>
      </c>
      <c r="K82" s="108" cm="1">
        <f t="array" ref="K8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-1.6422473832915704E-4</v>
      </c>
      <c r="L82" s="108" cm="1">
        <f t="array" ref="L8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-1.6047186529974486E-4</v>
      </c>
    </row>
    <row r="83" spans="3:12" outlineLevel="1" x14ac:dyDescent="0.25">
      <c r="C83" s="14" t="s">
        <v>74</v>
      </c>
      <c r="D83" s="14" t="s">
        <v>489</v>
      </c>
      <c r="E83" s="39" t="s">
        <v>75</v>
      </c>
      <c r="F83" s="14" t="s">
        <v>73</v>
      </c>
      <c r="G83" s="14" t="s">
        <v>89</v>
      </c>
      <c r="H83" s="108" cm="1">
        <f t="array" ref="H8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83" s="108" t="str" cm="1">
        <f t="array" ref="I8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3" s="108" t="str" cm="1">
        <f t="array" ref="J8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3" s="108" t="str" cm="1">
        <f t="array" ref="K8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3" s="108" t="str" cm="1">
        <f t="array" ref="L8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4" spans="3:12" outlineLevel="1" x14ac:dyDescent="0.25">
      <c r="C84" s="14" t="s">
        <v>76</v>
      </c>
      <c r="D84" s="14" t="s">
        <v>489</v>
      </c>
      <c r="E84" s="39" t="s">
        <v>75</v>
      </c>
      <c r="F84" s="14" t="s">
        <v>73</v>
      </c>
      <c r="G84" s="14" t="s">
        <v>89</v>
      </c>
      <c r="H84" s="108" cm="1">
        <f t="array" ref="H8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84" s="108" t="str" cm="1">
        <f t="array" ref="I8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4" s="108" t="str" cm="1">
        <f t="array" ref="J8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4" s="108" t="str" cm="1">
        <f t="array" ref="K8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4" s="108" t="str" cm="1">
        <f t="array" ref="L8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5" spans="3:12" outlineLevel="1" x14ac:dyDescent="0.25">
      <c r="C85" s="14" t="s">
        <v>79</v>
      </c>
      <c r="D85" s="14" t="s">
        <v>489</v>
      </c>
      <c r="E85" s="39" t="s">
        <v>75</v>
      </c>
      <c r="F85" s="14" t="s">
        <v>73</v>
      </c>
      <c r="G85" s="14" t="s">
        <v>89</v>
      </c>
      <c r="H85" s="108" cm="1">
        <f t="array" ref="H8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85" s="108" cm="1">
        <f t="array" ref="I8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-1.6017187493915969E-4</v>
      </c>
      <c r="J85" s="108" cm="1">
        <f t="array" ref="J8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-1.6022757354131745E-4</v>
      </c>
      <c r="K85" s="108" cm="1">
        <f t="array" ref="K8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-1.6422473832915704E-4</v>
      </c>
      <c r="L85" s="108" cm="1">
        <f t="array" ref="L8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-1.6047186529974486E-4</v>
      </c>
    </row>
    <row r="86" spans="3:12" outlineLevel="1" x14ac:dyDescent="0.25">
      <c r="C86" s="14" t="s">
        <v>80</v>
      </c>
      <c r="D86" s="14" t="s">
        <v>489</v>
      </c>
      <c r="E86" s="39" t="s">
        <v>75</v>
      </c>
      <c r="F86" s="14" t="s">
        <v>73</v>
      </c>
      <c r="G86" s="14" t="s">
        <v>89</v>
      </c>
      <c r="H86" s="108" cm="1">
        <f t="array" ref="H8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-1.6636884701679003E-4</v>
      </c>
      <c r="I86" s="108" cm="1">
        <f t="array" ref="I8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-1.6017187493915969E-4</v>
      </c>
      <c r="J86" s="108" cm="1">
        <f t="array" ref="J8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-1.6022757354131745E-4</v>
      </c>
      <c r="K86" s="108" cm="1">
        <f t="array" ref="K8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-1.6422473832915704E-4</v>
      </c>
      <c r="L86" s="108" cm="1">
        <f t="array" ref="L8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-1.6047186529974486E-4</v>
      </c>
    </row>
    <row r="87" spans="3:12" outlineLevel="1" x14ac:dyDescent="0.25">
      <c r="C87" s="14" t="s">
        <v>77</v>
      </c>
      <c r="D87" s="14" t="s">
        <v>490</v>
      </c>
      <c r="E87" s="39" t="s">
        <v>75</v>
      </c>
      <c r="F87" s="14" t="s">
        <v>73</v>
      </c>
      <c r="G87" s="14" t="s">
        <v>89</v>
      </c>
      <c r="H87" s="108" t="str" cm="1">
        <f t="array" ref="H87">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87" s="108" cm="1">
        <f t="array" ref="I87">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7.9603932009705738E-4</v>
      </c>
      <c r="J87" s="108" cm="1">
        <f t="array" ref="J87">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7.963161369689886E-4</v>
      </c>
      <c r="K87" s="108" cm="1">
        <f t="array" ref="K87">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8.1618167416917635E-4</v>
      </c>
      <c r="L87" s="108" cm="1">
        <f t="array" ref="L87">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7.9753024428563031E-4</v>
      </c>
    </row>
    <row r="88" spans="3:12" outlineLevel="1" x14ac:dyDescent="0.25">
      <c r="C88" s="14" t="s">
        <v>74</v>
      </c>
      <c r="D88" s="14" t="s">
        <v>490</v>
      </c>
      <c r="E88" s="39" t="s">
        <v>75</v>
      </c>
      <c r="F88" s="14" t="s">
        <v>73</v>
      </c>
      <c r="G88" s="14" t="s">
        <v>89</v>
      </c>
      <c r="H88" s="108" cm="1">
        <f t="array" ref="H88">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88" s="108" t="str" cm="1">
        <f t="array" ref="I88">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8" s="108" t="str" cm="1">
        <f t="array" ref="J88">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8" s="108" t="str" cm="1">
        <f t="array" ref="K88">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8" s="108" t="str" cm="1">
        <f t="array" ref="L88">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89" spans="3:12" outlineLevel="1" x14ac:dyDescent="0.25">
      <c r="C89" s="14" t="s">
        <v>76</v>
      </c>
      <c r="D89" s="14" t="s">
        <v>490</v>
      </c>
      <c r="E89" s="39" t="s">
        <v>75</v>
      </c>
      <c r="F89" s="14" t="s">
        <v>73</v>
      </c>
      <c r="G89" s="14" t="s">
        <v>89</v>
      </c>
      <c r="H89" s="108" cm="1">
        <f t="array" ref="H89">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89" s="108" t="str" cm="1">
        <f t="array" ref="I89">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89" s="108" t="str" cm="1">
        <f t="array" ref="J89">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89" s="108" t="str" cm="1">
        <f t="array" ref="K89">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89" s="108" t="str" cm="1">
        <f t="array" ref="L89">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0" spans="3:12" outlineLevel="1" x14ac:dyDescent="0.25">
      <c r="C90" s="14" t="s">
        <v>79</v>
      </c>
      <c r="D90" s="14" t="s">
        <v>490</v>
      </c>
      <c r="E90" s="39" t="s">
        <v>75</v>
      </c>
      <c r="F90" s="14" t="s">
        <v>73</v>
      </c>
      <c r="G90" s="14" t="s">
        <v>89</v>
      </c>
      <c r="H90" s="108" cm="1">
        <f t="array" ref="H90">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90" s="108" cm="1">
        <f t="array" ref="I90">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7.9603932009705738E-4</v>
      </c>
      <c r="J90" s="108" cm="1">
        <f t="array" ref="J90">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7.963161369689886E-4</v>
      </c>
      <c r="K90" s="108" cm="1">
        <f t="array" ref="K90">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8.1618167416917635E-4</v>
      </c>
      <c r="L90" s="108" cm="1">
        <f t="array" ref="L90">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7.9753024428563031E-4</v>
      </c>
    </row>
    <row r="91" spans="3:12" outlineLevel="1" x14ac:dyDescent="0.25">
      <c r="C91" s="14" t="s">
        <v>80</v>
      </c>
      <c r="D91" s="14" t="s">
        <v>490</v>
      </c>
      <c r="E91" s="39" t="s">
        <v>75</v>
      </c>
      <c r="F91" s="14" t="s">
        <v>73</v>
      </c>
      <c r="G91" s="14" t="s">
        <v>89</v>
      </c>
      <c r="H91" s="108" cm="1">
        <f t="array" ref="H91">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8.2683769491292991E-4</v>
      </c>
      <c r="I91" s="108" cm="1">
        <f t="array" ref="I91">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7.9603932009705738E-4</v>
      </c>
      <c r="J91" s="108" cm="1">
        <f t="array" ref="J91">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7.963161369689886E-4</v>
      </c>
      <c r="K91" s="108" cm="1">
        <f t="array" ref="K91">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8.1618167416917635E-4</v>
      </c>
      <c r="L91" s="108" cm="1">
        <f t="array" ref="L91">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7.9753024428563031E-4</v>
      </c>
    </row>
    <row r="92" spans="3:12" outlineLevel="1" x14ac:dyDescent="0.25">
      <c r="C92" s="14" t="s">
        <v>77</v>
      </c>
      <c r="D92" s="14" t="s">
        <v>491</v>
      </c>
      <c r="E92" s="39" t="s">
        <v>75</v>
      </c>
      <c r="F92" s="14" t="s">
        <v>73</v>
      </c>
      <c r="G92" s="14" t="s">
        <v>89</v>
      </c>
      <c r="H92" s="108" t="str" cm="1">
        <f t="array" ref="H92">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v>
      </c>
      <c r="I92" s="108" cm="1">
        <f t="array" ref="I92">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2" s="108" cm="1">
        <f t="array" ref="J92">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2" s="108" cm="1">
        <f t="array" ref="K92">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2" s="108" cm="1">
        <f t="array" ref="L92">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3" spans="3:12" outlineLevel="1" x14ac:dyDescent="0.25">
      <c r="C93" s="14" t="s">
        <v>74</v>
      </c>
      <c r="D93" s="14" t="s">
        <v>491</v>
      </c>
      <c r="E93" s="39" t="s">
        <v>75</v>
      </c>
      <c r="F93" s="14" t="s">
        <v>73</v>
      </c>
      <c r="G93" s="14" t="s">
        <v>89</v>
      </c>
      <c r="H93" s="108" cm="1">
        <f t="array" ref="H93">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3" s="108" t="str" cm="1">
        <f t="array" ref="I93">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3" s="108" t="str" cm="1">
        <f t="array" ref="J93">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3" s="108" t="str" cm="1">
        <f t="array" ref="K93">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3" s="108" t="str" cm="1">
        <f t="array" ref="L93">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4" spans="3:12" outlineLevel="1" x14ac:dyDescent="0.25">
      <c r="C94" s="14" t="s">
        <v>76</v>
      </c>
      <c r="D94" s="14" t="s">
        <v>491</v>
      </c>
      <c r="E94" s="39" t="s">
        <v>75</v>
      </c>
      <c r="F94" s="14" t="s">
        <v>73</v>
      </c>
      <c r="G94" s="14" t="s">
        <v>89</v>
      </c>
      <c r="H94" s="108" cm="1">
        <f t="array" ref="H94">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4" s="108" t="str" cm="1">
        <f t="array" ref="I94">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v>
      </c>
      <c r="J94" s="108" t="str" cm="1">
        <f t="array" ref="J94">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v>
      </c>
      <c r="K94" s="108" t="str" cm="1">
        <f t="array" ref="K94">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v>
      </c>
      <c r="L94" s="108" t="str" cm="1">
        <f t="array" ref="L94">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v>
      </c>
    </row>
    <row r="95" spans="3:12" outlineLevel="1" x14ac:dyDescent="0.25">
      <c r="C95" s="14" t="s">
        <v>79</v>
      </c>
      <c r="D95" s="14" t="s">
        <v>491</v>
      </c>
      <c r="E95" s="39" t="s">
        <v>75</v>
      </c>
      <c r="F95" s="14" t="s">
        <v>73</v>
      </c>
      <c r="G95" s="14" t="s">
        <v>89</v>
      </c>
      <c r="H95" s="108" cm="1">
        <f t="array" ref="H95">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5" s="108" cm="1">
        <f t="array" ref="I95">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5" s="108" cm="1">
        <f t="array" ref="J95">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5" s="108" cm="1">
        <f t="array" ref="K95">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5" s="108" cm="1">
        <f t="array" ref="L95">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6" spans="3:12" outlineLevel="1" x14ac:dyDescent="0.25">
      <c r="C96" s="14" t="s">
        <v>80</v>
      </c>
      <c r="D96" s="14" t="s">
        <v>491</v>
      </c>
      <c r="E96" s="39" t="s">
        <v>75</v>
      </c>
      <c r="F96" s="14" t="s">
        <v>73</v>
      </c>
      <c r="G96" s="14" t="s">
        <v>89</v>
      </c>
      <c r="H96" s="108" cm="1">
        <f t="array" ref="H96">IFERROR(
IF(OR(
AND(Calc_TUR_Env_1[[#Headers],[Ausnet]]="Ausnet",Calc_TUR_Env_1[[#This Row],[Rate type]:[Rate type]]="Single rate"),
AND(Calc_TUR_Env_1[[#Headers],[Ausnet]]&lt;&gt;"Ausnet",OR(Calc_TUR_Env_1[[#This Row],[Rate type]:[Rate type]]="Block 1",Calc_TUR_Env_1[[#This Row],[Rate type]:[Rate type]]="Balance"))),"-",
SUMIFS(Calc_TUV_EnvGroup_1[Ausnet],
Calc_TUV_EnvGroup_1[[Cost item]:[Cost item]],Calc_TUR_Env_1[[#This Row],[True up]:[True up]],
Calc_TUV_EnvGroup_1[[Cost element]:[Cost element]],Calc_TUR_Env_1[[#This Row],[Cost element]:[Cost element]])
*
($F$58/$F$59)),"-")</f>
        <v>0</v>
      </c>
      <c r="I96" s="108" cm="1">
        <f t="array" ref="I96">IFERROR(
IF(OR(
AND(Calc_TUR_Env_1[[#Headers],[Citipower]]="Ausnet",Calc_TUR_Env_1[[#This Row],[Rate type]:[Rate type]]="Single rate"),
AND(Calc_TUR_Env_1[[#Headers],[Citipower]]&lt;&gt;"Ausnet",OR(Calc_TUR_Env_1[[#This Row],[Rate type]:[Rate type]]="Block 1",Calc_TUR_Env_1[[#This Row],[Rate type]:[Rate type]]="Balance"))),"-",
SUMIFS(Calc_TUV_EnvGroup_1[Citipower],
Calc_TUV_EnvGroup_1[[Cost item]:[Cost item]],Calc_TUR_Env_1[[#This Row],[True up]:[True up]],
Calc_TUV_EnvGroup_1[[Cost element]:[Cost element]],Calc_TUR_Env_1[[#This Row],[Cost element]:[Cost element]])
*
($F$58/$F$59)),"-")</f>
        <v>0</v>
      </c>
      <c r="J96" s="108" cm="1">
        <f t="array" ref="J96">IFERROR(
IF(OR(
AND(Calc_TUR_Env_1[[#Headers],[Jemena]]="Ausnet",Calc_TUR_Env_1[[#This Row],[Rate type]:[Rate type]]="Single rate"),
AND(Calc_TUR_Env_1[[#Headers],[Jemena]]&lt;&gt;"Ausnet",OR(Calc_TUR_Env_1[[#This Row],[Rate type]:[Rate type]]="Block 1",Calc_TUR_Env_1[[#This Row],[Rate type]:[Rate type]]="Balance"))),"-",
SUMIFS(Calc_TUV_EnvGroup_1[Jemena],
Calc_TUV_EnvGroup_1[[Cost item]:[Cost item]],Calc_TUR_Env_1[[#This Row],[True up]:[True up]],
Calc_TUV_EnvGroup_1[[Cost element]:[Cost element]],Calc_TUR_Env_1[[#This Row],[Cost element]:[Cost element]])
*
($F$58/$F$59)),"-")</f>
        <v>0</v>
      </c>
      <c r="K96" s="108" cm="1">
        <f t="array" ref="K96">IFERROR(
IF(OR(
AND(Calc_TUR_Env_1[[#Headers],[Powercor]]="Ausnet",Calc_TUR_Env_1[[#This Row],[Rate type]:[Rate type]]="Single rate"),
AND(Calc_TUR_Env_1[[#Headers],[Powercor]]&lt;&gt;"Ausnet",OR(Calc_TUR_Env_1[[#This Row],[Rate type]:[Rate type]]="Block 1",Calc_TUR_Env_1[[#This Row],[Rate type]:[Rate type]]="Balance"))),"-",
SUMIFS(Calc_TUV_EnvGroup_1[Powercor],
Calc_TUV_EnvGroup_1[[Cost item]:[Cost item]],Calc_TUR_Env_1[[#This Row],[True up]:[True up]],
Calc_TUV_EnvGroup_1[[Cost element]:[Cost element]],Calc_TUR_Env_1[[#This Row],[Cost element]:[Cost element]])
*
($F$58/$F$59)),"-")</f>
        <v>0</v>
      </c>
      <c r="L96" s="108" cm="1">
        <f t="array" ref="L96">IFERROR(
IF(OR(
AND(Calc_TUR_Env_1[[#Headers],[United Energy]]="Ausnet",Calc_TUR_Env_1[[#This Row],[Rate type]:[Rate type]]="Single rate"),
AND(Calc_TUR_Env_1[[#Headers],[United Energy]]&lt;&gt;"Ausnet",OR(Calc_TUR_Env_1[[#This Row],[Rate type]:[Rate type]]="Block 1",Calc_TUR_Env_1[[#This Row],[Rate type]:[Rate type]]="Balance"))),"-",
SUMIFS(Calc_TUV_EnvGroup_1[United Energy],
Calc_TUV_EnvGroup_1[[Cost item]:[Cost item]],Calc_TUR_Env_1[[#This Row],[True up]:[True up]],
Calc_TUV_EnvGroup_1[[Cost element]:[Cost element]],Calc_TUR_Env_1[[#This Row],[Cost element]:[Cost element]])
*
($F$58/$F$59)),"-")</f>
        <v>0</v>
      </c>
    </row>
    <row r="97" spans="3:12" outlineLevel="1" x14ac:dyDescent="0.25"/>
    <row r="98" spans="3:12" ht="15.75" hidden="1" outlineLevel="1" x14ac:dyDescent="0.25">
      <c r="C98" s="20" t="s">
        <v>16</v>
      </c>
    </row>
    <row r="99" spans="3:12" ht="15.75" hidden="1" outlineLevel="1" x14ac:dyDescent="0.25">
      <c r="C99" s="89" t="s">
        <v>478</v>
      </c>
      <c r="D99" s="89" t="s">
        <v>404</v>
      </c>
      <c r="E99" s="89" t="s">
        <v>62</v>
      </c>
      <c r="F99" s="89" t="s">
        <v>63</v>
      </c>
      <c r="G99" s="89" t="s">
        <v>50</v>
      </c>
      <c r="H99" s="32" t="s">
        <v>65</v>
      </c>
      <c r="I99" s="32" t="s">
        <v>66</v>
      </c>
      <c r="J99" s="32" t="s">
        <v>67</v>
      </c>
      <c r="K99" s="32" t="s">
        <v>68</v>
      </c>
      <c r="L99" s="32" t="s">
        <v>69</v>
      </c>
    </row>
    <row r="100" spans="3:12" ht="15.75" hidden="1" outlineLevel="1" x14ac:dyDescent="0.25">
      <c r="C100" s="14" t="s">
        <v>77</v>
      </c>
      <c r="D100" s="14" t="s">
        <v>489</v>
      </c>
      <c r="E100" s="39" t="s">
        <v>75</v>
      </c>
      <c r="F100" s="14" t="s">
        <v>72</v>
      </c>
      <c r="G100" s="14" t="s">
        <v>89</v>
      </c>
      <c r="H100" s="67" t="str">
        <f>IF(H64="-","-",
IF(
ROUND(H64,8)=
ROUND(SUMIFS(Calc_TUV_EnvGroup_1[Ausnet],Calc_TUV_EnvGroup_1[[Cost item]:[Cost item]],$D100,Calc_TUV_EnvGroup_1[[Cost element]:[Cost element]],$G100)*($F$58/$F$59),8),
0,1))</f>
        <v>-</v>
      </c>
      <c r="I100" s="67">
        <f>IF(I64="-","-",
IF(
ROUND(I64,8)=
ROUND(SUMIFS(Calc_TUV_EnvGroup_1[Citipower],Calc_TUV_EnvGroup_1[[Cost item]:[Cost item]],$D100,Calc_TUV_EnvGroup_1[[Cost element]:[Cost element]],$G100)*($F$58/$F$59),8),
0,1))</f>
        <v>0</v>
      </c>
      <c r="J100" s="67">
        <f>IF(J64="-","-",
IF(
ROUND(J64,8)=
ROUND(SUMIFS(Calc_TUV_EnvGroup_1[Jemena],Calc_TUV_EnvGroup_1[[Cost item]:[Cost item]],$D100,Calc_TUV_EnvGroup_1[[Cost element]:[Cost element]],$G100)*($F$58/$F$59),8),
0,1))</f>
        <v>0</v>
      </c>
      <c r="K100" s="67">
        <f>IF(K64="-","-",
IF(
ROUND(K64,8)=
ROUND(SUMIFS(Calc_TUV_EnvGroup_1[Powercor],Calc_TUV_EnvGroup_1[[Cost item]:[Cost item]],$D100,Calc_TUV_EnvGroup_1[[Cost element]:[Cost element]],$G100)*($F$58/$F$59),8),
0,1))</f>
        <v>0</v>
      </c>
      <c r="L100" s="67">
        <f>IF(L64="-","-",
IF(
ROUND(L64,8)=
ROUND(SUMIFS(Calc_TUV_EnvGroup_1[United Energy],Calc_TUV_EnvGroup_1[[Cost item]:[Cost item]],$D100,Calc_TUV_EnvGroup_1[[Cost element]:[Cost element]],$G100)*($F$58/$F$59),8),
0,1))</f>
        <v>0</v>
      </c>
    </row>
    <row r="101" spans="3:12" ht="15.75" hidden="1" outlineLevel="1" x14ac:dyDescent="0.25">
      <c r="C101" s="14" t="s">
        <v>74</v>
      </c>
      <c r="D101" s="14" t="s">
        <v>489</v>
      </c>
      <c r="E101" s="39" t="s">
        <v>75</v>
      </c>
      <c r="F101" s="14" t="s">
        <v>72</v>
      </c>
      <c r="G101" s="14" t="s">
        <v>89</v>
      </c>
      <c r="H101" s="67">
        <f>IF(H65="-","-",
IF(
ROUND(H65,8)=
ROUND(SUMIFS(Calc_TUV_EnvGroup_1[Ausnet],Calc_TUV_EnvGroup_1[[Cost item]:[Cost item]],$D101,Calc_TUV_EnvGroup_1[[Cost element]:[Cost element]],$G101)*($F$58/$F$59),8),
0,1))</f>
        <v>0</v>
      </c>
      <c r="I101" s="67" t="str">
        <f>IF(I65="-","-",
IF(
ROUND(I65,8)=
ROUND(SUMIFS(Calc_TUV_EnvGroup_1[Citipower],Calc_TUV_EnvGroup_1[[Cost item]:[Cost item]],$D101,Calc_TUV_EnvGroup_1[[Cost element]:[Cost element]],$G101)*($F$58/$F$59),8),
0,1))</f>
        <v>-</v>
      </c>
      <c r="J101" s="67" t="str">
        <f>IF(J65="-","-",
IF(
ROUND(J65,8)=
ROUND(SUMIFS(Calc_TUV_EnvGroup_1[Jemena],Calc_TUV_EnvGroup_1[[Cost item]:[Cost item]],$D101,Calc_TUV_EnvGroup_1[[Cost element]:[Cost element]],$G101)*($F$58/$F$59),8),
0,1))</f>
        <v>-</v>
      </c>
      <c r="K101" s="67" t="str">
        <f>IF(K65="-","-",
IF(
ROUND(K65,8)=
ROUND(SUMIFS(Calc_TUV_EnvGroup_1[Powercor],Calc_TUV_EnvGroup_1[[Cost item]:[Cost item]],$D101,Calc_TUV_EnvGroup_1[[Cost element]:[Cost element]],$G101)*($F$58/$F$59),8),
0,1))</f>
        <v>-</v>
      </c>
      <c r="L101" s="67" t="str">
        <f>IF(L65="-","-",
IF(
ROUND(L65,8)=
ROUND(SUMIFS(Calc_TUV_EnvGroup_1[United Energy],Calc_TUV_EnvGroup_1[[Cost item]:[Cost item]],$D101,Calc_TUV_EnvGroup_1[[Cost element]:[Cost element]],$G101)*($F$58/$F$59),8),
0,1))</f>
        <v>-</v>
      </c>
    </row>
    <row r="102" spans="3:12" ht="15.75" hidden="1" outlineLevel="1" x14ac:dyDescent="0.25">
      <c r="C102" s="14" t="s">
        <v>76</v>
      </c>
      <c r="D102" s="14" t="s">
        <v>489</v>
      </c>
      <c r="E102" s="39" t="s">
        <v>75</v>
      </c>
      <c r="F102" s="14" t="s">
        <v>72</v>
      </c>
      <c r="G102" s="14" t="s">
        <v>89</v>
      </c>
      <c r="H102" s="67">
        <f>IF(H66="-","-",
IF(
ROUND(H66,8)=
ROUND(SUMIFS(Calc_TUV_EnvGroup_1[Ausnet],Calc_TUV_EnvGroup_1[[Cost item]:[Cost item]],$D102,Calc_TUV_EnvGroup_1[[Cost element]:[Cost element]],$G102)*($F$58/$F$59),8),
0,1))</f>
        <v>0</v>
      </c>
      <c r="I102" s="67" t="str">
        <f>IF(I66="-","-",
IF(
ROUND(I66,8)=
ROUND(SUMIFS(Calc_TUV_EnvGroup_1[Citipower],Calc_TUV_EnvGroup_1[[Cost item]:[Cost item]],$D102,Calc_TUV_EnvGroup_1[[Cost element]:[Cost element]],$G102)*($F$58/$F$59),8),
0,1))</f>
        <v>-</v>
      </c>
      <c r="J102" s="67" t="str">
        <f>IF(J66="-","-",
IF(
ROUND(J66,8)=
ROUND(SUMIFS(Calc_TUV_EnvGroup_1[Jemena],Calc_TUV_EnvGroup_1[[Cost item]:[Cost item]],$D102,Calc_TUV_EnvGroup_1[[Cost element]:[Cost element]],$G102)*($F$58/$F$59),8),
0,1))</f>
        <v>-</v>
      </c>
      <c r="K102" s="67" t="str">
        <f>IF(K66="-","-",
IF(
ROUND(K66,8)=
ROUND(SUMIFS(Calc_TUV_EnvGroup_1[Powercor],Calc_TUV_EnvGroup_1[[Cost item]:[Cost item]],$D102,Calc_TUV_EnvGroup_1[[Cost element]:[Cost element]],$G102)*($F$58/$F$59),8),
0,1))</f>
        <v>-</v>
      </c>
      <c r="L102" s="67" t="str">
        <f>IF(L66="-","-",
IF(
ROUND(L66,8)=
ROUND(SUMIFS(Calc_TUV_EnvGroup_1[United Energy],Calc_TUV_EnvGroup_1[[Cost item]:[Cost item]],$D102,Calc_TUV_EnvGroup_1[[Cost element]:[Cost element]],$G102)*($F$58/$F$59),8),
0,1))</f>
        <v>-</v>
      </c>
    </row>
    <row r="103" spans="3:12" ht="15.75" hidden="1" outlineLevel="1" x14ac:dyDescent="0.25">
      <c r="C103" s="14" t="s">
        <v>81</v>
      </c>
      <c r="D103" s="14" t="s">
        <v>489</v>
      </c>
      <c r="E103" s="39" t="s">
        <v>75</v>
      </c>
      <c r="F103" s="14" t="s">
        <v>72</v>
      </c>
      <c r="G103" s="14" t="s">
        <v>89</v>
      </c>
      <c r="H103" s="67">
        <f>IF(H67="-","-",
IF(
ROUND(H67,8)=
ROUND(SUMIFS(Calc_TUV_EnvGroup_1[Ausnet],Calc_TUV_EnvGroup_1[[Cost item]:[Cost item]],$D103,Calc_TUV_EnvGroup_1[[Cost element]:[Cost element]],$G103)*($F$58/$F$59),8),
0,1))</f>
        <v>0</v>
      </c>
      <c r="I103" s="67">
        <f>IF(I67="-","-",
IF(
ROUND(I67,8)=
ROUND(SUMIFS(Calc_TUV_EnvGroup_1[Citipower],Calc_TUV_EnvGroup_1[[Cost item]:[Cost item]],$D103,Calc_TUV_EnvGroup_1[[Cost element]:[Cost element]],$G103)*($F$58/$F$59),8),
0,1))</f>
        <v>0</v>
      </c>
      <c r="J103" s="67">
        <f>IF(J67="-","-",
IF(
ROUND(J67,8)=
ROUND(SUMIFS(Calc_TUV_EnvGroup_1[Jemena],Calc_TUV_EnvGroup_1[[Cost item]:[Cost item]],$D103,Calc_TUV_EnvGroup_1[[Cost element]:[Cost element]],$G103)*($F$58/$F$59),8),
0,1))</f>
        <v>0</v>
      </c>
      <c r="K103" s="67">
        <f>IF(K67="-","-",
IF(
ROUND(K67,8)=
ROUND(SUMIFS(Calc_TUV_EnvGroup_1[Powercor],Calc_TUV_EnvGroup_1[[Cost item]:[Cost item]],$D103,Calc_TUV_EnvGroup_1[[Cost element]:[Cost element]],$G103)*($F$58/$F$59),8),
0,1))</f>
        <v>0</v>
      </c>
      <c r="L103" s="67">
        <f>IF(L67="-","-",
IF(
ROUND(L67,8)=
ROUND(SUMIFS(Calc_TUV_EnvGroup_1[United Energy],Calc_TUV_EnvGroup_1[[Cost item]:[Cost item]],$D103,Calc_TUV_EnvGroup_1[[Cost element]:[Cost element]],$G103)*($F$58/$F$59),8),
0,1))</f>
        <v>0</v>
      </c>
    </row>
    <row r="104" spans="3:12" ht="15.75" hidden="1" outlineLevel="1" x14ac:dyDescent="0.25">
      <c r="C104" s="14" t="s">
        <v>79</v>
      </c>
      <c r="D104" s="14" t="s">
        <v>489</v>
      </c>
      <c r="E104" s="39" t="s">
        <v>75</v>
      </c>
      <c r="F104" s="14" t="s">
        <v>72</v>
      </c>
      <c r="G104" s="14" t="s">
        <v>89</v>
      </c>
      <c r="H104" s="67">
        <f>IF(H68="-","-",
IF(
ROUND(H68,8)=
ROUND(SUMIFS(Calc_TUV_EnvGroup_1[Ausnet],Calc_TUV_EnvGroup_1[[Cost item]:[Cost item]],$D104,Calc_TUV_EnvGroup_1[[Cost element]:[Cost element]],$G104)*($F$58/$F$59),8),
0,1))</f>
        <v>0</v>
      </c>
      <c r="I104" s="67">
        <f>IF(I68="-","-",
IF(
ROUND(I68,8)=
ROUND(SUMIFS(Calc_TUV_EnvGroup_1[Citipower],Calc_TUV_EnvGroup_1[[Cost item]:[Cost item]],$D104,Calc_TUV_EnvGroup_1[[Cost element]:[Cost element]],$G104)*($F$58/$F$59),8),
0,1))</f>
        <v>0</v>
      </c>
      <c r="J104" s="67">
        <f>IF(J68="-","-",
IF(
ROUND(J68,8)=
ROUND(SUMIFS(Calc_TUV_EnvGroup_1[Jemena],Calc_TUV_EnvGroup_1[[Cost item]:[Cost item]],$D104,Calc_TUV_EnvGroup_1[[Cost element]:[Cost element]],$G104)*($F$58/$F$59),8),
0,1))</f>
        <v>0</v>
      </c>
      <c r="K104" s="67">
        <f>IF(K68="-","-",
IF(
ROUND(K68,8)=
ROUND(SUMIFS(Calc_TUV_EnvGroup_1[Powercor],Calc_TUV_EnvGroup_1[[Cost item]:[Cost item]],$D104,Calc_TUV_EnvGroup_1[[Cost element]:[Cost element]],$G104)*($F$58/$F$59),8),
0,1))</f>
        <v>0</v>
      </c>
      <c r="L104" s="67">
        <f>IF(L68="-","-",
IF(
ROUND(L68,8)=
ROUND(SUMIFS(Calc_TUV_EnvGroup_1[United Energy],Calc_TUV_EnvGroup_1[[Cost item]:[Cost item]],$D104,Calc_TUV_EnvGroup_1[[Cost element]:[Cost element]],$G104)*($F$58/$F$59),8),
0,1))</f>
        <v>0</v>
      </c>
    </row>
    <row r="105" spans="3:12" ht="15.75" hidden="1" outlineLevel="1" x14ac:dyDescent="0.25">
      <c r="C105" s="14" t="s">
        <v>80</v>
      </c>
      <c r="D105" s="14" t="s">
        <v>489</v>
      </c>
      <c r="E105" s="39" t="s">
        <v>75</v>
      </c>
      <c r="F105" s="14" t="s">
        <v>72</v>
      </c>
      <c r="G105" s="14" t="s">
        <v>89</v>
      </c>
      <c r="H105" s="67">
        <f>IF(H69="-","-",
IF(
ROUND(H69,8)=
ROUND(SUMIFS(Calc_TUV_EnvGroup_1[Ausnet],Calc_TUV_EnvGroup_1[[Cost item]:[Cost item]],$D105,Calc_TUV_EnvGroup_1[[Cost element]:[Cost element]],$G105)*($F$58/$F$59),8),
0,1))</f>
        <v>0</v>
      </c>
      <c r="I105" s="67">
        <f>IF(I69="-","-",
IF(
ROUND(I69,8)=
ROUND(SUMIFS(Calc_TUV_EnvGroup_1[Citipower],Calc_TUV_EnvGroup_1[[Cost item]:[Cost item]],$D105,Calc_TUV_EnvGroup_1[[Cost element]:[Cost element]],$G105)*($F$58/$F$59),8),
0,1))</f>
        <v>0</v>
      </c>
      <c r="J105" s="67">
        <f>IF(J69="-","-",
IF(
ROUND(J69,8)=
ROUND(SUMIFS(Calc_TUV_EnvGroup_1[Jemena],Calc_TUV_EnvGroup_1[[Cost item]:[Cost item]],$D105,Calc_TUV_EnvGroup_1[[Cost element]:[Cost element]],$G105)*($F$58/$F$59),8),
0,1))</f>
        <v>0</v>
      </c>
      <c r="K105" s="67">
        <f>IF(K69="-","-",
IF(
ROUND(K69,8)=
ROUND(SUMIFS(Calc_TUV_EnvGroup_1[Powercor],Calc_TUV_EnvGroup_1[[Cost item]:[Cost item]],$D105,Calc_TUV_EnvGroup_1[[Cost element]:[Cost element]],$G105)*($F$58/$F$59),8),
0,1))</f>
        <v>0</v>
      </c>
      <c r="L105" s="67">
        <f>IF(L69="-","-",
IF(
ROUND(L69,8)=
ROUND(SUMIFS(Calc_TUV_EnvGroup_1[United Energy],Calc_TUV_EnvGroup_1[[Cost item]:[Cost item]],$D105,Calc_TUV_EnvGroup_1[[Cost element]:[Cost element]],$G105)*($F$58/$F$59),8),
0,1))</f>
        <v>0</v>
      </c>
    </row>
    <row r="106" spans="3:12" ht="15.75" hidden="1" outlineLevel="1" x14ac:dyDescent="0.25">
      <c r="C106" s="14" t="s">
        <v>77</v>
      </c>
      <c r="D106" s="14" t="s">
        <v>490</v>
      </c>
      <c r="E106" s="39" t="s">
        <v>75</v>
      </c>
      <c r="F106" s="14" t="s">
        <v>72</v>
      </c>
      <c r="G106" s="14" t="s">
        <v>89</v>
      </c>
      <c r="H106" s="67" t="str">
        <f>IF(H70="-","-",
IF(
ROUND(H70,8)=
ROUND(SUMIFS(Calc_TUV_EnvGroup_1[Ausnet],Calc_TUV_EnvGroup_1[[Cost item]:[Cost item]],$D106,Calc_TUV_EnvGroup_1[[Cost element]:[Cost element]],$G106)*($F$58/$F$59),8),
0,1))</f>
        <v>-</v>
      </c>
      <c r="I106" s="67">
        <f>IF(I70="-","-",
IF(
ROUND(I70,8)=
ROUND(SUMIFS(Calc_TUV_EnvGroup_1[Citipower],Calc_TUV_EnvGroup_1[[Cost item]:[Cost item]],$D106,Calc_TUV_EnvGroup_1[[Cost element]:[Cost element]],$G106)*($F$58/$F$59),8),
0,1))</f>
        <v>0</v>
      </c>
      <c r="J106" s="67">
        <f>IF(J70="-","-",
IF(
ROUND(J70,8)=
ROUND(SUMIFS(Calc_TUV_EnvGroup_1[Jemena],Calc_TUV_EnvGroup_1[[Cost item]:[Cost item]],$D106,Calc_TUV_EnvGroup_1[[Cost element]:[Cost element]],$G106)*($F$58/$F$59),8),
0,1))</f>
        <v>0</v>
      </c>
      <c r="K106" s="67">
        <f>IF(K70="-","-",
IF(
ROUND(K70,8)=
ROUND(SUMIFS(Calc_TUV_EnvGroup_1[Powercor],Calc_TUV_EnvGroup_1[[Cost item]:[Cost item]],$D106,Calc_TUV_EnvGroup_1[[Cost element]:[Cost element]],$G106)*($F$58/$F$59),8),
0,1))</f>
        <v>0</v>
      </c>
      <c r="L106" s="67">
        <f>IF(L70="-","-",
IF(
ROUND(L70,8)=
ROUND(SUMIFS(Calc_TUV_EnvGroup_1[United Energy],Calc_TUV_EnvGroup_1[[Cost item]:[Cost item]],$D106,Calc_TUV_EnvGroup_1[[Cost element]:[Cost element]],$G106)*($F$58/$F$59),8),
0,1))</f>
        <v>0</v>
      </c>
    </row>
    <row r="107" spans="3:12" ht="15.75" hidden="1" outlineLevel="1" x14ac:dyDescent="0.25">
      <c r="C107" s="14" t="s">
        <v>74</v>
      </c>
      <c r="D107" s="14" t="s">
        <v>490</v>
      </c>
      <c r="E107" s="39" t="s">
        <v>75</v>
      </c>
      <c r="F107" s="14" t="s">
        <v>72</v>
      </c>
      <c r="G107" s="14" t="s">
        <v>89</v>
      </c>
      <c r="H107" s="67">
        <f>IF(H71="-","-",
IF(
ROUND(H71,8)=
ROUND(SUMIFS(Calc_TUV_EnvGroup_1[Ausnet],Calc_TUV_EnvGroup_1[[Cost item]:[Cost item]],$D107,Calc_TUV_EnvGroup_1[[Cost element]:[Cost element]],$G107)*($F$58/$F$59),8),
0,1))</f>
        <v>0</v>
      </c>
      <c r="I107" s="67" t="str">
        <f>IF(I71="-","-",
IF(
ROUND(I71,8)=
ROUND(SUMIFS(Calc_TUV_EnvGroup_1[Citipower],Calc_TUV_EnvGroup_1[[Cost item]:[Cost item]],$D107,Calc_TUV_EnvGroup_1[[Cost element]:[Cost element]],$G107)*($F$58/$F$59),8),
0,1))</f>
        <v>-</v>
      </c>
      <c r="J107" s="67" t="str">
        <f>IF(J71="-","-",
IF(
ROUND(J71,8)=
ROUND(SUMIFS(Calc_TUV_EnvGroup_1[Jemena],Calc_TUV_EnvGroup_1[[Cost item]:[Cost item]],$D107,Calc_TUV_EnvGroup_1[[Cost element]:[Cost element]],$G107)*($F$58/$F$59),8),
0,1))</f>
        <v>-</v>
      </c>
      <c r="K107" s="67" t="str">
        <f>IF(K71="-","-",
IF(
ROUND(K71,8)=
ROUND(SUMIFS(Calc_TUV_EnvGroup_1[Powercor],Calc_TUV_EnvGroup_1[[Cost item]:[Cost item]],$D107,Calc_TUV_EnvGroup_1[[Cost element]:[Cost element]],$G107)*($F$58/$F$59),8),
0,1))</f>
        <v>-</v>
      </c>
      <c r="L107" s="67" t="str">
        <f>IF(L71="-","-",
IF(
ROUND(L71,8)=
ROUND(SUMIFS(Calc_TUV_EnvGroup_1[United Energy],Calc_TUV_EnvGroup_1[[Cost item]:[Cost item]],$D107,Calc_TUV_EnvGroup_1[[Cost element]:[Cost element]],$G107)*($F$58/$F$59),8),
0,1))</f>
        <v>-</v>
      </c>
    </row>
    <row r="108" spans="3:12" ht="15.75" hidden="1" outlineLevel="1" x14ac:dyDescent="0.25">
      <c r="C108" s="14" t="s">
        <v>76</v>
      </c>
      <c r="D108" s="14" t="s">
        <v>490</v>
      </c>
      <c r="E108" s="39" t="s">
        <v>75</v>
      </c>
      <c r="F108" s="14" t="s">
        <v>72</v>
      </c>
      <c r="G108" s="14" t="s">
        <v>89</v>
      </c>
      <c r="H108" s="67">
        <f>IF(H72="-","-",
IF(
ROUND(H72,8)=
ROUND(SUMIFS(Calc_TUV_EnvGroup_1[Ausnet],Calc_TUV_EnvGroup_1[[Cost item]:[Cost item]],$D108,Calc_TUV_EnvGroup_1[[Cost element]:[Cost element]],$G108)*($F$58/$F$59),8),
0,1))</f>
        <v>0</v>
      </c>
      <c r="I108" s="67" t="str">
        <f>IF(I72="-","-",
IF(
ROUND(I72,8)=
ROUND(SUMIFS(Calc_TUV_EnvGroup_1[Citipower],Calc_TUV_EnvGroup_1[[Cost item]:[Cost item]],$D108,Calc_TUV_EnvGroup_1[[Cost element]:[Cost element]],$G108)*($F$58/$F$59),8),
0,1))</f>
        <v>-</v>
      </c>
      <c r="J108" s="67" t="str">
        <f>IF(J72="-","-",
IF(
ROUND(J72,8)=
ROUND(SUMIFS(Calc_TUV_EnvGroup_1[Jemena],Calc_TUV_EnvGroup_1[[Cost item]:[Cost item]],$D108,Calc_TUV_EnvGroup_1[[Cost element]:[Cost element]],$G108)*($F$58/$F$59),8),
0,1))</f>
        <v>-</v>
      </c>
      <c r="K108" s="67" t="str">
        <f>IF(K72="-","-",
IF(
ROUND(K72,8)=
ROUND(SUMIFS(Calc_TUV_EnvGroup_1[Powercor],Calc_TUV_EnvGroup_1[[Cost item]:[Cost item]],$D108,Calc_TUV_EnvGroup_1[[Cost element]:[Cost element]],$G108)*($F$58/$F$59),8),
0,1))</f>
        <v>-</v>
      </c>
      <c r="L108" s="67" t="str">
        <f>IF(L72="-","-",
IF(
ROUND(L72,8)=
ROUND(SUMIFS(Calc_TUV_EnvGroup_1[United Energy],Calc_TUV_EnvGroup_1[[Cost item]:[Cost item]],$D108,Calc_TUV_EnvGroup_1[[Cost element]:[Cost element]],$G108)*($F$58/$F$59),8),
0,1))</f>
        <v>-</v>
      </c>
    </row>
    <row r="109" spans="3:12" ht="15.75" hidden="1" outlineLevel="1" x14ac:dyDescent="0.25">
      <c r="C109" s="14" t="s">
        <v>81</v>
      </c>
      <c r="D109" s="14" t="s">
        <v>490</v>
      </c>
      <c r="E109" s="39" t="s">
        <v>75</v>
      </c>
      <c r="F109" s="14" t="s">
        <v>72</v>
      </c>
      <c r="G109" s="14" t="s">
        <v>89</v>
      </c>
      <c r="H109" s="67">
        <f>IF(H73="-","-",
IF(
ROUND(H73,8)=
ROUND(SUMIFS(Calc_TUV_EnvGroup_1[Ausnet],Calc_TUV_EnvGroup_1[[Cost item]:[Cost item]],$D109,Calc_TUV_EnvGroup_1[[Cost element]:[Cost element]],$G109)*($F$58/$F$59),8),
0,1))</f>
        <v>0</v>
      </c>
      <c r="I109" s="67">
        <f>IF(I73="-","-",
IF(
ROUND(I73,8)=
ROUND(SUMIFS(Calc_TUV_EnvGroup_1[Citipower],Calc_TUV_EnvGroup_1[[Cost item]:[Cost item]],$D109,Calc_TUV_EnvGroup_1[[Cost element]:[Cost element]],$G109)*($F$58/$F$59),8),
0,1))</f>
        <v>0</v>
      </c>
      <c r="J109" s="67">
        <f>IF(J73="-","-",
IF(
ROUND(J73,8)=
ROUND(SUMIFS(Calc_TUV_EnvGroup_1[Jemena],Calc_TUV_EnvGroup_1[[Cost item]:[Cost item]],$D109,Calc_TUV_EnvGroup_1[[Cost element]:[Cost element]],$G109)*($F$58/$F$59),8),
0,1))</f>
        <v>0</v>
      </c>
      <c r="K109" s="67">
        <f>IF(K73="-","-",
IF(
ROUND(K73,8)=
ROUND(SUMIFS(Calc_TUV_EnvGroup_1[Powercor],Calc_TUV_EnvGroup_1[[Cost item]:[Cost item]],$D109,Calc_TUV_EnvGroup_1[[Cost element]:[Cost element]],$G109)*($F$58/$F$59),8),
0,1))</f>
        <v>0</v>
      </c>
      <c r="L109" s="67">
        <f>IF(L73="-","-",
IF(
ROUND(L73,8)=
ROUND(SUMIFS(Calc_TUV_EnvGroup_1[United Energy],Calc_TUV_EnvGroup_1[[Cost item]:[Cost item]],$D109,Calc_TUV_EnvGroup_1[[Cost element]:[Cost element]],$G109)*($F$58/$F$59),8),
0,1))</f>
        <v>0</v>
      </c>
    </row>
    <row r="110" spans="3:12" ht="15.75" hidden="1" outlineLevel="1" x14ac:dyDescent="0.25">
      <c r="C110" s="14" t="s">
        <v>79</v>
      </c>
      <c r="D110" s="14" t="s">
        <v>490</v>
      </c>
      <c r="E110" s="39" t="s">
        <v>75</v>
      </c>
      <c r="F110" s="14" t="s">
        <v>72</v>
      </c>
      <c r="G110" s="14" t="s">
        <v>89</v>
      </c>
      <c r="H110" s="67">
        <f>IF(H74="-","-",
IF(
ROUND(H74,8)=
ROUND(SUMIFS(Calc_TUV_EnvGroup_1[Ausnet],Calc_TUV_EnvGroup_1[[Cost item]:[Cost item]],$D110,Calc_TUV_EnvGroup_1[[Cost element]:[Cost element]],$G110)*($F$58/$F$59),8),
0,1))</f>
        <v>0</v>
      </c>
      <c r="I110" s="67">
        <f>IF(I74="-","-",
IF(
ROUND(I74,8)=
ROUND(SUMIFS(Calc_TUV_EnvGroup_1[Citipower],Calc_TUV_EnvGroup_1[[Cost item]:[Cost item]],$D110,Calc_TUV_EnvGroup_1[[Cost element]:[Cost element]],$G110)*($F$58/$F$59),8),
0,1))</f>
        <v>0</v>
      </c>
      <c r="J110" s="67">
        <f>IF(J74="-","-",
IF(
ROUND(J74,8)=
ROUND(SUMIFS(Calc_TUV_EnvGroup_1[Jemena],Calc_TUV_EnvGroup_1[[Cost item]:[Cost item]],$D110,Calc_TUV_EnvGroup_1[[Cost element]:[Cost element]],$G110)*($F$58/$F$59),8),
0,1))</f>
        <v>0</v>
      </c>
      <c r="K110" s="67">
        <f>IF(K74="-","-",
IF(
ROUND(K74,8)=
ROUND(SUMIFS(Calc_TUV_EnvGroup_1[Powercor],Calc_TUV_EnvGroup_1[[Cost item]:[Cost item]],$D110,Calc_TUV_EnvGroup_1[[Cost element]:[Cost element]],$G110)*($F$58/$F$59),8),
0,1))</f>
        <v>0</v>
      </c>
      <c r="L110" s="67">
        <f>IF(L74="-","-",
IF(
ROUND(L74,8)=
ROUND(SUMIFS(Calc_TUV_EnvGroup_1[United Energy],Calc_TUV_EnvGroup_1[[Cost item]:[Cost item]],$D110,Calc_TUV_EnvGroup_1[[Cost element]:[Cost element]],$G110)*($F$58/$F$59),8),
0,1))</f>
        <v>0</v>
      </c>
    </row>
    <row r="111" spans="3:12" ht="15.75" hidden="1" outlineLevel="1" x14ac:dyDescent="0.25">
      <c r="C111" s="14" t="s">
        <v>80</v>
      </c>
      <c r="D111" s="14" t="s">
        <v>490</v>
      </c>
      <c r="E111" s="39" t="s">
        <v>75</v>
      </c>
      <c r="F111" s="14" t="s">
        <v>72</v>
      </c>
      <c r="G111" s="14" t="s">
        <v>89</v>
      </c>
      <c r="H111" s="67">
        <f>IF(H75="-","-",
IF(
ROUND(H75,8)=
ROUND(SUMIFS(Calc_TUV_EnvGroup_1[Ausnet],Calc_TUV_EnvGroup_1[[Cost item]:[Cost item]],$D111,Calc_TUV_EnvGroup_1[[Cost element]:[Cost element]],$G111)*($F$58/$F$59),8),
0,1))</f>
        <v>0</v>
      </c>
      <c r="I111" s="67">
        <f>IF(I75="-","-",
IF(
ROUND(I75,8)=
ROUND(SUMIFS(Calc_TUV_EnvGroup_1[Citipower],Calc_TUV_EnvGroup_1[[Cost item]:[Cost item]],$D111,Calc_TUV_EnvGroup_1[[Cost element]:[Cost element]],$G111)*($F$58/$F$59),8),
0,1))</f>
        <v>0</v>
      </c>
      <c r="J111" s="67">
        <f>IF(J75="-","-",
IF(
ROUND(J75,8)=
ROUND(SUMIFS(Calc_TUV_EnvGroup_1[Jemena],Calc_TUV_EnvGroup_1[[Cost item]:[Cost item]],$D111,Calc_TUV_EnvGroup_1[[Cost element]:[Cost element]],$G111)*($F$58/$F$59),8),
0,1))</f>
        <v>0</v>
      </c>
      <c r="K111" s="67">
        <f>IF(K75="-","-",
IF(
ROUND(K75,8)=
ROUND(SUMIFS(Calc_TUV_EnvGroup_1[Powercor],Calc_TUV_EnvGroup_1[[Cost item]:[Cost item]],$D111,Calc_TUV_EnvGroup_1[[Cost element]:[Cost element]],$G111)*($F$58/$F$59),8),
0,1))</f>
        <v>0</v>
      </c>
      <c r="L111" s="67">
        <f>IF(L75="-","-",
IF(
ROUND(L75,8)=
ROUND(SUMIFS(Calc_TUV_EnvGroup_1[United Energy],Calc_TUV_EnvGroup_1[[Cost item]:[Cost item]],$D111,Calc_TUV_EnvGroup_1[[Cost element]:[Cost element]],$G111)*($F$58/$F$59),8),
0,1))</f>
        <v>0</v>
      </c>
    </row>
    <row r="112" spans="3:12" ht="15.75" hidden="1" outlineLevel="1" x14ac:dyDescent="0.25">
      <c r="C112" s="14" t="s">
        <v>77</v>
      </c>
      <c r="D112" s="14" t="s">
        <v>491</v>
      </c>
      <c r="E112" s="39" t="s">
        <v>75</v>
      </c>
      <c r="F112" s="14" t="s">
        <v>72</v>
      </c>
      <c r="G112" s="14" t="s">
        <v>89</v>
      </c>
      <c r="H112" s="67" t="str">
        <f>IF(H76="-","-",
IF(
ROUND(H76,8)=
ROUND(SUMIFS(Calc_TUV_EnvGroup_1[Ausnet],Calc_TUV_EnvGroup_1[[Cost item]:[Cost item]],$D112,Calc_TUV_EnvGroup_1[[Cost element]:[Cost element]],$G112)*($F$58/$F$59),8),
0,1))</f>
        <v>-</v>
      </c>
      <c r="I112" s="67">
        <f>IF(I76="-","-",
IF(
ROUND(I76,8)=
ROUND(SUMIFS(Calc_TUV_EnvGroup_1[Citipower],Calc_TUV_EnvGroup_1[[Cost item]:[Cost item]],$D112,Calc_TUV_EnvGroup_1[[Cost element]:[Cost element]],$G112)*($F$58/$F$59),8),
0,1))</f>
        <v>0</v>
      </c>
      <c r="J112" s="67">
        <f>IF(J76="-","-",
IF(
ROUND(J76,8)=
ROUND(SUMIFS(Calc_TUV_EnvGroup_1[Jemena],Calc_TUV_EnvGroup_1[[Cost item]:[Cost item]],$D112,Calc_TUV_EnvGroup_1[[Cost element]:[Cost element]],$G112)*($F$58/$F$59),8),
0,1))</f>
        <v>0</v>
      </c>
      <c r="K112" s="67">
        <f>IF(K76="-","-",
IF(
ROUND(K76,8)=
ROUND(SUMIFS(Calc_TUV_EnvGroup_1[Powercor],Calc_TUV_EnvGroup_1[[Cost item]:[Cost item]],$D112,Calc_TUV_EnvGroup_1[[Cost element]:[Cost element]],$G112)*($F$58/$F$59),8),
0,1))</f>
        <v>0</v>
      </c>
      <c r="L112" s="67">
        <f>IF(L76="-","-",
IF(
ROUND(L76,8)=
ROUND(SUMIFS(Calc_TUV_EnvGroup_1[United Energy],Calc_TUV_EnvGroup_1[[Cost item]:[Cost item]],$D112,Calc_TUV_EnvGroup_1[[Cost element]:[Cost element]],$G112)*($F$58/$F$59),8),
0,1))</f>
        <v>0</v>
      </c>
    </row>
    <row r="113" spans="3:12" ht="15.75" hidden="1" outlineLevel="1" x14ac:dyDescent="0.25">
      <c r="C113" s="14" t="s">
        <v>74</v>
      </c>
      <c r="D113" s="14" t="s">
        <v>491</v>
      </c>
      <c r="E113" s="39" t="s">
        <v>75</v>
      </c>
      <c r="F113" s="14" t="s">
        <v>72</v>
      </c>
      <c r="G113" s="14" t="s">
        <v>89</v>
      </c>
      <c r="H113" s="67">
        <f>IF(H77="-","-",
IF(
ROUND(H77,8)=
ROUND(SUMIFS(Calc_TUV_EnvGroup_1[Ausnet],Calc_TUV_EnvGroup_1[[Cost item]:[Cost item]],$D113,Calc_TUV_EnvGroup_1[[Cost element]:[Cost element]],$G113)*($F$58/$F$59),8),
0,1))</f>
        <v>0</v>
      </c>
      <c r="I113" s="67" t="str">
        <f>IF(I77="-","-",
IF(
ROUND(I77,8)=
ROUND(SUMIFS(Calc_TUV_EnvGroup_1[Citipower],Calc_TUV_EnvGroup_1[[Cost item]:[Cost item]],$D113,Calc_TUV_EnvGroup_1[[Cost element]:[Cost element]],$G113)*($F$58/$F$59),8),
0,1))</f>
        <v>-</v>
      </c>
      <c r="J113" s="67" t="str">
        <f>IF(J77="-","-",
IF(
ROUND(J77,8)=
ROUND(SUMIFS(Calc_TUV_EnvGroup_1[Jemena],Calc_TUV_EnvGroup_1[[Cost item]:[Cost item]],$D113,Calc_TUV_EnvGroup_1[[Cost element]:[Cost element]],$G113)*($F$58/$F$59),8),
0,1))</f>
        <v>-</v>
      </c>
      <c r="K113" s="67" t="str">
        <f>IF(K77="-","-",
IF(
ROUND(K77,8)=
ROUND(SUMIFS(Calc_TUV_EnvGroup_1[Powercor],Calc_TUV_EnvGroup_1[[Cost item]:[Cost item]],$D113,Calc_TUV_EnvGroup_1[[Cost element]:[Cost element]],$G113)*($F$58/$F$59),8),
0,1))</f>
        <v>-</v>
      </c>
      <c r="L113" s="67" t="str">
        <f>IF(L77="-","-",
IF(
ROUND(L77,8)=
ROUND(SUMIFS(Calc_TUV_EnvGroup_1[United Energy],Calc_TUV_EnvGroup_1[[Cost item]:[Cost item]],$D113,Calc_TUV_EnvGroup_1[[Cost element]:[Cost element]],$G113)*($F$58/$F$59),8),
0,1))</f>
        <v>-</v>
      </c>
    </row>
    <row r="114" spans="3:12" ht="15.75" hidden="1" outlineLevel="1" x14ac:dyDescent="0.25">
      <c r="C114" s="14" t="s">
        <v>76</v>
      </c>
      <c r="D114" s="14" t="s">
        <v>491</v>
      </c>
      <c r="E114" s="39" t="s">
        <v>75</v>
      </c>
      <c r="F114" s="14" t="s">
        <v>72</v>
      </c>
      <c r="G114" s="14" t="s">
        <v>89</v>
      </c>
      <c r="H114" s="67">
        <f>IF(H78="-","-",
IF(
ROUND(H78,8)=
ROUND(SUMIFS(Calc_TUV_EnvGroup_1[Ausnet],Calc_TUV_EnvGroup_1[[Cost item]:[Cost item]],$D114,Calc_TUV_EnvGroup_1[[Cost element]:[Cost element]],$G114)*($F$58/$F$59),8),
0,1))</f>
        <v>0</v>
      </c>
      <c r="I114" s="67" t="str">
        <f>IF(I78="-","-",
IF(
ROUND(I78,8)=
ROUND(SUMIFS(Calc_TUV_EnvGroup_1[Citipower],Calc_TUV_EnvGroup_1[[Cost item]:[Cost item]],$D114,Calc_TUV_EnvGroup_1[[Cost element]:[Cost element]],$G114)*($F$58/$F$59),8),
0,1))</f>
        <v>-</v>
      </c>
      <c r="J114" s="67" t="str">
        <f>IF(J78="-","-",
IF(
ROUND(J78,8)=
ROUND(SUMIFS(Calc_TUV_EnvGroup_1[Jemena],Calc_TUV_EnvGroup_1[[Cost item]:[Cost item]],$D114,Calc_TUV_EnvGroup_1[[Cost element]:[Cost element]],$G114)*($F$58/$F$59),8),
0,1))</f>
        <v>-</v>
      </c>
      <c r="K114" s="67" t="str">
        <f>IF(K78="-","-",
IF(
ROUND(K78,8)=
ROUND(SUMIFS(Calc_TUV_EnvGroup_1[Powercor],Calc_TUV_EnvGroup_1[[Cost item]:[Cost item]],$D114,Calc_TUV_EnvGroup_1[[Cost element]:[Cost element]],$G114)*($F$58/$F$59),8),
0,1))</f>
        <v>-</v>
      </c>
      <c r="L114" s="67" t="str">
        <f>IF(L78="-","-",
IF(
ROUND(L78,8)=
ROUND(SUMIFS(Calc_TUV_EnvGroup_1[United Energy],Calc_TUV_EnvGroup_1[[Cost item]:[Cost item]],$D114,Calc_TUV_EnvGroup_1[[Cost element]:[Cost element]],$G114)*($F$58/$F$59),8),
0,1))</f>
        <v>-</v>
      </c>
    </row>
    <row r="115" spans="3:12" ht="15.75" hidden="1" outlineLevel="1" x14ac:dyDescent="0.25">
      <c r="C115" s="14" t="s">
        <v>81</v>
      </c>
      <c r="D115" s="14" t="s">
        <v>491</v>
      </c>
      <c r="E115" s="39" t="s">
        <v>75</v>
      </c>
      <c r="F115" s="14" t="s">
        <v>72</v>
      </c>
      <c r="G115" s="14" t="s">
        <v>89</v>
      </c>
      <c r="H115" s="67">
        <f>IF(H79="-","-",
IF(
ROUND(H79,8)=
ROUND(SUMIFS(Calc_TUV_EnvGroup_1[Ausnet],Calc_TUV_EnvGroup_1[[Cost item]:[Cost item]],$D115,Calc_TUV_EnvGroup_1[[Cost element]:[Cost element]],$G115)*($F$58/$F$59),8),
0,1))</f>
        <v>0</v>
      </c>
      <c r="I115" s="67">
        <f>IF(I79="-","-",
IF(
ROUND(I79,8)=
ROUND(SUMIFS(Calc_TUV_EnvGroup_1[Citipower],Calc_TUV_EnvGroup_1[[Cost item]:[Cost item]],$D115,Calc_TUV_EnvGroup_1[[Cost element]:[Cost element]],$G115)*($F$58/$F$59),8),
0,1))</f>
        <v>0</v>
      </c>
      <c r="J115" s="67">
        <f>IF(J79="-","-",
IF(
ROUND(J79,8)=
ROUND(SUMIFS(Calc_TUV_EnvGroup_1[Jemena],Calc_TUV_EnvGroup_1[[Cost item]:[Cost item]],$D115,Calc_TUV_EnvGroup_1[[Cost element]:[Cost element]],$G115)*($F$58/$F$59),8),
0,1))</f>
        <v>0</v>
      </c>
      <c r="K115" s="67">
        <f>IF(K79="-","-",
IF(
ROUND(K79,8)=
ROUND(SUMIFS(Calc_TUV_EnvGroup_1[Powercor],Calc_TUV_EnvGroup_1[[Cost item]:[Cost item]],$D115,Calc_TUV_EnvGroup_1[[Cost element]:[Cost element]],$G115)*($F$58/$F$59),8),
0,1))</f>
        <v>0</v>
      </c>
      <c r="L115" s="67">
        <f>IF(L79="-","-",
IF(
ROUND(L79,8)=
ROUND(SUMIFS(Calc_TUV_EnvGroup_1[United Energy],Calc_TUV_EnvGroup_1[[Cost item]:[Cost item]],$D115,Calc_TUV_EnvGroup_1[[Cost element]:[Cost element]],$G115)*($F$58/$F$59),8),
0,1))</f>
        <v>0</v>
      </c>
    </row>
    <row r="116" spans="3:12" ht="15.75" hidden="1" outlineLevel="1" x14ac:dyDescent="0.25">
      <c r="C116" s="14" t="s">
        <v>79</v>
      </c>
      <c r="D116" s="14" t="s">
        <v>491</v>
      </c>
      <c r="E116" s="39" t="s">
        <v>75</v>
      </c>
      <c r="F116" s="14" t="s">
        <v>72</v>
      </c>
      <c r="G116" s="14" t="s">
        <v>89</v>
      </c>
      <c r="H116" s="67">
        <f>IF(H80="-","-",
IF(
ROUND(H80,8)=
ROUND(SUMIFS(Calc_TUV_EnvGroup_1[Ausnet],Calc_TUV_EnvGroup_1[[Cost item]:[Cost item]],$D116,Calc_TUV_EnvGroup_1[[Cost element]:[Cost element]],$G116)*($F$58/$F$59),8),
0,1))</f>
        <v>0</v>
      </c>
      <c r="I116" s="67">
        <f>IF(I80="-","-",
IF(
ROUND(I80,8)=
ROUND(SUMIFS(Calc_TUV_EnvGroup_1[Citipower],Calc_TUV_EnvGroup_1[[Cost item]:[Cost item]],$D116,Calc_TUV_EnvGroup_1[[Cost element]:[Cost element]],$G116)*($F$58/$F$59),8),
0,1))</f>
        <v>0</v>
      </c>
      <c r="J116" s="67">
        <f>IF(J80="-","-",
IF(
ROUND(J80,8)=
ROUND(SUMIFS(Calc_TUV_EnvGroup_1[Jemena],Calc_TUV_EnvGroup_1[[Cost item]:[Cost item]],$D116,Calc_TUV_EnvGroup_1[[Cost element]:[Cost element]],$G116)*($F$58/$F$59),8),
0,1))</f>
        <v>0</v>
      </c>
      <c r="K116" s="67">
        <f>IF(K80="-","-",
IF(
ROUND(K80,8)=
ROUND(SUMIFS(Calc_TUV_EnvGroup_1[Powercor],Calc_TUV_EnvGroup_1[[Cost item]:[Cost item]],$D116,Calc_TUV_EnvGroup_1[[Cost element]:[Cost element]],$G116)*($F$58/$F$59),8),
0,1))</f>
        <v>0</v>
      </c>
      <c r="L116" s="67">
        <f>IF(L80="-","-",
IF(
ROUND(L80,8)=
ROUND(SUMIFS(Calc_TUV_EnvGroup_1[United Energy],Calc_TUV_EnvGroup_1[[Cost item]:[Cost item]],$D116,Calc_TUV_EnvGroup_1[[Cost element]:[Cost element]],$G116)*($F$58/$F$59),8),
0,1))</f>
        <v>0</v>
      </c>
    </row>
    <row r="117" spans="3:12" ht="15.75" hidden="1" outlineLevel="1" x14ac:dyDescent="0.25">
      <c r="C117" s="14" t="s">
        <v>80</v>
      </c>
      <c r="D117" s="14" t="s">
        <v>491</v>
      </c>
      <c r="E117" s="39" t="s">
        <v>75</v>
      </c>
      <c r="F117" s="14" t="s">
        <v>72</v>
      </c>
      <c r="G117" s="14" t="s">
        <v>89</v>
      </c>
      <c r="H117" s="67">
        <f>IF(H81="-","-",
IF(
ROUND(H81,8)=
ROUND(SUMIFS(Calc_TUV_EnvGroup_1[Ausnet],Calc_TUV_EnvGroup_1[[Cost item]:[Cost item]],$D117,Calc_TUV_EnvGroup_1[[Cost element]:[Cost element]],$G117)*($F$58/$F$59),8),
0,1))</f>
        <v>0</v>
      </c>
      <c r="I117" s="67">
        <f>IF(I81="-","-",
IF(
ROUND(I81,8)=
ROUND(SUMIFS(Calc_TUV_EnvGroup_1[Citipower],Calc_TUV_EnvGroup_1[[Cost item]:[Cost item]],$D117,Calc_TUV_EnvGroup_1[[Cost element]:[Cost element]],$G117)*($F$58/$F$59),8),
0,1))</f>
        <v>0</v>
      </c>
      <c r="J117" s="67">
        <f>IF(J81="-","-",
IF(
ROUND(J81,8)=
ROUND(SUMIFS(Calc_TUV_EnvGroup_1[Jemena],Calc_TUV_EnvGroup_1[[Cost item]:[Cost item]],$D117,Calc_TUV_EnvGroup_1[[Cost element]:[Cost element]],$G117)*($F$58/$F$59),8),
0,1))</f>
        <v>0</v>
      </c>
      <c r="K117" s="67">
        <f>IF(K81="-","-",
IF(
ROUND(K81,8)=
ROUND(SUMIFS(Calc_TUV_EnvGroup_1[Powercor],Calc_TUV_EnvGroup_1[[Cost item]:[Cost item]],$D117,Calc_TUV_EnvGroup_1[[Cost element]:[Cost element]],$G117)*($F$58/$F$59),8),
0,1))</f>
        <v>0</v>
      </c>
      <c r="L117" s="67">
        <f>IF(L81="-","-",
IF(
ROUND(L81,8)=
ROUND(SUMIFS(Calc_TUV_EnvGroup_1[United Energy],Calc_TUV_EnvGroup_1[[Cost item]:[Cost item]],$D117,Calc_TUV_EnvGroup_1[[Cost element]:[Cost element]],$G117)*($F$58/$F$59),8),
0,1))</f>
        <v>0</v>
      </c>
    </row>
    <row r="118" spans="3:12" ht="15.75" hidden="1" outlineLevel="1" x14ac:dyDescent="0.25">
      <c r="C118" s="14" t="s">
        <v>77</v>
      </c>
      <c r="D118" s="14" t="s">
        <v>489</v>
      </c>
      <c r="E118" s="39" t="s">
        <v>75</v>
      </c>
      <c r="F118" s="14" t="s">
        <v>73</v>
      </c>
      <c r="G118" s="14" t="s">
        <v>89</v>
      </c>
      <c r="H118" s="67" t="str">
        <f>IF(H82="-","-",
IF(
ROUND(H82,8)=
ROUND(SUMIFS(Calc_TUV_EnvGroup_1[Ausnet],Calc_TUV_EnvGroup_1[[Cost item]:[Cost item]],$D118,Calc_TUV_EnvGroup_1[[Cost element]:[Cost element]],$G118)*($F$58/$F$59),8),
0,1))</f>
        <v>-</v>
      </c>
      <c r="I118" s="67">
        <f>IF(I82="-","-",
IF(
ROUND(I82,8)=
ROUND(SUMIFS(Calc_TUV_EnvGroup_1[Citipower],Calc_TUV_EnvGroup_1[[Cost item]:[Cost item]],$D118,Calc_TUV_EnvGroup_1[[Cost element]:[Cost element]],$G118)*($F$58/$F$59),8),
0,1))</f>
        <v>0</v>
      </c>
      <c r="J118" s="67">
        <f>IF(J82="-","-",
IF(
ROUND(J82,8)=
ROUND(SUMIFS(Calc_TUV_EnvGroup_1[Jemena],Calc_TUV_EnvGroup_1[[Cost item]:[Cost item]],$D118,Calc_TUV_EnvGroup_1[[Cost element]:[Cost element]],$G118)*($F$58/$F$59),8),
0,1))</f>
        <v>0</v>
      </c>
      <c r="K118" s="67">
        <f>IF(K82="-","-",
IF(
ROUND(K82,8)=
ROUND(SUMIFS(Calc_TUV_EnvGroup_1[Powercor],Calc_TUV_EnvGroup_1[[Cost item]:[Cost item]],$D118,Calc_TUV_EnvGroup_1[[Cost element]:[Cost element]],$G118)*($F$58/$F$59),8),
0,1))</f>
        <v>0</v>
      </c>
      <c r="L118" s="67">
        <f>IF(L82="-","-",
IF(
ROUND(L82,8)=
ROUND(SUMIFS(Calc_TUV_EnvGroup_1[United Energy],Calc_TUV_EnvGroup_1[[Cost item]:[Cost item]],$D118,Calc_TUV_EnvGroup_1[[Cost element]:[Cost element]],$G118)*($F$58/$F$59),8),
0,1))</f>
        <v>0</v>
      </c>
    </row>
    <row r="119" spans="3:12" ht="15.75" hidden="1" outlineLevel="1" x14ac:dyDescent="0.25">
      <c r="C119" s="14" t="s">
        <v>74</v>
      </c>
      <c r="D119" s="14" t="s">
        <v>489</v>
      </c>
      <c r="E119" s="39" t="s">
        <v>75</v>
      </c>
      <c r="F119" s="14" t="s">
        <v>73</v>
      </c>
      <c r="G119" s="14" t="s">
        <v>89</v>
      </c>
      <c r="H119" s="67">
        <f>IF(H83="-","-",
IF(
ROUND(H83,8)=
ROUND(SUMIFS(Calc_TUV_EnvGroup_1[Ausnet],Calc_TUV_EnvGroup_1[[Cost item]:[Cost item]],$D119,Calc_TUV_EnvGroup_1[[Cost element]:[Cost element]],$G119)*($F$58/$F$59),8),
0,1))</f>
        <v>0</v>
      </c>
      <c r="I119" s="67" t="str">
        <f>IF(I83="-","-",
IF(
ROUND(I83,8)=
ROUND(SUMIFS(Calc_TUV_EnvGroup_1[Citipower],Calc_TUV_EnvGroup_1[[Cost item]:[Cost item]],$D119,Calc_TUV_EnvGroup_1[[Cost element]:[Cost element]],$G119)*($F$58/$F$59),8),
0,1))</f>
        <v>-</v>
      </c>
      <c r="J119" s="67" t="str">
        <f>IF(J83="-","-",
IF(
ROUND(J83,8)=
ROUND(SUMIFS(Calc_TUV_EnvGroup_1[Jemena],Calc_TUV_EnvGroup_1[[Cost item]:[Cost item]],$D119,Calc_TUV_EnvGroup_1[[Cost element]:[Cost element]],$G119)*($F$58/$F$59),8),
0,1))</f>
        <v>-</v>
      </c>
      <c r="K119" s="67" t="str">
        <f>IF(K83="-","-",
IF(
ROUND(K83,8)=
ROUND(SUMIFS(Calc_TUV_EnvGroup_1[Powercor],Calc_TUV_EnvGroup_1[[Cost item]:[Cost item]],$D119,Calc_TUV_EnvGroup_1[[Cost element]:[Cost element]],$G119)*($F$58/$F$59),8),
0,1))</f>
        <v>-</v>
      </c>
      <c r="L119" s="67" t="str">
        <f>IF(L83="-","-",
IF(
ROUND(L83,8)=
ROUND(SUMIFS(Calc_TUV_EnvGroup_1[United Energy],Calc_TUV_EnvGroup_1[[Cost item]:[Cost item]],$D119,Calc_TUV_EnvGroup_1[[Cost element]:[Cost element]],$G119)*($F$58/$F$59),8),
0,1))</f>
        <v>-</v>
      </c>
    </row>
    <row r="120" spans="3:12" ht="15.75" hidden="1" outlineLevel="1" x14ac:dyDescent="0.25">
      <c r="C120" s="14" t="s">
        <v>76</v>
      </c>
      <c r="D120" s="14" t="s">
        <v>489</v>
      </c>
      <c r="E120" s="39" t="s">
        <v>75</v>
      </c>
      <c r="F120" s="14" t="s">
        <v>73</v>
      </c>
      <c r="G120" s="14" t="s">
        <v>89</v>
      </c>
      <c r="H120" s="67">
        <f>IF(H84="-","-",
IF(
ROUND(H84,8)=
ROUND(SUMIFS(Calc_TUV_EnvGroup_1[Ausnet],Calc_TUV_EnvGroup_1[[Cost item]:[Cost item]],$D120,Calc_TUV_EnvGroup_1[[Cost element]:[Cost element]],$G120)*($F$58/$F$59),8),
0,1))</f>
        <v>0</v>
      </c>
      <c r="I120" s="67" t="str">
        <f>IF(I84="-","-",
IF(
ROUND(I84,8)=
ROUND(SUMIFS(Calc_TUV_EnvGroup_1[Citipower],Calc_TUV_EnvGroup_1[[Cost item]:[Cost item]],$D120,Calc_TUV_EnvGroup_1[[Cost element]:[Cost element]],$G120)*($F$58/$F$59),8),
0,1))</f>
        <v>-</v>
      </c>
      <c r="J120" s="67" t="str">
        <f>IF(J84="-","-",
IF(
ROUND(J84,8)=
ROUND(SUMIFS(Calc_TUV_EnvGroup_1[Jemena],Calc_TUV_EnvGroup_1[[Cost item]:[Cost item]],$D120,Calc_TUV_EnvGroup_1[[Cost element]:[Cost element]],$G120)*($F$58/$F$59),8),
0,1))</f>
        <v>-</v>
      </c>
      <c r="K120" s="67" t="str">
        <f>IF(K84="-","-",
IF(
ROUND(K84,8)=
ROUND(SUMIFS(Calc_TUV_EnvGroup_1[Powercor],Calc_TUV_EnvGroup_1[[Cost item]:[Cost item]],$D120,Calc_TUV_EnvGroup_1[[Cost element]:[Cost element]],$G120)*($F$58/$F$59),8),
0,1))</f>
        <v>-</v>
      </c>
      <c r="L120" s="67" t="str">
        <f>IF(L84="-","-",
IF(
ROUND(L84,8)=
ROUND(SUMIFS(Calc_TUV_EnvGroup_1[United Energy],Calc_TUV_EnvGroup_1[[Cost item]:[Cost item]],$D120,Calc_TUV_EnvGroup_1[[Cost element]:[Cost element]],$G120)*($F$58/$F$59),8),
0,1))</f>
        <v>-</v>
      </c>
    </row>
    <row r="121" spans="3:12" ht="15.75" hidden="1" outlineLevel="1" x14ac:dyDescent="0.25">
      <c r="C121" s="14" t="s">
        <v>79</v>
      </c>
      <c r="D121" s="14" t="s">
        <v>489</v>
      </c>
      <c r="E121" s="39" t="s">
        <v>75</v>
      </c>
      <c r="F121" s="14" t="s">
        <v>73</v>
      </c>
      <c r="G121" s="14" t="s">
        <v>89</v>
      </c>
      <c r="H121" s="67">
        <f>IF(H85="-","-",
IF(
ROUND(H85,8)=
ROUND(SUMIFS(Calc_TUV_EnvGroup_1[Ausnet],Calc_TUV_EnvGroup_1[[Cost item]:[Cost item]],$D121,Calc_TUV_EnvGroup_1[[Cost element]:[Cost element]],$G121)*($F$58/$F$59),8),
0,1))</f>
        <v>0</v>
      </c>
      <c r="I121" s="67">
        <f>IF(I85="-","-",
IF(
ROUND(I85,8)=
ROUND(SUMIFS(Calc_TUV_EnvGroup_1[Citipower],Calc_TUV_EnvGroup_1[[Cost item]:[Cost item]],$D121,Calc_TUV_EnvGroup_1[[Cost element]:[Cost element]],$G121)*($F$58/$F$59),8),
0,1))</f>
        <v>0</v>
      </c>
      <c r="J121" s="67">
        <f>IF(J85="-","-",
IF(
ROUND(J85,8)=
ROUND(SUMIFS(Calc_TUV_EnvGroup_1[Jemena],Calc_TUV_EnvGroup_1[[Cost item]:[Cost item]],$D121,Calc_TUV_EnvGroup_1[[Cost element]:[Cost element]],$G121)*($F$58/$F$59),8),
0,1))</f>
        <v>0</v>
      </c>
      <c r="K121" s="67">
        <f>IF(K85="-","-",
IF(
ROUND(K85,8)=
ROUND(SUMIFS(Calc_TUV_EnvGroup_1[Powercor],Calc_TUV_EnvGroup_1[[Cost item]:[Cost item]],$D121,Calc_TUV_EnvGroup_1[[Cost element]:[Cost element]],$G121)*($F$58/$F$59),8),
0,1))</f>
        <v>0</v>
      </c>
      <c r="L121" s="67">
        <f>IF(L85="-","-",
IF(
ROUND(L85,8)=
ROUND(SUMIFS(Calc_TUV_EnvGroup_1[United Energy],Calc_TUV_EnvGroup_1[[Cost item]:[Cost item]],$D121,Calc_TUV_EnvGroup_1[[Cost element]:[Cost element]],$G121)*($F$58/$F$59),8),
0,1))</f>
        <v>0</v>
      </c>
    </row>
    <row r="122" spans="3:12" ht="15.75" hidden="1" outlineLevel="1" x14ac:dyDescent="0.25">
      <c r="C122" s="14" t="s">
        <v>80</v>
      </c>
      <c r="D122" s="14" t="s">
        <v>489</v>
      </c>
      <c r="E122" s="39" t="s">
        <v>75</v>
      </c>
      <c r="F122" s="14" t="s">
        <v>73</v>
      </c>
      <c r="G122" s="14" t="s">
        <v>89</v>
      </c>
      <c r="H122" s="67">
        <f>IF(H86="-","-",
IF(
ROUND(H86,8)=
ROUND(SUMIFS(Calc_TUV_EnvGroup_1[Ausnet],Calc_TUV_EnvGroup_1[[Cost item]:[Cost item]],$D122,Calc_TUV_EnvGroup_1[[Cost element]:[Cost element]],$G122)*($F$58/$F$59),8),
0,1))</f>
        <v>0</v>
      </c>
      <c r="I122" s="67">
        <f>IF(I86="-","-",
IF(
ROUND(I86,8)=
ROUND(SUMIFS(Calc_TUV_EnvGroup_1[Citipower],Calc_TUV_EnvGroup_1[[Cost item]:[Cost item]],$D122,Calc_TUV_EnvGroup_1[[Cost element]:[Cost element]],$G122)*($F$58/$F$59),8),
0,1))</f>
        <v>0</v>
      </c>
      <c r="J122" s="67">
        <f>IF(J86="-","-",
IF(
ROUND(J86,8)=
ROUND(SUMIFS(Calc_TUV_EnvGroup_1[Jemena],Calc_TUV_EnvGroup_1[[Cost item]:[Cost item]],$D122,Calc_TUV_EnvGroup_1[[Cost element]:[Cost element]],$G122)*($F$58/$F$59),8),
0,1))</f>
        <v>0</v>
      </c>
      <c r="K122" s="67">
        <f>IF(K86="-","-",
IF(
ROUND(K86,8)=
ROUND(SUMIFS(Calc_TUV_EnvGroup_1[Powercor],Calc_TUV_EnvGroup_1[[Cost item]:[Cost item]],$D122,Calc_TUV_EnvGroup_1[[Cost element]:[Cost element]],$G122)*($F$58/$F$59),8),
0,1))</f>
        <v>0</v>
      </c>
      <c r="L122" s="67">
        <f>IF(L86="-","-",
IF(
ROUND(L86,8)=
ROUND(SUMIFS(Calc_TUV_EnvGroup_1[United Energy],Calc_TUV_EnvGroup_1[[Cost item]:[Cost item]],$D122,Calc_TUV_EnvGroup_1[[Cost element]:[Cost element]],$G122)*($F$58/$F$59),8),
0,1))</f>
        <v>0</v>
      </c>
    </row>
    <row r="123" spans="3:12" ht="15.75" hidden="1" outlineLevel="1" x14ac:dyDescent="0.25">
      <c r="C123" s="14" t="s">
        <v>77</v>
      </c>
      <c r="D123" s="14" t="s">
        <v>490</v>
      </c>
      <c r="E123" s="39" t="s">
        <v>75</v>
      </c>
      <c r="F123" s="14" t="s">
        <v>73</v>
      </c>
      <c r="G123" s="14" t="s">
        <v>89</v>
      </c>
      <c r="H123" s="67" t="str">
        <f>IF(H87="-","-",
IF(
ROUND(H87,8)=
ROUND(SUMIFS(Calc_TUV_EnvGroup_1[Ausnet],Calc_TUV_EnvGroup_1[[Cost item]:[Cost item]],$D123,Calc_TUV_EnvGroup_1[[Cost element]:[Cost element]],$G123)*($F$58/$F$59),8),
0,1))</f>
        <v>-</v>
      </c>
      <c r="I123" s="67">
        <f>IF(I87="-","-",
IF(
ROUND(I87,8)=
ROUND(SUMIFS(Calc_TUV_EnvGroup_1[Citipower],Calc_TUV_EnvGroup_1[[Cost item]:[Cost item]],$D123,Calc_TUV_EnvGroup_1[[Cost element]:[Cost element]],$G123)*($F$58/$F$59),8),
0,1))</f>
        <v>0</v>
      </c>
      <c r="J123" s="67">
        <f>IF(J87="-","-",
IF(
ROUND(J87,8)=
ROUND(SUMIFS(Calc_TUV_EnvGroup_1[Jemena],Calc_TUV_EnvGroup_1[[Cost item]:[Cost item]],$D123,Calc_TUV_EnvGroup_1[[Cost element]:[Cost element]],$G123)*($F$58/$F$59),8),
0,1))</f>
        <v>0</v>
      </c>
      <c r="K123" s="67">
        <f>IF(K87="-","-",
IF(
ROUND(K87,8)=
ROUND(SUMIFS(Calc_TUV_EnvGroup_1[Powercor],Calc_TUV_EnvGroup_1[[Cost item]:[Cost item]],$D123,Calc_TUV_EnvGroup_1[[Cost element]:[Cost element]],$G123)*($F$58/$F$59),8),
0,1))</f>
        <v>0</v>
      </c>
      <c r="L123" s="67">
        <f>IF(L87="-","-",
IF(
ROUND(L87,8)=
ROUND(SUMIFS(Calc_TUV_EnvGroup_1[United Energy],Calc_TUV_EnvGroup_1[[Cost item]:[Cost item]],$D123,Calc_TUV_EnvGroup_1[[Cost element]:[Cost element]],$G123)*($F$58/$F$59),8),
0,1))</f>
        <v>0</v>
      </c>
    </row>
    <row r="124" spans="3:12" ht="15.75" hidden="1" outlineLevel="1" x14ac:dyDescent="0.25">
      <c r="C124" s="14" t="s">
        <v>74</v>
      </c>
      <c r="D124" s="14" t="s">
        <v>490</v>
      </c>
      <c r="E124" s="39" t="s">
        <v>75</v>
      </c>
      <c r="F124" s="14" t="s">
        <v>73</v>
      </c>
      <c r="G124" s="14" t="s">
        <v>89</v>
      </c>
      <c r="H124" s="67">
        <f>IF(H88="-","-",
IF(
ROUND(H88,8)=
ROUND(SUMIFS(Calc_TUV_EnvGroup_1[Ausnet],Calc_TUV_EnvGroup_1[[Cost item]:[Cost item]],$D124,Calc_TUV_EnvGroup_1[[Cost element]:[Cost element]],$G124)*($F$58/$F$59),8),
0,1))</f>
        <v>0</v>
      </c>
      <c r="I124" s="67" t="str">
        <f>IF(I88="-","-",
IF(
ROUND(I88,8)=
ROUND(SUMIFS(Calc_TUV_EnvGroup_1[Citipower],Calc_TUV_EnvGroup_1[[Cost item]:[Cost item]],$D124,Calc_TUV_EnvGroup_1[[Cost element]:[Cost element]],$G124)*($F$58/$F$59),8),
0,1))</f>
        <v>-</v>
      </c>
      <c r="J124" s="67" t="str">
        <f>IF(J88="-","-",
IF(
ROUND(J88,8)=
ROUND(SUMIFS(Calc_TUV_EnvGroup_1[Jemena],Calc_TUV_EnvGroup_1[[Cost item]:[Cost item]],$D124,Calc_TUV_EnvGroup_1[[Cost element]:[Cost element]],$G124)*($F$58/$F$59),8),
0,1))</f>
        <v>-</v>
      </c>
      <c r="K124" s="67" t="str">
        <f>IF(K88="-","-",
IF(
ROUND(K88,8)=
ROUND(SUMIFS(Calc_TUV_EnvGroup_1[Powercor],Calc_TUV_EnvGroup_1[[Cost item]:[Cost item]],$D124,Calc_TUV_EnvGroup_1[[Cost element]:[Cost element]],$G124)*($F$58/$F$59),8),
0,1))</f>
        <v>-</v>
      </c>
      <c r="L124" s="67" t="str">
        <f>IF(L88="-","-",
IF(
ROUND(L88,8)=
ROUND(SUMIFS(Calc_TUV_EnvGroup_1[United Energy],Calc_TUV_EnvGroup_1[[Cost item]:[Cost item]],$D124,Calc_TUV_EnvGroup_1[[Cost element]:[Cost element]],$G124)*($F$58/$F$59),8),
0,1))</f>
        <v>-</v>
      </c>
    </row>
    <row r="125" spans="3:12" ht="15.75" hidden="1" outlineLevel="1" x14ac:dyDescent="0.25">
      <c r="C125" s="14" t="s">
        <v>76</v>
      </c>
      <c r="D125" s="14" t="s">
        <v>490</v>
      </c>
      <c r="E125" s="39" t="s">
        <v>75</v>
      </c>
      <c r="F125" s="14" t="s">
        <v>73</v>
      </c>
      <c r="G125" s="14" t="s">
        <v>89</v>
      </c>
      <c r="H125" s="67">
        <f>IF(H89="-","-",
IF(
ROUND(H89,8)=
ROUND(SUMIFS(Calc_TUV_EnvGroup_1[Ausnet],Calc_TUV_EnvGroup_1[[Cost item]:[Cost item]],$D125,Calc_TUV_EnvGroup_1[[Cost element]:[Cost element]],$G125)*($F$58/$F$59),8),
0,1))</f>
        <v>0</v>
      </c>
      <c r="I125" s="67" t="str">
        <f>IF(I89="-","-",
IF(
ROUND(I89,8)=
ROUND(SUMIFS(Calc_TUV_EnvGroup_1[Citipower],Calc_TUV_EnvGroup_1[[Cost item]:[Cost item]],$D125,Calc_TUV_EnvGroup_1[[Cost element]:[Cost element]],$G125)*($F$58/$F$59),8),
0,1))</f>
        <v>-</v>
      </c>
      <c r="J125" s="67" t="str">
        <f>IF(J89="-","-",
IF(
ROUND(J89,8)=
ROUND(SUMIFS(Calc_TUV_EnvGroup_1[Jemena],Calc_TUV_EnvGroup_1[[Cost item]:[Cost item]],$D125,Calc_TUV_EnvGroup_1[[Cost element]:[Cost element]],$G125)*($F$58/$F$59),8),
0,1))</f>
        <v>-</v>
      </c>
      <c r="K125" s="67" t="str">
        <f>IF(K89="-","-",
IF(
ROUND(K89,8)=
ROUND(SUMIFS(Calc_TUV_EnvGroup_1[Powercor],Calc_TUV_EnvGroup_1[[Cost item]:[Cost item]],$D125,Calc_TUV_EnvGroup_1[[Cost element]:[Cost element]],$G125)*($F$58/$F$59),8),
0,1))</f>
        <v>-</v>
      </c>
      <c r="L125" s="67" t="str">
        <f>IF(L89="-","-",
IF(
ROUND(L89,8)=
ROUND(SUMIFS(Calc_TUV_EnvGroup_1[United Energy],Calc_TUV_EnvGroup_1[[Cost item]:[Cost item]],$D125,Calc_TUV_EnvGroup_1[[Cost element]:[Cost element]],$G125)*($F$58/$F$59),8),
0,1))</f>
        <v>-</v>
      </c>
    </row>
    <row r="126" spans="3:12" ht="15.75" hidden="1" outlineLevel="1" x14ac:dyDescent="0.25">
      <c r="C126" s="14" t="s">
        <v>79</v>
      </c>
      <c r="D126" s="14" t="s">
        <v>490</v>
      </c>
      <c r="E126" s="39" t="s">
        <v>75</v>
      </c>
      <c r="F126" s="14" t="s">
        <v>73</v>
      </c>
      <c r="G126" s="14" t="s">
        <v>89</v>
      </c>
      <c r="H126" s="67">
        <f>IF(H90="-","-",
IF(
ROUND(H90,8)=
ROUND(SUMIFS(Calc_TUV_EnvGroup_1[Ausnet],Calc_TUV_EnvGroup_1[[Cost item]:[Cost item]],$D126,Calc_TUV_EnvGroup_1[[Cost element]:[Cost element]],$G126)*($F$58/$F$59),8),
0,1))</f>
        <v>0</v>
      </c>
      <c r="I126" s="67">
        <f>IF(I90="-","-",
IF(
ROUND(I90,8)=
ROUND(SUMIFS(Calc_TUV_EnvGroup_1[Citipower],Calc_TUV_EnvGroup_1[[Cost item]:[Cost item]],$D126,Calc_TUV_EnvGroup_1[[Cost element]:[Cost element]],$G126)*($F$58/$F$59),8),
0,1))</f>
        <v>0</v>
      </c>
      <c r="J126" s="67">
        <f>IF(J90="-","-",
IF(
ROUND(J90,8)=
ROUND(SUMIFS(Calc_TUV_EnvGroup_1[Jemena],Calc_TUV_EnvGroup_1[[Cost item]:[Cost item]],$D126,Calc_TUV_EnvGroup_1[[Cost element]:[Cost element]],$G126)*($F$58/$F$59),8),
0,1))</f>
        <v>0</v>
      </c>
      <c r="K126" s="67">
        <f>IF(K90="-","-",
IF(
ROUND(K90,8)=
ROUND(SUMIFS(Calc_TUV_EnvGroup_1[Powercor],Calc_TUV_EnvGroup_1[[Cost item]:[Cost item]],$D126,Calc_TUV_EnvGroup_1[[Cost element]:[Cost element]],$G126)*($F$58/$F$59),8),
0,1))</f>
        <v>0</v>
      </c>
      <c r="L126" s="67">
        <f>IF(L90="-","-",
IF(
ROUND(L90,8)=
ROUND(SUMIFS(Calc_TUV_EnvGroup_1[United Energy],Calc_TUV_EnvGroup_1[[Cost item]:[Cost item]],$D126,Calc_TUV_EnvGroup_1[[Cost element]:[Cost element]],$G126)*($F$58/$F$59),8),
0,1))</f>
        <v>0</v>
      </c>
    </row>
    <row r="127" spans="3:12" ht="15.75" hidden="1" outlineLevel="1" x14ac:dyDescent="0.25">
      <c r="C127" s="14" t="s">
        <v>80</v>
      </c>
      <c r="D127" s="14" t="s">
        <v>490</v>
      </c>
      <c r="E127" s="39" t="s">
        <v>75</v>
      </c>
      <c r="F127" s="14" t="s">
        <v>73</v>
      </c>
      <c r="G127" s="14" t="s">
        <v>89</v>
      </c>
      <c r="H127" s="67">
        <f>IF(H91="-","-",
IF(
ROUND(H91,8)=
ROUND(SUMIFS(Calc_TUV_EnvGroup_1[Ausnet],Calc_TUV_EnvGroup_1[[Cost item]:[Cost item]],$D127,Calc_TUV_EnvGroup_1[[Cost element]:[Cost element]],$G127)*($F$58/$F$59),8),
0,1))</f>
        <v>0</v>
      </c>
      <c r="I127" s="67">
        <f>IF(I91="-","-",
IF(
ROUND(I91,8)=
ROUND(SUMIFS(Calc_TUV_EnvGroup_1[Citipower],Calc_TUV_EnvGroup_1[[Cost item]:[Cost item]],$D127,Calc_TUV_EnvGroup_1[[Cost element]:[Cost element]],$G127)*($F$58/$F$59),8),
0,1))</f>
        <v>0</v>
      </c>
      <c r="J127" s="67">
        <f>IF(J91="-","-",
IF(
ROUND(J91,8)=
ROUND(SUMIFS(Calc_TUV_EnvGroup_1[Jemena],Calc_TUV_EnvGroup_1[[Cost item]:[Cost item]],$D127,Calc_TUV_EnvGroup_1[[Cost element]:[Cost element]],$G127)*($F$58/$F$59),8),
0,1))</f>
        <v>0</v>
      </c>
      <c r="K127" s="67">
        <f>IF(K91="-","-",
IF(
ROUND(K91,8)=
ROUND(SUMIFS(Calc_TUV_EnvGroup_1[Powercor],Calc_TUV_EnvGroup_1[[Cost item]:[Cost item]],$D127,Calc_TUV_EnvGroup_1[[Cost element]:[Cost element]],$G127)*($F$58/$F$59),8),
0,1))</f>
        <v>0</v>
      </c>
      <c r="L127" s="67">
        <f>IF(L91="-","-",
IF(
ROUND(L91,8)=
ROUND(SUMIFS(Calc_TUV_EnvGroup_1[United Energy],Calc_TUV_EnvGroup_1[[Cost item]:[Cost item]],$D127,Calc_TUV_EnvGroup_1[[Cost element]:[Cost element]],$G127)*($F$58/$F$59),8),
0,1))</f>
        <v>0</v>
      </c>
    </row>
    <row r="128" spans="3:12" ht="15.75" hidden="1" outlineLevel="1" x14ac:dyDescent="0.25">
      <c r="C128" s="14" t="s">
        <v>77</v>
      </c>
      <c r="D128" s="14" t="s">
        <v>491</v>
      </c>
      <c r="E128" s="39" t="s">
        <v>75</v>
      </c>
      <c r="F128" s="14" t="s">
        <v>73</v>
      </c>
      <c r="G128" s="14" t="s">
        <v>89</v>
      </c>
      <c r="H128" s="67" t="str">
        <f>IF(H92="-","-",
IF(
ROUND(H92,8)=
ROUND(SUMIFS(Calc_TUV_EnvGroup_1[Ausnet],Calc_TUV_EnvGroup_1[[Cost item]:[Cost item]],$D128,Calc_TUV_EnvGroup_1[[Cost element]:[Cost element]],$G128)*($F$58/$F$59),8),
0,1))</f>
        <v>-</v>
      </c>
      <c r="I128" s="67">
        <f>IF(I92="-","-",
IF(
ROUND(I92,8)=
ROUND(SUMIFS(Calc_TUV_EnvGroup_1[Citipower],Calc_TUV_EnvGroup_1[[Cost item]:[Cost item]],$D128,Calc_TUV_EnvGroup_1[[Cost element]:[Cost element]],$G128)*($F$58/$F$59),8),
0,1))</f>
        <v>0</v>
      </c>
      <c r="J128" s="67">
        <f>IF(J92="-","-",
IF(
ROUND(J92,8)=
ROUND(SUMIFS(Calc_TUV_EnvGroup_1[Jemena],Calc_TUV_EnvGroup_1[[Cost item]:[Cost item]],$D128,Calc_TUV_EnvGroup_1[[Cost element]:[Cost element]],$G128)*($F$58/$F$59),8),
0,1))</f>
        <v>0</v>
      </c>
      <c r="K128" s="67">
        <f>IF(K92="-","-",
IF(
ROUND(K92,8)=
ROUND(SUMIFS(Calc_TUV_EnvGroup_1[Powercor],Calc_TUV_EnvGroup_1[[Cost item]:[Cost item]],$D128,Calc_TUV_EnvGroup_1[[Cost element]:[Cost element]],$G128)*($F$58/$F$59),8),
0,1))</f>
        <v>0</v>
      </c>
      <c r="L128" s="67">
        <f>IF(L92="-","-",
IF(
ROUND(L92,8)=
ROUND(SUMIFS(Calc_TUV_EnvGroup_1[United Energy],Calc_TUV_EnvGroup_1[[Cost item]:[Cost item]],$D128,Calc_TUV_EnvGroup_1[[Cost element]:[Cost element]],$G128)*($F$58/$F$59),8),
0,1))</f>
        <v>0</v>
      </c>
    </row>
    <row r="129" spans="2:22" ht="15.75" hidden="1" outlineLevel="1" x14ac:dyDescent="0.25">
      <c r="C129" s="14" t="s">
        <v>74</v>
      </c>
      <c r="D129" s="14" t="s">
        <v>491</v>
      </c>
      <c r="E129" s="39" t="s">
        <v>75</v>
      </c>
      <c r="F129" s="14" t="s">
        <v>73</v>
      </c>
      <c r="G129" s="14" t="s">
        <v>89</v>
      </c>
      <c r="H129" s="67">
        <f>IF(H93="-","-",
IF(
ROUND(H93,8)=
ROUND(SUMIFS(Calc_TUV_EnvGroup_1[Ausnet],Calc_TUV_EnvGroup_1[[Cost item]:[Cost item]],$D129,Calc_TUV_EnvGroup_1[[Cost element]:[Cost element]],$G129)*($F$58/$F$59),8),
0,1))</f>
        <v>0</v>
      </c>
      <c r="I129" s="67" t="str">
        <f>IF(I93="-","-",
IF(
ROUND(I93,8)=
ROUND(SUMIFS(Calc_TUV_EnvGroup_1[Citipower],Calc_TUV_EnvGroup_1[[Cost item]:[Cost item]],$D129,Calc_TUV_EnvGroup_1[[Cost element]:[Cost element]],$G129)*($F$58/$F$59),8),
0,1))</f>
        <v>-</v>
      </c>
      <c r="J129" s="67" t="str">
        <f>IF(J93="-","-",
IF(
ROUND(J93,8)=
ROUND(SUMIFS(Calc_TUV_EnvGroup_1[Jemena],Calc_TUV_EnvGroup_1[[Cost item]:[Cost item]],$D129,Calc_TUV_EnvGroup_1[[Cost element]:[Cost element]],$G129)*($F$58/$F$59),8),
0,1))</f>
        <v>-</v>
      </c>
      <c r="K129" s="67" t="str">
        <f>IF(K93="-","-",
IF(
ROUND(K93,8)=
ROUND(SUMIFS(Calc_TUV_EnvGroup_1[Powercor],Calc_TUV_EnvGroup_1[[Cost item]:[Cost item]],$D129,Calc_TUV_EnvGroup_1[[Cost element]:[Cost element]],$G129)*($F$58/$F$59),8),
0,1))</f>
        <v>-</v>
      </c>
      <c r="L129" s="67" t="str">
        <f>IF(L93="-","-",
IF(
ROUND(L93,8)=
ROUND(SUMIFS(Calc_TUV_EnvGroup_1[United Energy],Calc_TUV_EnvGroup_1[[Cost item]:[Cost item]],$D129,Calc_TUV_EnvGroup_1[[Cost element]:[Cost element]],$G129)*($F$58/$F$59),8),
0,1))</f>
        <v>-</v>
      </c>
    </row>
    <row r="130" spans="2:22" ht="15.75" hidden="1" outlineLevel="1" x14ac:dyDescent="0.25">
      <c r="C130" s="14" t="s">
        <v>76</v>
      </c>
      <c r="D130" s="14" t="s">
        <v>491</v>
      </c>
      <c r="E130" s="39" t="s">
        <v>75</v>
      </c>
      <c r="F130" s="14" t="s">
        <v>73</v>
      </c>
      <c r="G130" s="14" t="s">
        <v>89</v>
      </c>
      <c r="H130" s="67">
        <f>IF(H94="-","-",
IF(
ROUND(H94,8)=
ROUND(SUMIFS(Calc_TUV_EnvGroup_1[Ausnet],Calc_TUV_EnvGroup_1[[Cost item]:[Cost item]],$D130,Calc_TUV_EnvGroup_1[[Cost element]:[Cost element]],$G130)*($F$58/$F$59),8),
0,1))</f>
        <v>0</v>
      </c>
      <c r="I130" s="67" t="str">
        <f>IF(I94="-","-",
IF(
ROUND(I94,8)=
ROUND(SUMIFS(Calc_TUV_EnvGroup_1[Citipower],Calc_TUV_EnvGroup_1[[Cost item]:[Cost item]],$D130,Calc_TUV_EnvGroup_1[[Cost element]:[Cost element]],$G130)*($F$58/$F$59),8),
0,1))</f>
        <v>-</v>
      </c>
      <c r="J130" s="67" t="str">
        <f>IF(J94="-","-",
IF(
ROUND(J94,8)=
ROUND(SUMIFS(Calc_TUV_EnvGroup_1[Jemena],Calc_TUV_EnvGroup_1[[Cost item]:[Cost item]],$D130,Calc_TUV_EnvGroup_1[[Cost element]:[Cost element]],$G130)*($F$58/$F$59),8),
0,1))</f>
        <v>-</v>
      </c>
      <c r="K130" s="67" t="str">
        <f>IF(K94="-","-",
IF(
ROUND(K94,8)=
ROUND(SUMIFS(Calc_TUV_EnvGroup_1[Powercor],Calc_TUV_EnvGroup_1[[Cost item]:[Cost item]],$D130,Calc_TUV_EnvGroup_1[[Cost element]:[Cost element]],$G130)*($F$58/$F$59),8),
0,1))</f>
        <v>-</v>
      </c>
      <c r="L130" s="67" t="str">
        <f>IF(L94="-","-",
IF(
ROUND(L94,8)=
ROUND(SUMIFS(Calc_TUV_EnvGroup_1[United Energy],Calc_TUV_EnvGroup_1[[Cost item]:[Cost item]],$D130,Calc_TUV_EnvGroup_1[[Cost element]:[Cost element]],$G130)*($F$58/$F$59),8),
0,1))</f>
        <v>-</v>
      </c>
    </row>
    <row r="131" spans="2:22" ht="15.75" hidden="1" outlineLevel="1" x14ac:dyDescent="0.25">
      <c r="C131" s="14" t="s">
        <v>79</v>
      </c>
      <c r="D131" s="14" t="s">
        <v>491</v>
      </c>
      <c r="E131" s="39" t="s">
        <v>75</v>
      </c>
      <c r="F131" s="14" t="s">
        <v>73</v>
      </c>
      <c r="G131" s="14" t="s">
        <v>89</v>
      </c>
      <c r="H131" s="67">
        <f>IF(H95="-","-",
IF(
ROUND(H95,8)=
ROUND(SUMIFS(Calc_TUV_EnvGroup_1[Ausnet],Calc_TUV_EnvGroup_1[[Cost item]:[Cost item]],$D131,Calc_TUV_EnvGroup_1[[Cost element]:[Cost element]],$G131)*($F$58/$F$59),8),
0,1))</f>
        <v>0</v>
      </c>
      <c r="I131" s="67">
        <f>IF(I95="-","-",
IF(
ROUND(I95,8)=
ROUND(SUMIFS(Calc_TUV_EnvGroup_1[Citipower],Calc_TUV_EnvGroup_1[[Cost item]:[Cost item]],$D131,Calc_TUV_EnvGroup_1[[Cost element]:[Cost element]],$G131)*($F$58/$F$59),8),
0,1))</f>
        <v>0</v>
      </c>
      <c r="J131" s="67">
        <f>IF(J95="-","-",
IF(
ROUND(J95,8)=
ROUND(SUMIFS(Calc_TUV_EnvGroup_1[Jemena],Calc_TUV_EnvGroup_1[[Cost item]:[Cost item]],$D131,Calc_TUV_EnvGroup_1[[Cost element]:[Cost element]],$G131)*($F$58/$F$59),8),
0,1))</f>
        <v>0</v>
      </c>
      <c r="K131" s="67">
        <f>IF(K95="-","-",
IF(
ROUND(K95,8)=
ROUND(SUMIFS(Calc_TUV_EnvGroup_1[Powercor],Calc_TUV_EnvGroup_1[[Cost item]:[Cost item]],$D131,Calc_TUV_EnvGroup_1[[Cost element]:[Cost element]],$G131)*($F$58/$F$59),8),
0,1))</f>
        <v>0</v>
      </c>
      <c r="L131" s="67">
        <f>IF(L95="-","-",
IF(
ROUND(L95,8)=
ROUND(SUMIFS(Calc_TUV_EnvGroup_1[United Energy],Calc_TUV_EnvGroup_1[[Cost item]:[Cost item]],$D131,Calc_TUV_EnvGroup_1[[Cost element]:[Cost element]],$G131)*($F$58/$F$59),8),
0,1))</f>
        <v>0</v>
      </c>
    </row>
    <row r="132" spans="2:22" ht="15.75" hidden="1" outlineLevel="1" x14ac:dyDescent="0.25">
      <c r="C132" s="39" t="s">
        <v>80</v>
      </c>
      <c r="D132" s="39" t="s">
        <v>491</v>
      </c>
      <c r="E132" s="39" t="s">
        <v>75</v>
      </c>
      <c r="F132" s="39" t="s">
        <v>73</v>
      </c>
      <c r="G132" s="39" t="s">
        <v>89</v>
      </c>
      <c r="H132" s="67">
        <f>IF(H96="-","-",
IF(
ROUND(H96,8)=
ROUND(SUMIFS(Calc_TUV_EnvGroup_1[Ausnet],Calc_TUV_EnvGroup_1[[Cost item]:[Cost item]],$D132,Calc_TUV_EnvGroup_1[[Cost element]:[Cost element]],$G132)*($F$58/$F$59),8),
0,1))</f>
        <v>0</v>
      </c>
      <c r="I132" s="67">
        <f>IF(I96="-","-",
IF(
ROUND(I96,8)=
ROUND(SUMIFS(Calc_TUV_EnvGroup_1[Citipower],Calc_TUV_EnvGroup_1[[Cost item]:[Cost item]],$D132,Calc_TUV_EnvGroup_1[[Cost element]:[Cost element]],$G132)*($F$58/$F$59),8),
0,1))</f>
        <v>0</v>
      </c>
      <c r="J132" s="67">
        <f>IF(J96="-","-",
IF(
ROUND(J96,8)=
ROUND(SUMIFS(Calc_TUV_EnvGroup_1[Jemena],Calc_TUV_EnvGroup_1[[Cost item]:[Cost item]],$D132,Calc_TUV_EnvGroup_1[[Cost element]:[Cost element]],$G132)*($F$58/$F$59),8),
0,1))</f>
        <v>0</v>
      </c>
      <c r="K132" s="67">
        <f>IF(K96="-","-",
IF(
ROUND(K96,8)=
ROUND(SUMIFS(Calc_TUV_EnvGroup_1[Powercor],Calc_TUV_EnvGroup_1[[Cost item]:[Cost item]],$D132,Calc_TUV_EnvGroup_1[[Cost element]:[Cost element]],$G132)*($F$58/$F$59),8),
0,1))</f>
        <v>0</v>
      </c>
      <c r="L132" s="67">
        <f>IF(L96="-","-",
IF(
ROUND(L96,8)=
ROUND(SUMIFS(Calc_TUV_EnvGroup_1[United Energy],Calc_TUV_EnvGroup_1[[Cost item]:[Cost item]],$D132,Calc_TUV_EnvGroup_1[[Cost element]:[Cost element]],$G132)*($F$58/$F$59),8),
0,1))</f>
        <v>0</v>
      </c>
    </row>
    <row r="135" spans="2:22" ht="15.75" hidden="1" x14ac:dyDescent="0.25">
      <c r="B135"/>
      <c r="C135" s="36" t="s">
        <v>49</v>
      </c>
      <c r="D135" s="28" t="str">
        <f>Calc_Rates!$D$267</f>
        <v>VDO 2023-24 - Final</v>
      </c>
      <c r="H135" s="61"/>
      <c r="I135" s="61"/>
      <c r="J135" s="61"/>
      <c r="K135" s="61"/>
      <c r="L135" s="61"/>
    </row>
    <row r="136" spans="2:22" hidden="1" x14ac:dyDescent="0.25">
      <c r="B136"/>
    </row>
    <row r="137" spans="2:22" ht="16.5" hidden="1" collapsed="1" thickBot="1" x14ac:dyDescent="0.3">
      <c r="B137" s="155">
        <f ca="1">MAX(B$3:B136)+0.01</f>
        <v>15.03</v>
      </c>
      <c r="C137" s="19" t="s">
        <v>473</v>
      </c>
      <c r="D137" s="19"/>
      <c r="E137" s="19"/>
      <c r="F137" s="19"/>
      <c r="G137" s="19"/>
      <c r="H137" s="19"/>
      <c r="I137" s="19"/>
      <c r="J137" s="19"/>
      <c r="K137" s="19"/>
      <c r="L137" s="19"/>
    </row>
    <row r="138" spans="2:22" hidden="1" outlineLevel="1" x14ac:dyDescent="0.25"/>
    <row r="139" spans="2:22" ht="15.75" hidden="1" outlineLevel="1" x14ac:dyDescent="0.25">
      <c r="C139" s="20" t="s">
        <v>492</v>
      </c>
    </row>
    <row r="140" spans="2:22" ht="15.75" hidden="1" outlineLevel="1" x14ac:dyDescent="0.25">
      <c r="C140" s="90" t="s">
        <v>51</v>
      </c>
      <c r="D140" s="90" t="s">
        <v>114</v>
      </c>
      <c r="E140" s="90" t="s">
        <v>62</v>
      </c>
      <c r="F140" s="90" t="s">
        <v>63</v>
      </c>
      <c r="G140" s="90" t="s">
        <v>50</v>
      </c>
      <c r="H140" s="40" t="s">
        <v>65</v>
      </c>
      <c r="I140" s="40" t="s">
        <v>66</v>
      </c>
      <c r="J140" s="40" t="s">
        <v>67</v>
      </c>
      <c r="K140" s="40" t="s">
        <v>68</v>
      </c>
      <c r="L140" s="40" t="s">
        <v>69</v>
      </c>
    </row>
    <row r="141" spans="2:22" hidden="1" outlineLevel="1" x14ac:dyDescent="0.25">
      <c r="C141" s="14" t="str">
        <f>IF(COUNTIFS(Calc_TUV_Net_2[Pass through (Yes/No)],"Yes",Calc_TUV_Net_2[Cost item],"Anytime - "&amp;Calc_TUV_NetGroup_2[[#This Row],[Customer type]])=1,"Anytime - supply","-")</f>
        <v>-</v>
      </c>
      <c r="D141" s="14" t="s">
        <v>138</v>
      </c>
      <c r="E141" s="39" t="s">
        <v>71</v>
      </c>
      <c r="F141" s="14" t="s">
        <v>72</v>
      </c>
      <c r="G141" s="14" t="s">
        <v>87</v>
      </c>
      <c r="H141" s="98">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1" s="98" cm="1">
        <f t="array" ref="I141">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1" s="98" cm="1">
        <f t="array" ref="J141">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1" s="98" cm="1">
        <f t="array" ref="K141">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1" s="98" cm="1">
        <f t="array" ref="L141">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1" s="133"/>
      <c r="P141" s="133"/>
      <c r="Q141" s="133"/>
      <c r="R141" s="133"/>
      <c r="S141" s="133"/>
      <c r="T141" s="133"/>
      <c r="U141" s="133"/>
      <c r="V141" s="133"/>
    </row>
    <row r="142" spans="2:22" hidden="1" outlineLevel="1" x14ac:dyDescent="0.25">
      <c r="C142" s="14" t="str">
        <f>IF(COUNTIFS(Calc_TUV_Net_2[Pass through (Yes/No)],"Yes",Calc_TUV_Net_2[Cost item],"Anytime - "&amp;Calc_TUV_NetGroup_2[[#This Row],[Customer type]])=1,"Anytime - usage","-")</f>
        <v>-</v>
      </c>
      <c r="D142" s="14" t="s">
        <v>184</v>
      </c>
      <c r="E142" s="39" t="s">
        <v>71</v>
      </c>
      <c r="F142" s="14" t="s">
        <v>72</v>
      </c>
      <c r="G142" s="14" t="s">
        <v>87</v>
      </c>
      <c r="H142" s="98" cm="1">
        <f t="array" ref="H142">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2" s="98" cm="1">
        <f t="array" ref="I142">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2" s="98" cm="1">
        <f t="array" ref="J142">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2" s="98" cm="1">
        <f t="array" ref="K142">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2" s="98" cm="1">
        <f t="array" ref="L142">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3" spans="2:22" hidden="1" outlineLevel="1" x14ac:dyDescent="0.25">
      <c r="C143" s="14" t="str">
        <f>IF(COUNTIFS(Calc_TUV_Net_2[Pass through (Yes/No)],"Yes",Calc_TUV_Net_2[Cost item],"Anytime - "&amp;Calc_TUV_NetGroup_2[[#This Row],[Customer type]])=1,"Anytime - supply","-")</f>
        <v>-</v>
      </c>
      <c r="D143" s="14" t="s">
        <v>138</v>
      </c>
      <c r="E143" s="39" t="s">
        <v>71</v>
      </c>
      <c r="F143" s="14" t="s">
        <v>73</v>
      </c>
      <c r="G143" s="14" t="s">
        <v>87</v>
      </c>
      <c r="H143" s="98">
        <f>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3" s="98" cm="1">
        <f t="array" ref="I143">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3" s="98" cm="1">
        <f t="array" ref="J143">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3" s="98" cm="1">
        <f t="array" ref="K143">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3" s="98" cm="1">
        <f t="array" ref="L143">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4" spans="2:22" hidden="1" outlineLevel="1" x14ac:dyDescent="0.25">
      <c r="C144" s="14" t="str">
        <f>IF(COUNTIFS(Calc_TUV_Net_2[Pass through (Yes/No)],"Yes",Calc_TUV_Net_2[Cost item],"Anytime - "&amp;Calc_TUV_NetGroup_2[[#This Row],[Customer type]])=1,"Anytime - usage","-")</f>
        <v>-</v>
      </c>
      <c r="D144" s="14" t="s">
        <v>184</v>
      </c>
      <c r="E144" s="39" t="s">
        <v>71</v>
      </c>
      <c r="F144" s="14" t="s">
        <v>73</v>
      </c>
      <c r="G144" s="14" t="s">
        <v>87</v>
      </c>
      <c r="H144" s="98" cm="1">
        <f t="array" ref="H144">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4" s="98" cm="1">
        <f t="array" ref="I144">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4" s="98" cm="1">
        <f t="array" ref="J144">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4" s="98" cm="1">
        <f t="array" ref="K144">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4" s="98" cm="1">
        <f t="array" ref="L144">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5" spans="3:15" hidden="1" outlineLevel="1" x14ac:dyDescent="0.25">
      <c r="C145" s="14" t="str">
        <f>IF(COUNTIFS(Calc_TUV_Net_2[Pass through (Yes/No)],"Yes",Calc_TUV_Net_2[Cost item],"Controlled load cost - "&amp;Calc_TUV_NetGroup_2[[#This Row],[Customer type]])=1,"Controlled load - usage","-")</f>
        <v>-</v>
      </c>
      <c r="D145" s="14" t="s">
        <v>184</v>
      </c>
      <c r="E145" s="39" t="s">
        <v>71</v>
      </c>
      <c r="F145" s="14" t="s">
        <v>72</v>
      </c>
      <c r="G145" s="14" t="s">
        <v>87</v>
      </c>
      <c r="H145" s="98" cm="1">
        <f t="array" ref="H145">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5" s="98" cm="1">
        <f t="array" ref="I145">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5" s="98" cm="1">
        <f t="array" ref="J145">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5" s="98" cm="1">
        <f t="array" ref="K145">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5" s="98">
        <f>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6" spans="3:15" hidden="1" outlineLevel="1" x14ac:dyDescent="0.25">
      <c r="C146" s="14" t="str">
        <f>IF(COUNTIFS(Calc_TUV_Net_2[Pass through (Yes/No)],"Yes",Calc_TUV_Net_2[Cost item],"TOU - "&amp;Calc_TUV_NetGroup_2[[#This Row],[Customer type]])=1,"TOU - supply","-")</f>
        <v>-</v>
      </c>
      <c r="D146" s="14" t="s">
        <v>138</v>
      </c>
      <c r="E146" s="39" t="s">
        <v>71</v>
      </c>
      <c r="F146" s="14" t="s">
        <v>72</v>
      </c>
      <c r="G146" s="14" t="s">
        <v>87</v>
      </c>
      <c r="H146" s="98" cm="1">
        <f t="array" ref="H146">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6" s="98" cm="1">
        <f t="array" ref="I146">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6" s="98" cm="1">
        <f t="array" ref="J146">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6" s="98" cm="1">
        <f t="array" ref="K146">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6" s="98" cm="1">
        <f t="array" ref="L146">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7" spans="3:15" hidden="1" outlineLevel="1" x14ac:dyDescent="0.25">
      <c r="C147" s="14" t="str">
        <f>IF(COUNTIFS(Calc_TUV_Net_2[Pass through (Yes/No)],"Yes",Calc_TUV_Net_2[Cost item],"TOU - "&amp;Calc_TUV_NetGroup_2[[#This Row],[Customer type]])=1,"TOU - usage","-")</f>
        <v>-</v>
      </c>
      <c r="D147" s="14" t="s">
        <v>184</v>
      </c>
      <c r="E147" s="39" t="s">
        <v>71</v>
      </c>
      <c r="F147" s="14" t="s">
        <v>72</v>
      </c>
      <c r="G147" s="14" t="s">
        <v>87</v>
      </c>
      <c r="H147" s="98" cm="1">
        <f t="array" ref="H147">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7" s="98" cm="1">
        <f t="array" ref="I147">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7" s="98" cm="1">
        <f t="array" ref="J147">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7" s="98" cm="1">
        <f t="array" ref="K147">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7" s="98" cm="1">
        <f t="array" ref="L147">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8" spans="3:15" hidden="1" outlineLevel="1" x14ac:dyDescent="0.25">
      <c r="C148" s="14" t="str">
        <f>IF(COUNTIFS(Calc_TUV_Net_2[Pass through (Yes/No)],"Yes",Calc_TUV_Net_2[Cost item],"TOU - "&amp;Calc_TUV_NetGroup_2[[#This Row],[Customer type]])=1,"TOU - supply","-")</f>
        <v>-</v>
      </c>
      <c r="D148" s="14" t="s">
        <v>138</v>
      </c>
      <c r="E148" s="39" t="s">
        <v>71</v>
      </c>
      <c r="F148" s="14" t="s">
        <v>73</v>
      </c>
      <c r="G148" s="14" t="s">
        <v>87</v>
      </c>
      <c r="H148" s="98" cm="1">
        <f t="array" ref="H148">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8" s="98" cm="1">
        <f t="array" ref="I148">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8" s="98" cm="1">
        <f t="array" ref="J148">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8" s="98" cm="1">
        <f t="array" ref="K148">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8" s="98" cm="1">
        <f t="array" ref="L148">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row>
    <row r="149" spans="3:15" hidden="1" outlineLevel="1" x14ac:dyDescent="0.25">
      <c r="C149" s="14" t="str">
        <f>IF(COUNTIFS(Calc_TUV_Net_2[Pass through (Yes/No)],"Yes",Calc_TUV_Net_2[Cost item],"TOU - "&amp;Calc_TUV_NetGroup_2[[#This Row],[Customer type]])=1,"TOU - usage","-")</f>
        <v>-</v>
      </c>
      <c r="D149" s="14" t="s">
        <v>184</v>
      </c>
      <c r="E149" s="39" t="s">
        <v>71</v>
      </c>
      <c r="F149" s="14" t="s">
        <v>73</v>
      </c>
      <c r="G149" s="14" t="s">
        <v>87</v>
      </c>
      <c r="H149" s="98" cm="1">
        <f t="array" ref="H149">IFERROR(SUMIFS(INDEX(Calc_TUV_Net_2[[Ausnet]:[United Energy]],0,MATCH(Calc_TUV_NetGroup_2[[#Headers],[Ausnet]],Calc_TUV_Net_2[[#Headers],[Ausnet]:[United Energy]],0)),
Calc_TUV_Net_2[Cost item],Calc_TUV_NetGroup_2[[#This Row],[Cost item]]&amp;" cost true up",
Calc_TUV_Net_2[Customer type],Calc_TUV_NetGroup_2[[#This Row],[Customer type]]),"-")</f>
        <v>0</v>
      </c>
      <c r="I149" s="98" cm="1">
        <f t="array" ref="I149">IFERROR(SUMIFS(INDEX(Calc_TUV_Net_2[[Ausnet]:[United Energy]],0,MATCH(Calc_TUV_NetGroup_2[[#Headers],[Citipower]],Calc_TUV_Net_2[[#Headers],[Ausnet]:[United Energy]],0)),
Calc_TUV_Net_2[Cost item],Calc_TUV_NetGroup_2[[#This Row],[Cost item]]&amp;" cost true up",
Calc_TUV_Net_2[Customer type],Calc_TUV_NetGroup_2[[#This Row],[Customer type]]),"-")</f>
        <v>0</v>
      </c>
      <c r="J149" s="98" cm="1">
        <f t="array" ref="J149">IFERROR(SUMIFS(INDEX(Calc_TUV_Net_2[[Ausnet]:[United Energy]],0,MATCH(Calc_TUV_NetGroup_2[[#Headers],[Jemena]],Calc_TUV_Net_2[[#Headers],[Ausnet]:[United Energy]],0)),
Calc_TUV_Net_2[Cost item],Calc_TUV_NetGroup_2[[#This Row],[Cost item]]&amp;" cost true up",
Calc_TUV_Net_2[Customer type],Calc_TUV_NetGroup_2[[#This Row],[Customer type]]),"-")</f>
        <v>0</v>
      </c>
      <c r="K149" s="98" cm="1">
        <f t="array" ref="K149">IFERROR(SUMIFS(INDEX(Calc_TUV_Net_2[[Ausnet]:[United Energy]],0,MATCH(Calc_TUV_NetGroup_2[[#Headers],[Powercor]],Calc_TUV_Net_2[[#Headers],[Ausnet]:[United Energy]],0)),
Calc_TUV_Net_2[Cost item],Calc_TUV_NetGroup_2[[#This Row],[Cost item]]&amp;" cost true up",
Calc_TUV_Net_2[Customer type],Calc_TUV_NetGroup_2[[#This Row],[Customer type]]),"-")</f>
        <v>0</v>
      </c>
      <c r="L149" s="98" cm="1">
        <f t="array" ref="L149">IFERROR(SUMIFS(INDEX(Calc_TUV_Net_2[[Ausnet]:[United Energy]],0,MATCH(Calc_TUV_NetGroup_2[[#Headers],[United Energy]],Calc_TUV_Net_2[[#Headers],[Ausnet]:[United Energy]],0)),
Calc_TUV_Net_2[Cost item],Calc_TUV_NetGroup_2[[#This Row],[Cost item]]&amp;" cost true up",
Calc_TUV_Net_2[Customer type],Calc_TUV_NetGroup_2[[#This Row],[Customer type]]),"-")</f>
        <v>0</v>
      </c>
      <c r="O149" s="61"/>
    </row>
    <row r="150" spans="3:15" hidden="1" outlineLevel="1" x14ac:dyDescent="0.25">
      <c r="O150" s="55"/>
    </row>
    <row r="151" spans="3:15" ht="15.75" hidden="1" outlineLevel="1" x14ac:dyDescent="0.25">
      <c r="C151" s="36" t="s">
        <v>475</v>
      </c>
      <c r="D151" s="58" t="str">
        <f>INDEX(Inputs!$C$17:$Y$17,1,MATCH($D$135,Inputs!$C$15:$Y$15,0))</f>
        <v>F-CurrentVDO_Input</v>
      </c>
      <c r="E151" s="119" t="str">
        <f>IFERROR(INDEX(#REF!,MATCH(Calc_TU_rates!C151,#REF!,0),MATCH(D151,#REF!,0)),"-")</f>
        <v>-</v>
      </c>
      <c r="H151" s="133"/>
      <c r="I151" s="133"/>
      <c r="J151" s="133"/>
      <c r="K151" s="133"/>
      <c r="L151" s="133"/>
    </row>
    <row r="152" spans="3:15" ht="15.75" hidden="1" outlineLevel="1" x14ac:dyDescent="0.25">
      <c r="C152" s="36" t="s">
        <v>476</v>
      </c>
      <c r="D152" s="58" t="str">
        <f>INDEX(Inputs!$C$17:$Y$17,1,MATCH($D$135,Inputs!$C$15:$Y$15,0))</f>
        <v>F-CurrentVDO_Input</v>
      </c>
      <c r="E152" s="119" t="str">
        <f>IFERROR(INDEX(#REF!,MATCH(Calc_TU_rates!C152,#REF!,0),MATCH(D152,#REF!,0)),"-")</f>
        <v>-</v>
      </c>
      <c r="H152" s="138"/>
      <c r="I152" s="138"/>
      <c r="J152" s="138"/>
      <c r="K152" s="138"/>
      <c r="L152" s="138"/>
    </row>
    <row r="153" spans="3:15" ht="15.75" hidden="1" outlineLevel="1" x14ac:dyDescent="0.25">
      <c r="C153" s="20"/>
      <c r="H153" s="61"/>
      <c r="I153" s="61"/>
      <c r="J153" s="61"/>
      <c r="K153" s="61"/>
      <c r="L153" s="61"/>
    </row>
    <row r="154" spans="3:15" ht="15.75" hidden="1" outlineLevel="1" x14ac:dyDescent="0.25">
      <c r="C154" s="36" t="s">
        <v>428</v>
      </c>
      <c r="E154" s="129" t="str">
        <f>IFERROR(_xlfn.DAYS(E152,E151)+1,"-")</f>
        <v>-</v>
      </c>
    </row>
    <row r="155" spans="3:15" hidden="1" outlineLevel="1" x14ac:dyDescent="0.25">
      <c r="H155" s="61"/>
    </row>
    <row r="156" spans="3:15" ht="15.75" hidden="1" outlineLevel="1" x14ac:dyDescent="0.25">
      <c r="C156" s="20" t="s">
        <v>493</v>
      </c>
    </row>
    <row r="157" spans="3:15" ht="15.75" hidden="1" outlineLevel="1" x14ac:dyDescent="0.25">
      <c r="C157" s="30" t="s">
        <v>478</v>
      </c>
      <c r="D157" s="90" t="s">
        <v>114</v>
      </c>
      <c r="E157" s="90" t="s">
        <v>62</v>
      </c>
      <c r="F157" s="90" t="s">
        <v>63</v>
      </c>
      <c r="G157" s="90" t="s">
        <v>50</v>
      </c>
      <c r="H157" s="40" t="s">
        <v>65</v>
      </c>
      <c r="I157" s="40" t="s">
        <v>66</v>
      </c>
      <c r="J157" s="40" t="s">
        <v>67</v>
      </c>
      <c r="K157" s="40" t="s">
        <v>68</v>
      </c>
      <c r="L157" s="40" t="s">
        <v>69</v>
      </c>
    </row>
    <row r="158" spans="3:15" hidden="1" outlineLevel="1" collapsed="1" x14ac:dyDescent="0.25">
      <c r="C158" s="14" t="s">
        <v>86</v>
      </c>
      <c r="D158" s="14" t="s">
        <v>138</v>
      </c>
      <c r="E158" s="39" t="s">
        <v>71</v>
      </c>
      <c r="F158" s="14" t="s">
        <v>72</v>
      </c>
      <c r="G158" s="14" t="s">
        <v>87</v>
      </c>
      <c r="H158" s="99" t="str" cm="1">
        <f t="array" ref="H158">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8" s="99" t="str" cm="1">
        <f t="array" ref="I158">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8" s="99" t="str" cm="1">
        <f t="array" ref="J158">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8" s="99" t="str" cm="1">
        <f t="array" ref="K158">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8" s="99" t="str" cm="1">
        <f t="array" ref="L158">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O158" s="54"/>
    </row>
    <row r="159" spans="3:15" hidden="1" outlineLevel="1" x14ac:dyDescent="0.25">
      <c r="C159" s="14" t="s">
        <v>86</v>
      </c>
      <c r="D159" s="14" t="s">
        <v>138</v>
      </c>
      <c r="E159" s="39" t="s">
        <v>71</v>
      </c>
      <c r="F159" s="14" t="s">
        <v>73</v>
      </c>
      <c r="G159" s="14" t="s">
        <v>87</v>
      </c>
      <c r="H159" s="99" t="str" cm="1">
        <f t="array" ref="H159">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59" s="99" t="str" cm="1">
        <f t="array" ref="I159">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59" s="99" t="str" cm="1">
        <f t="array" ref="J159">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59" s="99" t="str" cm="1">
        <f t="array" ref="K159">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59" s="99" t="str" cm="1">
        <f t="array" ref="L159">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0" spans="3:15" hidden="1" outlineLevel="1" x14ac:dyDescent="0.25">
      <c r="C160" s="14" t="s">
        <v>88</v>
      </c>
      <c r="D160" s="14" t="s">
        <v>138</v>
      </c>
      <c r="E160" s="39" t="s">
        <v>71</v>
      </c>
      <c r="F160" s="14" t="s">
        <v>72</v>
      </c>
      <c r="G160" s="14" t="s">
        <v>87</v>
      </c>
      <c r="H160" s="99" t="str" cm="1">
        <f t="array" ref="H160">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0" s="99" t="str" cm="1">
        <f t="array" ref="I160">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0" s="99" t="str" cm="1">
        <f t="array" ref="J160">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0" s="99" t="str" cm="1">
        <f t="array" ref="K160">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0" s="99" t="str" cm="1">
        <f t="array" ref="L160">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1" spans="2:12" hidden="1" outlineLevel="1" x14ac:dyDescent="0.25">
      <c r="C161" s="14" t="s">
        <v>88</v>
      </c>
      <c r="D161" s="14" t="s">
        <v>138</v>
      </c>
      <c r="E161" s="39" t="s">
        <v>71</v>
      </c>
      <c r="F161" s="14" t="s">
        <v>73</v>
      </c>
      <c r="G161" s="14" t="s">
        <v>87</v>
      </c>
      <c r="H161" s="99" t="str" cm="1">
        <f t="array" ref="H161">IFERROR(
(SUMIFS(Calc_TUV_NetGroup_2[Ausnet],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SUMIFS(Calc_TUV_NetGroup_2[Ausnet],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I161" s="99" t="str" cm="1">
        <f t="array" ref="I161">IFERROR(
(SUMIFS(Calc_TUV_NetGroup_2[Citipower],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SUMIFS(Calc_TUV_NetGroup_2[Citipower],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J161" s="99" t="str" cm="1">
        <f t="array" ref="J161">IFERROR(
(SUMIFS(Calc_TUV_NetGroup_2[Jemena],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SUMIFS(Calc_TUV_NetGroup_2[Jemena],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K161" s="99" t="str" cm="1">
        <f t="array" ref="K161">IFERROR(
(SUMIFS(Calc_TUV_NetGroup_2[Powercor],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SUMIFS(Calc_TUV_NetGroup_2[Powercor],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c r="L161" s="99" t="str" cm="1">
        <f t="array" ref="L161">IFERROR(
(SUMIFS(Calc_TUV_NetGroup_2[United Energy],
Calc_TUV_NetGroup_2[[Cost item]:[Cost item]],Calc_TUR_Net_2[[#This Row],[Rate type]:[Rate type]]&amp;" - supply",
Calc_TUV_NetGroup_2[[Customer type]:[Customer type]],Calc_TUR_Net_2[[#This Row],[Customer type]:[Customer type]],
Calc_TUV_NetGroup_2[[Cost element]:[Cost element]],Calc_TUR_Net_2[[#This Row],[Cost element]:[Cost element]])+
SUMIFS(Calc_TUV_NetGroup_2[United Energy],
Calc_TUV_NetGroup_2[[Cost item]:[Cost item]],Calc_TUR_Net_2[[#This Row],[Rate type]:[Rate type]]&amp;" - usage",
Calc_TUV_NetGroup_2[[Customer type]:[Customer type]],Calc_TUR_Net_2[[#This Row],[Customer type]:[Customer type]],
Calc_TUV_NetGroup_2[[Cost element]:[Cost element]],Calc_TUR_Net_2[[#This Row],[Cost element]:[Cost element]]))
/$E$154,"-")</f>
        <v>-</v>
      </c>
    </row>
    <row r="162" spans="2:12" hidden="1" outlineLevel="1" x14ac:dyDescent="0.25">
      <c r="B162"/>
    </row>
    <row r="163" spans="2:12" ht="15.75" hidden="1" outlineLevel="1" x14ac:dyDescent="0.25">
      <c r="B163"/>
      <c r="C163" s="36" t="s">
        <v>479</v>
      </c>
      <c r="E163" s="102" t="str">
        <f>IFERROR((_xlfn.DAYS(E152,E151)+1)/DiPY,"-")</f>
        <v>-</v>
      </c>
    </row>
    <row r="164" spans="2:12" ht="15.75" hidden="1" outlineLevel="1" x14ac:dyDescent="0.25">
      <c r="B164"/>
      <c r="C164" s="36" t="s">
        <v>480</v>
      </c>
      <c r="E164" s="134" t="str">
        <f>IFERROR(
INDEX(Input_Usage[[F-PreviousVDO_Input]:[F-PreviousVDO_Input2]],MATCH("Residential - medium - Controlled load",Input_Usage[Ref],0),MATCH(Calc_TU_rates!$D$135,Inputs!$H$147:$L$147,0))*E163,"-")</f>
        <v>-</v>
      </c>
    </row>
    <row r="165" spans="2:12" ht="15.75" hidden="1" outlineLevel="1" x14ac:dyDescent="0.25">
      <c r="B165"/>
      <c r="C165" s="36" t="s">
        <v>481</v>
      </c>
      <c r="D165" s="58" t="str">
        <f>INDEX(Inputs!$C$17:$Y$17,1,MATCH($D$135,Inputs!$C$15:$Y$15,0))</f>
        <v>F-CurrentVDO_Input</v>
      </c>
      <c r="E165" s="102" t="str" cm="1">
        <f t="array" ref="E165">IFERROR(INDEX(#REF!,MATCH(1,(#REF!="Total usage - Controlled Load")*(#REF!="Residential")*(#REF!="January 2021 to June 2021"),0),MATCH($D$165,#REF!,0))
/INDEX(#REF!,MATCH(1,(#REF!="Total usage - Controlled Load")*(#REF!="Residential")*(#REF!="July 2020 to June 2021"),0),MATCH($D$165,#REF!,0)),"-")</f>
        <v>-</v>
      </c>
    </row>
    <row r="166" spans="2:12" ht="15.75" hidden="1" outlineLevel="1" x14ac:dyDescent="0.25">
      <c r="B166"/>
      <c r="C166" s="36" t="s">
        <v>482</v>
      </c>
      <c r="E166" s="134" t="str">
        <f>IFERROR(
INDEX(Input_Usage[[F-PreviousVDO_Input]:[F-PreviousVDO_Input2]],MATCH("Residential - medium - Controlled load",Input_Usage[Ref],0),MATCH(Calc_TU_rates!$D$135,Inputs!$H$147:$L$147,0))*E165,"-")</f>
        <v>-</v>
      </c>
    </row>
    <row r="167" spans="2:12" hidden="1" outlineLevel="1" x14ac:dyDescent="0.25">
      <c r="B167"/>
    </row>
    <row r="168" spans="2:12" ht="15.75" hidden="1" outlineLevel="1" x14ac:dyDescent="0.25">
      <c r="B168"/>
      <c r="C168" s="20" t="s">
        <v>483</v>
      </c>
    </row>
    <row r="169" spans="2:12" ht="15.75" hidden="1" outlineLevel="1" x14ac:dyDescent="0.25">
      <c r="B169"/>
      <c r="C169" s="30" t="s">
        <v>478</v>
      </c>
      <c r="D169" s="90" t="s">
        <v>114</v>
      </c>
      <c r="E169" s="90" t="s">
        <v>62</v>
      </c>
      <c r="F169" s="90" t="s">
        <v>63</v>
      </c>
      <c r="G169" s="90" t="s">
        <v>50</v>
      </c>
      <c r="H169" s="40" t="s">
        <v>65</v>
      </c>
      <c r="I169" s="40" t="s">
        <v>66</v>
      </c>
      <c r="J169" s="40" t="s">
        <v>67</v>
      </c>
      <c r="K169" s="40" t="s">
        <v>68</v>
      </c>
      <c r="L169" s="40" t="s">
        <v>69</v>
      </c>
    </row>
    <row r="170" spans="2:12" hidden="1" outlineLevel="1" x14ac:dyDescent="0.25">
      <c r="B170"/>
      <c r="C170" s="14" t="s">
        <v>81</v>
      </c>
      <c r="D170" s="14" t="s">
        <v>184</v>
      </c>
      <c r="E170" s="39" t="s">
        <v>71</v>
      </c>
      <c r="F170" s="14" t="s">
        <v>72</v>
      </c>
      <c r="G170" s="14" t="s">
        <v>87</v>
      </c>
      <c r="H170" s="99" t="str" cm="1">
        <f t="array" ref="H170">IFERROR(
(SUMIFS(Calc_TUV_NetGroup_2[Ausnet],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SUMIFS(Calc_TUV_NetGroup_2[Ausnet],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I170" s="99" t="str" cm="1">
        <f t="array" ref="I170">IFERROR(
(SUMIFS(Calc_TUV_NetGroup_2[Citipower],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SUMIFS(Calc_TUV_NetGroup_2[Citipower],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J170" s="99" t="str" cm="1">
        <f t="array" ref="J170">IFERROR(
(SUMIFS(Calc_TUV_NetGroup_2[Jemena],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SUMIFS(Calc_TUV_NetGroup_2[Jemena],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K170" s="99" t="str" cm="1">
        <f t="array" ref="K170">IFERROR(
(SUMIFS(Calc_TUV_NetGroup_2[Powercor],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SUMIFS(Calc_TUV_NetGroup_2[Powercor],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c r="L170" s="99" t="str" cm="1">
        <f t="array" ref="L170">IFERROR(
(SUMIFS(Calc_TUV_NetGroup_2[United Energy],
Calc_TUV_NetGroup_2[[Cost item]:[Cost item]],Calc_TUR_NetCL_2[[#This Row],[Rate type]:[Rate type]]&amp;" - supply",
Calc_TUV_NetGroup_2[[Customer type]:[Customer type]],Calc_TUR_NetCL_2[[#This Row],[Customer type]:[Customer type]],
Calc_TUV_NetGroup_2[[Cost element]:[Cost element]],Calc_TUR_NetCL_2[[#This Row],[Cost element]:[Cost element]])+
SUMIFS(Calc_TUV_NetGroup_2[United Energy],
Calc_TUV_NetGroup_2[[Cost item]:[Cost item]],Calc_TUR_NetCL_2[[#This Row],[Rate type]:[Rate type]]&amp;" - usage",
Calc_TUV_NetGroup_2[[Customer type]:[Customer type]],Calc_TUR_NetCL_2[[#This Row],[Customer type]:[Customer type]],
Calc_TUV_NetGroup_2[[Cost element]:[Cost element]],Calc_TUR_NetCL_2[[#This Row],[Cost element]:[Cost element]]))
/$E$166,"-")</f>
        <v>-</v>
      </c>
    </row>
    <row r="171" spans="2:12" hidden="1" outlineLevel="1" x14ac:dyDescent="0.25">
      <c r="B171"/>
    </row>
    <row r="172" spans="2:12" ht="15.75" hidden="1" outlineLevel="1" x14ac:dyDescent="0.25">
      <c r="B172"/>
      <c r="C172" s="20" t="s">
        <v>494</v>
      </c>
    </row>
    <row r="173" spans="2:12" ht="15.75" hidden="1" outlineLevel="1" x14ac:dyDescent="0.25">
      <c r="B173"/>
      <c r="C173" s="89" t="s">
        <v>478</v>
      </c>
      <c r="D173" s="89" t="s">
        <v>114</v>
      </c>
      <c r="E173" s="89" t="s">
        <v>62</v>
      </c>
      <c r="F173" s="89" t="s">
        <v>63</v>
      </c>
      <c r="G173" s="104" t="s">
        <v>50</v>
      </c>
      <c r="H173" s="32" t="s">
        <v>65</v>
      </c>
      <c r="I173" s="32" t="s">
        <v>66</v>
      </c>
      <c r="J173" s="32" t="s">
        <v>67</v>
      </c>
      <c r="K173" s="32" t="s">
        <v>68</v>
      </c>
      <c r="L173" s="32" t="s">
        <v>69</v>
      </c>
    </row>
    <row r="174" spans="2:12" ht="15.75" hidden="1" outlineLevel="1" x14ac:dyDescent="0.25">
      <c r="B174"/>
      <c r="C174" s="14" t="s">
        <v>86</v>
      </c>
      <c r="D174" s="14" t="s">
        <v>138</v>
      </c>
      <c r="E174" s="14" t="s">
        <v>71</v>
      </c>
      <c r="F174" s="14" t="s">
        <v>72</v>
      </c>
      <c r="G174" s="39" t="s">
        <v>87</v>
      </c>
      <c r="H174" s="67" t="str">
        <f>IFERROR(
IF(
(SUMIFS(Calc_TUV_NetGroup_2[Ausnet],Calc_TUV_NetGroup_2[[Customer type]:[Customer type]],$F174,Calc_TUV_NetGroup_2[[Cost item]:[Cost item]],$C174&amp;" - supply")+
SUMIFS(Calc_TUV_NetGroup_2[Ausnet],Calc_TUV_NetGroup_2[[Customer type]:[Customer type]],$F174,Calc_TUV_NetGroup_2[[Cost item]:[Cost item]],$C174&amp;" - usage"))/
IF($C174&lt;&gt;"Controlled load",$E$154,$E$164)=H158,
0,1),"-")</f>
        <v>-</v>
      </c>
      <c r="I174" s="67" t="str">
        <f>IFERROR(
IF(
(SUMIFS(Calc_TUV_NetGroup_2[Citipower],Calc_TUV_NetGroup_2[[Customer type]:[Customer type]],$F174,Calc_TUV_NetGroup_2[[Cost item]:[Cost item]],$C174&amp;" - supply")+
SUMIFS(Calc_TUV_NetGroup_2[Citipower],Calc_TUV_NetGroup_2[[Customer type]:[Customer type]],$F174,Calc_TUV_NetGroup_2[[Cost item]:[Cost item]],$C174&amp;" - usage"))/
IF($C174&lt;&gt;"Controlled load",$E$154,$E$164)=I158,
0,1),"-")</f>
        <v>-</v>
      </c>
      <c r="J174" s="67" t="str">
        <f>IFERROR(
IF(
(SUMIFS(Calc_TUV_NetGroup_2[Jemena],Calc_TUV_NetGroup_2[[Customer type]:[Customer type]],$F174,Calc_TUV_NetGroup_2[[Cost item]:[Cost item]],$C174&amp;" - supply")+
SUMIFS(Calc_TUV_NetGroup_2[Jemena],Calc_TUV_NetGroup_2[[Customer type]:[Customer type]],$F174,Calc_TUV_NetGroup_2[[Cost item]:[Cost item]],$C174&amp;" - usage"))/
IF($C174&lt;&gt;"Controlled load",$E$154,$E$164)=J158,
0,1),"-")</f>
        <v>-</v>
      </c>
      <c r="K174" s="67" t="str">
        <f>IFERROR(
IF(
(SUMIFS(Calc_TUV_NetGroup_2[Powercor],Calc_TUV_NetGroup_2[[Customer type]:[Customer type]],$F174,Calc_TUV_NetGroup_2[[Cost item]:[Cost item]],$C174&amp;" - supply")+
SUMIFS(Calc_TUV_NetGroup_2[Powercor],Calc_TUV_NetGroup_2[[Customer type]:[Customer type]],$F174,Calc_TUV_NetGroup_2[[Cost item]:[Cost item]],$C174&amp;" - usage"))/
IF($C174&lt;&gt;"Controlled load",$E$154,$E$164)=K158,
0,1),"-")</f>
        <v>-</v>
      </c>
      <c r="L174" s="67" t="str">
        <f>IFERROR(
IF(
(SUMIFS(Calc_TUV_NetGroup_2[United Energy],Calc_TUV_NetGroup_2[[Customer type]:[Customer type]],$F174,Calc_TUV_NetGroup_2[[Cost item]:[Cost item]],$C174&amp;" - supply")+
SUMIFS(Calc_TUV_NetGroup_2[United Energy],Calc_TUV_NetGroup_2[[Customer type]:[Customer type]],$F174,Calc_TUV_NetGroup_2[[Cost item]:[Cost item]],$C174&amp;" - usage"))/
IF($C174&lt;&gt;"Controlled load",$E$154,$E$164)=L158,
0,1),"-")</f>
        <v>-</v>
      </c>
    </row>
    <row r="175" spans="2:12" ht="15.75" hidden="1" outlineLevel="1" x14ac:dyDescent="0.25">
      <c r="B175"/>
      <c r="C175" s="14" t="s">
        <v>86</v>
      </c>
      <c r="D175" s="14" t="s">
        <v>138</v>
      </c>
      <c r="E175" s="39" t="s">
        <v>71</v>
      </c>
      <c r="F175" s="14" t="s">
        <v>73</v>
      </c>
      <c r="G175" s="39" t="s">
        <v>87</v>
      </c>
      <c r="H175" s="67" t="str">
        <f>IFERROR(
IF(
(SUMIFS(Calc_TUV_NetGroup_2[Ausnet],Calc_TUV_NetGroup_2[[Customer type]:[Customer type]],$F175,Calc_TUV_NetGroup_2[[Cost item]:[Cost item]],$C175&amp;" - supply")+
SUMIFS(Calc_TUV_NetGroup_2[Ausnet],Calc_TUV_NetGroup_2[[Customer type]:[Customer type]],$F175,Calc_TUV_NetGroup_2[[Cost item]:[Cost item]],$C175&amp;" - usage"))/
IF($C175&lt;&gt;"Controlled load",$E$154,$E$164)=H159,
0,1),"-")</f>
        <v>-</v>
      </c>
      <c r="I175" s="67" t="str">
        <f>IFERROR(
IF(
(SUMIFS(Calc_TUV_NetGroup_2[Citipower],Calc_TUV_NetGroup_2[[Customer type]:[Customer type]],$F175,Calc_TUV_NetGroup_2[[Cost item]:[Cost item]],$C175&amp;" - supply")+
SUMIFS(Calc_TUV_NetGroup_2[Citipower],Calc_TUV_NetGroup_2[[Customer type]:[Customer type]],$F175,Calc_TUV_NetGroup_2[[Cost item]:[Cost item]],$C175&amp;" - usage"))/
IF($C175&lt;&gt;"Controlled load",$E$154,$E$164)=I159,
0,1),"-")</f>
        <v>-</v>
      </c>
      <c r="J175" s="67" t="str">
        <f>IFERROR(
IF(
(SUMIFS(Calc_TUV_NetGroup_2[Jemena],Calc_TUV_NetGroup_2[[Customer type]:[Customer type]],$F175,Calc_TUV_NetGroup_2[[Cost item]:[Cost item]],$C175&amp;" - supply")+
SUMIFS(Calc_TUV_NetGroup_2[Jemena],Calc_TUV_NetGroup_2[[Customer type]:[Customer type]],$F175,Calc_TUV_NetGroup_2[[Cost item]:[Cost item]],$C175&amp;" - usage"))/
IF($C175&lt;&gt;"Controlled load",$E$154,$E$164)=J159,
0,1),"-")</f>
        <v>-</v>
      </c>
      <c r="K175" s="67" t="str">
        <f>IFERROR(
IF(
(SUMIFS(Calc_TUV_NetGroup_2[Powercor],Calc_TUV_NetGroup_2[[Customer type]:[Customer type]],$F175,Calc_TUV_NetGroup_2[[Cost item]:[Cost item]],$C175&amp;" - supply")+
SUMIFS(Calc_TUV_NetGroup_2[Powercor],Calc_TUV_NetGroup_2[[Customer type]:[Customer type]],$F175,Calc_TUV_NetGroup_2[[Cost item]:[Cost item]],$C175&amp;" - usage"))/
IF($C175&lt;&gt;"Controlled load",$E$154,$E$164)=K159,
0,1),"-")</f>
        <v>-</v>
      </c>
      <c r="L175" s="67" t="str">
        <f>IFERROR(
IF(
(SUMIFS(Calc_TUV_NetGroup_2[United Energy],Calc_TUV_NetGroup_2[[Customer type]:[Customer type]],$F175,Calc_TUV_NetGroup_2[[Cost item]:[Cost item]],$C175&amp;" - supply")+
SUMIFS(Calc_TUV_NetGroup_2[United Energy],Calc_TUV_NetGroup_2[[Customer type]:[Customer type]],$F175,Calc_TUV_NetGroup_2[[Cost item]:[Cost item]],$C175&amp;" - usage"))/
IF($C175&lt;&gt;"Controlled load",$E$154,$E$164)=L159,
0,1),"-")</f>
        <v>-</v>
      </c>
    </row>
    <row r="176" spans="2:12" ht="15.75" hidden="1" outlineLevel="1" x14ac:dyDescent="0.25">
      <c r="B176"/>
      <c r="C176" s="14" t="s">
        <v>88</v>
      </c>
      <c r="D176" s="14" t="s">
        <v>138</v>
      </c>
      <c r="E176" s="39" t="s">
        <v>71</v>
      </c>
      <c r="F176" s="14" t="s">
        <v>72</v>
      </c>
      <c r="G176" s="39" t="s">
        <v>87</v>
      </c>
      <c r="H176" s="67" t="str">
        <f>IFERROR(
IF(
(SUMIFS(Calc_TUV_NetGroup_2[Ausnet],Calc_TUV_NetGroup_2[[Customer type]:[Customer type]],$F176,Calc_TUV_NetGroup_2[[Cost item]:[Cost item]],$C176&amp;" - supply")+
SUMIFS(Calc_TUV_NetGroup_2[Ausnet],Calc_TUV_NetGroup_2[[Customer type]:[Customer type]],$F176,Calc_TUV_NetGroup_2[[Cost item]:[Cost item]],$C176&amp;" - usage"))/
IF($C176&lt;&gt;"Controlled load",$E$154,$E$164)=H160,
0,1),"-")</f>
        <v>-</v>
      </c>
      <c r="I176" s="67" t="str">
        <f>IFERROR(
IF(
(SUMIFS(Calc_TUV_NetGroup_2[Citipower],Calc_TUV_NetGroup_2[[Customer type]:[Customer type]],$F176,Calc_TUV_NetGroup_2[[Cost item]:[Cost item]],$C176&amp;" - supply")+
SUMIFS(Calc_TUV_NetGroup_2[Citipower],Calc_TUV_NetGroup_2[[Customer type]:[Customer type]],$F176,Calc_TUV_NetGroup_2[[Cost item]:[Cost item]],$C176&amp;" - usage"))/
IF($C176&lt;&gt;"Controlled load",$E$154,$E$164)=I160,
0,1),"-")</f>
        <v>-</v>
      </c>
      <c r="J176" s="67" t="str">
        <f>IFERROR(
IF(
(SUMIFS(Calc_TUV_NetGroup_2[Jemena],Calc_TUV_NetGroup_2[[Customer type]:[Customer type]],$F176,Calc_TUV_NetGroup_2[[Cost item]:[Cost item]],$C176&amp;" - supply")+
SUMIFS(Calc_TUV_NetGroup_2[Jemena],Calc_TUV_NetGroup_2[[Customer type]:[Customer type]],$F176,Calc_TUV_NetGroup_2[[Cost item]:[Cost item]],$C176&amp;" - usage"))/
IF($C176&lt;&gt;"Controlled load",$E$154,$E$164)=J160,
0,1),"-")</f>
        <v>-</v>
      </c>
      <c r="K176" s="67" t="str">
        <f>IFERROR(
IF(
(SUMIFS(Calc_TUV_NetGroup_2[Powercor],Calc_TUV_NetGroup_2[[Customer type]:[Customer type]],$F176,Calc_TUV_NetGroup_2[[Cost item]:[Cost item]],$C176&amp;" - supply")+
SUMIFS(Calc_TUV_NetGroup_2[Powercor],Calc_TUV_NetGroup_2[[Customer type]:[Customer type]],$F176,Calc_TUV_NetGroup_2[[Cost item]:[Cost item]],$C176&amp;" - usage"))/
IF($C176&lt;&gt;"Controlled load",$E$154,$E$164)=K160,
0,1),"-")</f>
        <v>-</v>
      </c>
      <c r="L176" s="67" t="str">
        <f>IFERROR(
IF(
(SUMIFS(Calc_TUV_NetGroup_2[United Energy],Calc_TUV_NetGroup_2[[Customer type]:[Customer type]],$F176,Calc_TUV_NetGroup_2[[Cost item]:[Cost item]],$C176&amp;" - supply")+
SUMIFS(Calc_TUV_NetGroup_2[United Energy],Calc_TUV_NetGroup_2[[Customer type]:[Customer type]],$F176,Calc_TUV_NetGroup_2[[Cost item]:[Cost item]],$C176&amp;" - usage"))/
IF($C176&lt;&gt;"Controlled load",$E$154,$E$164)=L160,
0,1),"-")</f>
        <v>-</v>
      </c>
    </row>
    <row r="177" spans="2:12" ht="15.75" hidden="1" outlineLevel="1" x14ac:dyDescent="0.25">
      <c r="B177"/>
      <c r="C177" s="14" t="s">
        <v>88</v>
      </c>
      <c r="D177" s="14" t="s">
        <v>138</v>
      </c>
      <c r="E177" s="39" t="s">
        <v>71</v>
      </c>
      <c r="F177" s="14" t="s">
        <v>73</v>
      </c>
      <c r="G177" s="39" t="s">
        <v>87</v>
      </c>
      <c r="H177" s="67" t="str">
        <f>IFERROR(
IF(
(SUMIFS(Calc_TUV_NetGroup_2[Ausnet],Calc_TUV_NetGroup_2[[Customer type]:[Customer type]],$F177,Calc_TUV_NetGroup_2[[Cost item]:[Cost item]],$C177&amp;" - supply")+
SUMIFS(Calc_TUV_NetGroup_2[Ausnet],Calc_TUV_NetGroup_2[[Customer type]:[Customer type]],$F177,Calc_TUV_NetGroup_2[[Cost item]:[Cost item]],$C177&amp;" - usage"))/
IF($C177&lt;&gt;"Controlled load",$E$154,$E$164)=H161,
0,1),"-")</f>
        <v>-</v>
      </c>
      <c r="I177" s="67" t="str">
        <f>IFERROR(
IF(
(SUMIFS(Calc_TUV_NetGroup_2[Citipower],Calc_TUV_NetGroup_2[[Customer type]:[Customer type]],$F177,Calc_TUV_NetGroup_2[[Cost item]:[Cost item]],$C177&amp;" - supply")+
SUMIFS(Calc_TUV_NetGroup_2[Citipower],Calc_TUV_NetGroup_2[[Customer type]:[Customer type]],$F177,Calc_TUV_NetGroup_2[[Cost item]:[Cost item]],$C177&amp;" - usage"))/
IF($C177&lt;&gt;"Controlled load",$E$154,$E$164)=I161,
0,1),"-")</f>
        <v>-</v>
      </c>
      <c r="J177" s="67" t="str">
        <f>IFERROR(
IF(
(SUMIFS(Calc_TUV_NetGroup_2[Jemena],Calc_TUV_NetGroup_2[[Customer type]:[Customer type]],$F177,Calc_TUV_NetGroup_2[[Cost item]:[Cost item]],$C177&amp;" - supply")+
SUMIFS(Calc_TUV_NetGroup_2[Jemena],Calc_TUV_NetGroup_2[[Customer type]:[Customer type]],$F177,Calc_TUV_NetGroup_2[[Cost item]:[Cost item]],$C177&amp;" - usage"))/
IF($C177&lt;&gt;"Controlled load",$E$154,$E$164)=J161,
0,1),"-")</f>
        <v>-</v>
      </c>
      <c r="K177" s="67" t="str">
        <f>IFERROR(
IF(
(SUMIFS(Calc_TUV_NetGroup_2[Powercor],Calc_TUV_NetGroup_2[[Customer type]:[Customer type]],$F177,Calc_TUV_NetGroup_2[[Cost item]:[Cost item]],$C177&amp;" - supply")+
SUMIFS(Calc_TUV_NetGroup_2[Powercor],Calc_TUV_NetGroup_2[[Customer type]:[Customer type]],$F177,Calc_TUV_NetGroup_2[[Cost item]:[Cost item]],$C177&amp;" - usage"))/
IF($C177&lt;&gt;"Controlled load",$E$154,$E$164)=K161,
0,1),"-")</f>
        <v>-</v>
      </c>
      <c r="L177" s="67" t="str">
        <f>IFERROR(
IF(
(SUMIFS(Calc_TUV_NetGroup_2[United Energy],Calc_TUV_NetGroup_2[[Customer type]:[Customer type]],$F177,Calc_TUV_NetGroup_2[[Cost item]:[Cost item]],$C177&amp;" - supply")+
SUMIFS(Calc_TUV_NetGroup_2[United Energy],Calc_TUV_NetGroup_2[[Customer type]:[Customer type]],$F177,Calc_TUV_NetGroup_2[[Cost item]:[Cost item]],$C177&amp;" - usage"))/
IF($C177&lt;&gt;"Controlled load",$E$154,$E$164)=L161,
0,1),"-")</f>
        <v>-</v>
      </c>
    </row>
    <row r="178" spans="2:12" ht="15.75" hidden="1" outlineLevel="1" x14ac:dyDescent="0.25">
      <c r="B178"/>
      <c r="C178" s="14" t="s">
        <v>81</v>
      </c>
      <c r="D178" s="14" t="s">
        <v>184</v>
      </c>
      <c r="E178" s="39" t="s">
        <v>71</v>
      </c>
      <c r="F178" s="14" t="s">
        <v>72</v>
      </c>
      <c r="G178" s="39" t="s">
        <v>87</v>
      </c>
      <c r="H178" s="67" t="str">
        <f>IFERROR(
IF(
(SUMIFS(Calc_TUV_NetGroup_2[Ausnet],Calc_TUV_NetGroup_2[[Customer type]:[Customer type]],$F178,Calc_TUV_NetGroup_2[[Cost item]:[Cost item]],$C178&amp;" - supply")+
SUMIFS(Calc_TUV_NetGroup_2[Ausnet],Calc_TUV_NetGroup_2[[Customer type]:[Customer type]],$F178,Calc_TUV_NetGroup_2[[Cost item]:[Cost item]],$C178&amp;" - usage"))/
IF($C178&lt;&gt;"Controlled load",$E$154,$E$166)=H170,
0,1),"-")</f>
        <v>-</v>
      </c>
      <c r="I178" s="67" t="str">
        <f>IFERROR(
IF(
(SUMIFS(Calc_TUV_NetGroup_2[Citipower],Calc_TUV_NetGroup_2[[Customer type]:[Customer type]],$F178,Calc_TUV_NetGroup_2[[Cost item]:[Cost item]],$C178&amp;" - supply")+
SUMIFS(Calc_TUV_NetGroup_2[Citipower],Calc_TUV_NetGroup_2[[Customer type]:[Customer type]],$F178,Calc_TUV_NetGroup_2[[Cost item]:[Cost item]],$C178&amp;" - usage"))/
IF($C178&lt;&gt;"Controlled load",$E$154,$E$166)=I170,
0,1),"-")</f>
        <v>-</v>
      </c>
      <c r="J178" s="67" t="str">
        <f>IFERROR(
IF(
(SUMIFS(Calc_TUV_NetGroup_2[Jemena],Calc_TUV_NetGroup_2[[Customer type]:[Customer type]],$F178,Calc_TUV_NetGroup_2[[Cost item]:[Cost item]],$C178&amp;" - supply")+
SUMIFS(Calc_TUV_NetGroup_2[Jemena],Calc_TUV_NetGroup_2[[Customer type]:[Customer type]],$F178,Calc_TUV_NetGroup_2[[Cost item]:[Cost item]],$C178&amp;" - usage"))/
IF($C178&lt;&gt;"Controlled load",$E$154,$E$166)=J170,
0,1),"-")</f>
        <v>-</v>
      </c>
      <c r="K178" s="67" t="str">
        <f>IFERROR(
IF(
(SUMIFS(Calc_TUV_NetGroup_2[Powercor],Calc_TUV_NetGroup_2[[Customer type]:[Customer type]],$F178,Calc_TUV_NetGroup_2[[Cost item]:[Cost item]],$C178&amp;" - supply")+
SUMIFS(Calc_TUV_NetGroup_2[Powercor],Calc_TUV_NetGroup_2[[Customer type]:[Customer type]],$F178,Calc_TUV_NetGroup_2[[Cost item]:[Cost item]],$C178&amp;" - usage"))/
IF($C178&lt;&gt;"Controlled load",$E$154,$E$166)=K170,
0,1),"-")</f>
        <v>-</v>
      </c>
      <c r="L178" s="67" t="str">
        <f>IFERROR(
IF(
(SUMIFS(Calc_TUV_NetGroup_2[United Energy],Calc_TUV_NetGroup_2[[Customer type]:[Customer type]],$F178,Calc_TUV_NetGroup_2[[Cost item]:[Cost item]],$C178&amp;" - supply")+
SUMIFS(Calc_TUV_NetGroup_2[United Energy],Calc_TUV_NetGroup_2[[Customer type]:[Customer type]],$F178,Calc_TUV_NetGroup_2[[Cost item]:[Cost item]],$C178&amp;" - usage"))/
IF($C178&lt;&gt;"Controlled load",$E$154,$E$166)=L170,
0,1),"-")</f>
        <v>-</v>
      </c>
    </row>
    <row r="179" spans="2:12" hidden="1" x14ac:dyDescent="0.25">
      <c r="B179"/>
    </row>
    <row r="180" spans="2:12" ht="16.5" hidden="1" collapsed="1" thickBot="1" x14ac:dyDescent="0.3">
      <c r="B180" s="155">
        <f ca="1">MAX(B$3:B179)+0.01</f>
        <v>15.04</v>
      </c>
      <c r="C180" s="19" t="s">
        <v>484</v>
      </c>
      <c r="D180" s="19"/>
      <c r="E180" s="19"/>
      <c r="F180" s="19"/>
      <c r="G180" s="19"/>
      <c r="H180" s="19"/>
      <c r="I180" s="19"/>
      <c r="J180" s="19"/>
      <c r="K180" s="19"/>
      <c r="L180" s="19"/>
    </row>
    <row r="181" spans="2:12" hidden="1" outlineLevel="1" x14ac:dyDescent="0.25"/>
    <row r="182" spans="2:12" ht="15.75" hidden="1" outlineLevel="1" x14ac:dyDescent="0.25">
      <c r="C182" s="20" t="s">
        <v>495</v>
      </c>
    </row>
    <row r="183" spans="2:12" ht="15.75" hidden="1" outlineLevel="1" x14ac:dyDescent="0.25">
      <c r="C183" s="30" t="s">
        <v>51</v>
      </c>
      <c r="D183" s="30" t="s">
        <v>114</v>
      </c>
      <c r="E183" s="30" t="s">
        <v>62</v>
      </c>
      <c r="F183" s="30" t="s">
        <v>63</v>
      </c>
      <c r="G183" s="30" t="s">
        <v>50</v>
      </c>
      <c r="H183" s="40" t="s">
        <v>65</v>
      </c>
      <c r="I183" s="40" t="s">
        <v>66</v>
      </c>
      <c r="J183" s="40" t="s">
        <v>67</v>
      </c>
      <c r="K183" s="40" t="s">
        <v>68</v>
      </c>
      <c r="L183" s="40" t="s">
        <v>69</v>
      </c>
    </row>
    <row r="184" spans="2:12" hidden="1" outlineLevel="1" x14ac:dyDescent="0.25">
      <c r="C184" s="39" t="str">
        <f>IF(COUNTIFS(Calc_TUV_Env_2[Pass through (Yes/No)],"Yes",Calc_TUV_Env_2[Cost item],"Large-scale renewable energy target (LRET)")=1,"LRET True Up","-")</f>
        <v>LRET True Up</v>
      </c>
      <c r="D184" s="39" t="s">
        <v>184</v>
      </c>
      <c r="E184" s="39" t="s">
        <v>75</v>
      </c>
      <c r="F184" s="39" t="s">
        <v>139</v>
      </c>
      <c r="G184" s="39" t="s">
        <v>89</v>
      </c>
      <c r="H184" s="105" cm="1">
        <f t="array" ref="H184">IFERROR(SUMIFS(INDEX(Calc_TUV_Env_2[[Ausnet]:[United Energy]],0,MATCH(Calc_TUV_ENVGroup_2[[#Headers],[Ausnet]],Calc_TUV_Env_2[[#Headers],[Ausnet]:[United Energy]],0)),
Calc_TUV_Env_2[Cost item],Calc_TUV_ENVGroup_2[[#This Row],[Cost item]],
Calc_TUV_Env_2[Customer type],Calc_TUV_ENVGroup_2[[#This Row],[Customer type]]),"-")</f>
        <v>7.1411889574377822E-5</v>
      </c>
      <c r="I184" s="105">
        <f>IFERROR(SUMIFS(INDEX(Calc_TUV_Env_2[[Ausnet]:[United Energy]],0,MATCH(Calc_TUV_ENVGroup_2[[#Headers],[Citipower]],Calc_TUV_Env_2[[#Headers],[Ausnet]:[United Energy]],0)),
Calc_TUV_Env_2[Cost item],Calc_TUV_ENVGroup_2[[#This Row],[Cost item]],
Calc_TUV_Env_2[Customer type],Calc_TUV_ENVGroup_2[[#This Row],[Customer type]]),"-")</f>
        <v>6.9262229545457419E-5</v>
      </c>
      <c r="J184" s="105" cm="1">
        <f t="array" ref="J184">IFERROR(SUMIFS(INDEX(Calc_TUV_Env_2[[Ausnet]:[United Energy]],0,MATCH(Calc_TUV_ENVGroup_2[[#Headers],[Jemena]],Calc_TUV_Env_2[[#Headers],[Ausnet]:[United Energy]],0)),
Calc_TUV_Env_2[Cost item],Calc_TUV_ENVGroup_2[[#This Row],[Cost item]],
Calc_TUV_Env_2[Customer type],Calc_TUV_ENVGroup_2[[#This Row],[Customer type]]),"-")</f>
        <v>6.8672733182471396E-5</v>
      </c>
      <c r="K184" s="105" cm="1">
        <f t="array" ref="K184">IFERROR(SUMIFS(INDEX(Calc_TUV_Env_2[[Ausnet]:[United Energy]],0,MATCH(Calc_TUV_ENVGroup_2[[#Headers],[Powercor]],Calc_TUV_Env_2[[#Headers],[Ausnet]:[United Energy]],0)),
Calc_TUV_Env_2[Cost item],Calc_TUV_ENVGroup_2[[#This Row],[Cost item]],
Calc_TUV_Env_2[Customer type],Calc_TUV_ENVGroup_2[[#This Row],[Customer type]]),"-")</f>
        <v>7.0779916457632067E-5</v>
      </c>
      <c r="L184" s="105" cm="1">
        <f t="array" ref="L184">IFERROR(SUMIFS(INDEX(Calc_TUV_Env_2[[Ausnet]:[United Energy]],0,MATCH(Calc_TUV_ENVGroup_2[[#Headers],[United Energy]],Calc_TUV_Env_2[[#Headers],[Ausnet]:[United Energy]],0)),
Calc_TUV_Env_2[Cost item],Calc_TUV_ENVGroup_2[[#This Row],[Cost item]],
Calc_TUV_Env_2[Customer type],Calc_TUV_ENVGroup_2[[#This Row],[Customer type]]),"-")</f>
        <v>6.9073799593706765E-5</v>
      </c>
    </row>
    <row r="185" spans="2:12" hidden="1" outlineLevel="1" x14ac:dyDescent="0.25">
      <c r="C185" s="39" t="str">
        <f>IF(COUNTIFS(Calc_TUV_Env_2[Pass through (Yes/No)],"Yes",Calc_TUV_Env_2[Cost item],"Small-scale renewable energy scheme (SRES)")=1,"SRES True Up","-")</f>
        <v>SRES True Up</v>
      </c>
      <c r="D185" s="39" t="s">
        <v>184</v>
      </c>
      <c r="E185" s="39" t="s">
        <v>75</v>
      </c>
      <c r="F185" s="39" t="s">
        <v>139</v>
      </c>
      <c r="G185" s="39" t="s">
        <v>89</v>
      </c>
      <c r="H185" s="105" cm="1">
        <f t="array" ref="H185">IFERROR(SUMIFS(INDEX(Calc_TUV_Env_2[[Ausnet]:[United Energy]],0,MATCH(Calc_TUV_ENVGroup_2[[#Headers],[Ausnet]],Calc_TUV_Env_2[[#Headers],[Ausnet]:[United Energy]],0)),
Calc_TUV_Env_2[Cost item],Calc_TUV_ENVGroup_2[[#This Row],[Cost item]],
Calc_TUV_Env_2[Customer type],Calc_TUV_ENVGroup_2[[#This Row],[Customer type]]),"-")</f>
        <v>-1.5204731141753008E-3</v>
      </c>
      <c r="I185" s="105" cm="1">
        <f t="array" ref="I185">IFERROR(SUMIFS(INDEX(Calc_TUV_Env_2[[Ausnet]:[United Energy]],0,MATCH(Calc_TUV_ENVGroup_2[[#Headers],[Citipower]],Calc_TUV_Env_2[[#Headers],[Ausnet]:[United Energy]],0)),
Calc_TUV_Env_2[Cost item],Calc_TUV_ENVGroup_2[[#This Row],[Cost item]],
Calc_TUV_Env_2[Customer type],Calc_TUV_ENVGroup_2[[#This Row],[Customer type]]),"-")</f>
        <v>-1.4747034209481452E-3</v>
      </c>
      <c r="J185" s="105" cm="1">
        <f t="array" ref="J185">IFERROR(SUMIFS(INDEX(Calc_TUV_Env_2[[Ausnet]:[United Energy]],0,MATCH(Calc_TUV_ENVGroup_2[[#Headers],[Jemena]],Calc_TUV_Env_2[[#Headers],[Ausnet]:[United Energy]],0)),
Calc_TUV_Env_2[Cost item],Calc_TUV_ENVGroup_2[[#This Row],[Cost item]],
Calc_TUV_Env_2[Customer type],Calc_TUV_ENVGroup_2[[#This Row],[Customer type]]),"-")</f>
        <v>-1.4621521024468919E-3</v>
      </c>
      <c r="K185" s="105" cm="1">
        <f t="array" ref="K185">IFERROR(SUMIFS(INDEX(Calc_TUV_Env_2[[Ausnet]:[United Energy]],0,MATCH(Calc_TUV_ENVGroup_2[[#Headers],[Powercor]],Calc_TUV_Env_2[[#Headers],[Ausnet]:[United Energy]],0)),
Calc_TUV_Env_2[Cost item],Calc_TUV_ENVGroup_2[[#This Row],[Cost item]],
Calc_TUV_Env_2[Customer type],Calc_TUV_ENVGroup_2[[#This Row],[Customer type]]),"-")</f>
        <v>-1.5070173977866077E-3</v>
      </c>
      <c r="L185" s="105" cm="1">
        <f t="array" ref="L185">IFERROR(SUMIFS(INDEX(Calc_TUV_Env_2[[Ausnet]:[United Energy]],0,MATCH(Calc_TUV_ENVGroup_2[[#Headers],[United Energy]],Calc_TUV_Env_2[[#Headers],[Ausnet]:[United Energy]],0)),
Calc_TUV_Env_2[Cost item],Calc_TUV_ENVGroup_2[[#This Row],[Cost item]],
Calc_TUV_Env_2[Customer type],Calc_TUV_ENVGroup_2[[#This Row],[Customer type]]),"-")</f>
        <v>-1.470691446510138E-3</v>
      </c>
    </row>
    <row r="186" spans="2:12" hidden="1" outlineLevel="1" x14ac:dyDescent="0.25">
      <c r="C186" s="39" t="str">
        <f>IF(COUNTIFS(Calc_TUV_Env_2[Pass through (Yes/No)],"Yes",Calc_TUV_Env_2[Cost item],"Victorian energy upgrades (VEU)")=1,"VEU True Up","-")</f>
        <v>-</v>
      </c>
      <c r="D186" s="39" t="s">
        <v>184</v>
      </c>
      <c r="E186" s="39" t="s">
        <v>75</v>
      </c>
      <c r="F186" s="39" t="s">
        <v>139</v>
      </c>
      <c r="G186" s="39" t="s">
        <v>89</v>
      </c>
      <c r="H186" s="105" cm="1">
        <f t="array" ref="H186">IFERROR(SUMIFS(INDEX(Calc_TUV_Env_2[[Ausnet]:[United Energy]],0,MATCH(Calc_TUV_ENVGroup_2[[#Headers],[Ausnet]],Calc_TUV_Env_2[[#Headers],[Ausnet]:[United Energy]],0)),
Calc_TUV_Env_2[Cost item],Calc_TUV_ENVGroup_2[[#This Row],[Cost item]],
Calc_TUV_Env_2[Customer type],Calc_TUV_ENVGroup_2[[#This Row],[Customer type]]),"-")</f>
        <v>0</v>
      </c>
      <c r="I186" s="105" cm="1">
        <f t="array" ref="I186">IFERROR(SUMIFS(INDEX(Calc_TUV_Env_2[[Ausnet]:[United Energy]],0,MATCH(Calc_TUV_ENVGroup_2[[#Headers],[Citipower]],Calc_TUV_Env_2[[#Headers],[Ausnet]:[United Energy]],0)),
Calc_TUV_Env_2[Cost item],Calc_TUV_ENVGroup_2[[#This Row],[Cost item]],
Calc_TUV_Env_2[Customer type],Calc_TUV_ENVGroup_2[[#This Row],[Customer type]]),"-")</f>
        <v>0</v>
      </c>
      <c r="J186" s="105" cm="1">
        <f t="array" ref="J186">IFERROR(SUMIFS(INDEX(Calc_TUV_Env_2[[Ausnet]:[United Energy]],0,MATCH(Calc_TUV_ENVGroup_2[[#Headers],[Jemena]],Calc_TUV_Env_2[[#Headers],[Ausnet]:[United Energy]],0)),
Calc_TUV_Env_2[Cost item],Calc_TUV_ENVGroup_2[[#This Row],[Cost item]],
Calc_TUV_Env_2[Customer type],Calc_TUV_ENVGroup_2[[#This Row],[Customer type]]),"-")</f>
        <v>0</v>
      </c>
      <c r="K186" s="105" cm="1">
        <f t="array" ref="K186">IFERROR(SUMIFS(INDEX(Calc_TUV_Env_2[[Ausnet]:[United Energy]],0,MATCH(Calc_TUV_ENVGroup_2[[#Headers],[Powercor]],Calc_TUV_Env_2[[#Headers],[Ausnet]:[United Energy]],0)),
Calc_TUV_Env_2[Cost item],Calc_TUV_ENVGroup_2[[#This Row],[Cost item]],
Calc_TUV_Env_2[Customer type],Calc_TUV_ENVGroup_2[[#This Row],[Customer type]]),"-")</f>
        <v>0</v>
      </c>
      <c r="L186" s="105" cm="1">
        <f t="array" ref="L186">IFERROR(SUMIFS(INDEX(Calc_TUV_Env_2[[Ausnet]:[United Energy]],0,MATCH(Calc_TUV_ENVGroup_2[[#Headers],[United Energy]],Calc_TUV_Env_2[[#Headers],[Ausnet]:[United Energy]],0)),
Calc_TUV_Env_2[Cost item],Calc_TUV_ENVGroup_2[[#This Row],[Cost item]],
Calc_TUV_Env_2[Customer type],Calc_TUV_ENVGroup_2[[#This Row],[Customer type]]),"-")</f>
        <v>0</v>
      </c>
    </row>
    <row r="187" spans="2:12" hidden="1" outlineLevel="1" x14ac:dyDescent="0.25"/>
    <row r="188" spans="2:12" ht="15.75" hidden="1" outlineLevel="1" x14ac:dyDescent="0.25">
      <c r="C188" s="36" t="s">
        <v>486</v>
      </c>
      <c r="D188" t="s">
        <v>102</v>
      </c>
      <c r="E188" s="58" t="str">
        <f>INDEX(Input_DecisionActual[Decision],MATCH(Calc_TU_rates!E189,Input_DecisionActual[Actual],0),1)</f>
        <v>VDO 2022-23 - Final</v>
      </c>
      <c r="F188" s="52">
        <f>INDEX(Input_TU_Periods[],2,MATCH($E188,Inputs!$C$203:$BM$203,0))</f>
        <v>365</v>
      </c>
      <c r="H188" s="61"/>
      <c r="I188" s="61"/>
      <c r="J188" s="61"/>
      <c r="K188" s="61"/>
      <c r="L188" s="61"/>
    </row>
    <row r="189" spans="2:12" ht="15.75" hidden="1" outlineLevel="1" x14ac:dyDescent="0.25">
      <c r="C189" s="36" t="s">
        <v>486</v>
      </c>
      <c r="D189" t="s">
        <v>322</v>
      </c>
      <c r="E189" s="58" t="str">
        <f>D135</f>
        <v>VDO 2023-24 - Final</v>
      </c>
      <c r="F189" s="52">
        <f>INDEX(Input_TU_Periods[],2,MATCH($E189,Inputs!$C$203:$BM$203,0))</f>
        <v>366</v>
      </c>
      <c r="H189" s="61"/>
      <c r="I189" s="61"/>
      <c r="J189" s="61"/>
      <c r="K189" s="61"/>
      <c r="L189" s="61"/>
    </row>
    <row r="190" spans="2:12" ht="15.75" hidden="1" outlineLevel="1" x14ac:dyDescent="0.25">
      <c r="C190" s="36" t="s">
        <v>487</v>
      </c>
      <c r="F190" s="135">
        <f>F188/F189</f>
        <v>0.99726775956284153</v>
      </c>
    </row>
    <row r="191" spans="2:12" hidden="1" outlineLevel="1" x14ac:dyDescent="0.25"/>
    <row r="192" spans="2:12" ht="15.75" hidden="1" outlineLevel="1" x14ac:dyDescent="0.25">
      <c r="C192" s="20" t="s">
        <v>496</v>
      </c>
    </row>
    <row r="193" spans="3:12" ht="15.75" hidden="1" outlineLevel="1" x14ac:dyDescent="0.25">
      <c r="C193" s="30" t="s">
        <v>478</v>
      </c>
      <c r="D193" s="30" t="s">
        <v>404</v>
      </c>
      <c r="E193" s="30" t="s">
        <v>62</v>
      </c>
      <c r="F193" s="30" t="s">
        <v>63</v>
      </c>
      <c r="G193" s="30" t="s">
        <v>50</v>
      </c>
      <c r="H193" s="40" t="s">
        <v>65</v>
      </c>
      <c r="I193" s="40" t="s">
        <v>66</v>
      </c>
      <c r="J193" s="40" t="s">
        <v>67</v>
      </c>
      <c r="K193" s="40" t="s">
        <v>68</v>
      </c>
      <c r="L193" s="40" t="s">
        <v>69</v>
      </c>
    </row>
    <row r="194" spans="3:12" hidden="1" outlineLevel="1" x14ac:dyDescent="0.25">
      <c r="C194" s="39" t="s">
        <v>77</v>
      </c>
      <c r="D194" s="39" t="s">
        <v>489</v>
      </c>
      <c r="E194" s="39" t="s">
        <v>75</v>
      </c>
      <c r="F194" s="39" t="s">
        <v>72</v>
      </c>
      <c r="G194" s="39" t="s">
        <v>89</v>
      </c>
      <c r="H194" s="107" t="str" cm="1">
        <f t="array" ref="H19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4" s="107" cm="1">
        <f t="array" ref="I19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194" s="107" cm="1">
        <f t="array" ref="J19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194" s="107" cm="1">
        <f t="array" ref="K19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194" s="107" cm="1">
        <f t="array" ref="L19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195" spans="3:12" hidden="1" outlineLevel="1" x14ac:dyDescent="0.25">
      <c r="C195" s="39" t="s">
        <v>77</v>
      </c>
      <c r="D195" s="39" t="s">
        <v>489</v>
      </c>
      <c r="E195" s="39" t="s">
        <v>75</v>
      </c>
      <c r="F195" s="39" t="s">
        <v>73</v>
      </c>
      <c r="G195" s="39" t="s">
        <v>89</v>
      </c>
      <c r="H195" s="107" t="str" cm="1">
        <f t="array" ref="H19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195" s="107" cm="1">
        <f t="array" ref="I19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195" s="107" cm="1">
        <f t="array" ref="J19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195" s="107" cm="1">
        <f t="array" ref="K19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195" s="107" cm="1">
        <f t="array" ref="L19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196" spans="3:12" hidden="1" outlineLevel="1" x14ac:dyDescent="0.25">
      <c r="C196" s="39" t="s">
        <v>74</v>
      </c>
      <c r="D196" s="39" t="s">
        <v>489</v>
      </c>
      <c r="E196" s="39" t="s">
        <v>75</v>
      </c>
      <c r="F196" s="39" t="s">
        <v>72</v>
      </c>
      <c r="G196" s="39" t="s">
        <v>89</v>
      </c>
      <c r="H196" s="107" cm="1">
        <f t="array" ref="H19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6" s="107" t="str" cm="1">
        <f t="array" ref="I19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6" s="107" t="str" cm="1">
        <f t="array" ref="J19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6" s="107" t="str" cm="1">
        <f t="array" ref="K19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6" s="107" t="str" cm="1">
        <f t="array" ref="L19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7" spans="3:12" hidden="1" outlineLevel="1" x14ac:dyDescent="0.25">
      <c r="C197" s="39" t="s">
        <v>74</v>
      </c>
      <c r="D197" s="39" t="s">
        <v>489</v>
      </c>
      <c r="E197" s="39" t="s">
        <v>75</v>
      </c>
      <c r="F197" s="39" t="s">
        <v>73</v>
      </c>
      <c r="G197" s="39" t="s">
        <v>89</v>
      </c>
      <c r="H197" s="107" cm="1">
        <f t="array" ref="H19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7" s="107" t="str" cm="1">
        <f t="array" ref="I19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7" s="107" t="str" cm="1">
        <f t="array" ref="J19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7" s="107" t="str" cm="1">
        <f t="array" ref="K19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7" s="107" t="str" cm="1">
        <f t="array" ref="L19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8" spans="3:12" hidden="1" outlineLevel="1" x14ac:dyDescent="0.25">
      <c r="C198" s="39" t="s">
        <v>76</v>
      </c>
      <c r="D198" s="39" t="s">
        <v>489</v>
      </c>
      <c r="E198" s="39" t="s">
        <v>75</v>
      </c>
      <c r="F198" s="39" t="s">
        <v>72</v>
      </c>
      <c r="G198" s="39" t="s">
        <v>89</v>
      </c>
      <c r="H198" s="107" cm="1">
        <f t="array" ref="H19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8" s="107" t="str" cm="1">
        <f t="array" ref="I19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8" s="107" t="str" cm="1">
        <f t="array" ref="J19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8" s="107" t="str" cm="1">
        <f t="array" ref="K19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8" s="107" t="str" cm="1">
        <f t="array" ref="L19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199" spans="3:12" hidden="1" outlineLevel="1" x14ac:dyDescent="0.25">
      <c r="C199" s="39" t="s">
        <v>76</v>
      </c>
      <c r="D199" s="39" t="s">
        <v>489</v>
      </c>
      <c r="E199" s="39" t="s">
        <v>75</v>
      </c>
      <c r="F199" s="39" t="s">
        <v>73</v>
      </c>
      <c r="G199" s="39" t="s">
        <v>89</v>
      </c>
      <c r="H199" s="107" cm="1">
        <f t="array" ref="H19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199" s="107" t="str" cm="1">
        <f t="array" ref="I19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199" s="107" t="str" cm="1">
        <f t="array" ref="J19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199" s="107" t="str" cm="1">
        <f t="array" ref="K19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199" s="107" t="str" cm="1">
        <f t="array" ref="L19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0" spans="3:12" hidden="1" outlineLevel="1" x14ac:dyDescent="0.25">
      <c r="C200" s="39" t="s">
        <v>81</v>
      </c>
      <c r="D200" s="39" t="s">
        <v>489</v>
      </c>
      <c r="E200" s="39" t="s">
        <v>75</v>
      </c>
      <c r="F200" s="39" t="s">
        <v>72</v>
      </c>
      <c r="G200" s="39" t="s">
        <v>89</v>
      </c>
      <c r="H200" s="107" cm="1">
        <f t="array" ref="H20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0" s="107" cm="1">
        <f t="array" ref="I20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0" s="107" cm="1">
        <f t="array" ref="J20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0" s="107" cm="1">
        <f t="array" ref="K20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0" s="107" cm="1">
        <f t="array" ref="L20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1" spans="3:12" hidden="1" outlineLevel="1" x14ac:dyDescent="0.25">
      <c r="C201" s="39" t="s">
        <v>79</v>
      </c>
      <c r="D201" s="39" t="s">
        <v>489</v>
      </c>
      <c r="E201" s="39" t="s">
        <v>75</v>
      </c>
      <c r="F201" s="39" t="s">
        <v>72</v>
      </c>
      <c r="G201" s="39" t="s">
        <v>89</v>
      </c>
      <c r="H201" s="107" cm="1">
        <f t="array" ref="H20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1" s="107" cm="1">
        <f t="array" ref="I20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1" s="107" cm="1">
        <f t="array" ref="J20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1" s="107" cm="1">
        <f t="array" ref="K20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1" s="107" cm="1">
        <f t="array" ref="L20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2" spans="3:12" hidden="1" outlineLevel="1" x14ac:dyDescent="0.25">
      <c r="C202" s="39" t="s">
        <v>79</v>
      </c>
      <c r="D202" s="39" t="s">
        <v>489</v>
      </c>
      <c r="E202" s="39" t="s">
        <v>75</v>
      </c>
      <c r="F202" s="39" t="s">
        <v>73</v>
      </c>
      <c r="G202" s="39" t="s">
        <v>89</v>
      </c>
      <c r="H202" s="107" cm="1">
        <f t="array" ref="H20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2" s="107" cm="1">
        <f t="array" ref="I20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2" s="107" cm="1">
        <f t="array" ref="J20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2" s="107" cm="1">
        <f t="array" ref="K20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2" s="107" cm="1">
        <f t="array" ref="L20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3" spans="3:12" hidden="1" outlineLevel="1" x14ac:dyDescent="0.25">
      <c r="C203" s="39" t="s">
        <v>80</v>
      </c>
      <c r="D203" s="39" t="s">
        <v>489</v>
      </c>
      <c r="E203" s="39" t="s">
        <v>75</v>
      </c>
      <c r="F203" s="39" t="s">
        <v>72</v>
      </c>
      <c r="G203" s="39" t="s">
        <v>89</v>
      </c>
      <c r="H203" s="107" cm="1">
        <f t="array" ref="H20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3" s="107" cm="1">
        <f t="array" ref="I20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3" s="107" cm="1">
        <f t="array" ref="J20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3" s="107" cm="1">
        <f t="array" ref="K20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3" s="107" cm="1">
        <f t="array" ref="L20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4" spans="3:12" hidden="1" outlineLevel="1" x14ac:dyDescent="0.25">
      <c r="C204" s="39" t="s">
        <v>80</v>
      </c>
      <c r="D204" s="39" t="s">
        <v>489</v>
      </c>
      <c r="E204" s="39" t="s">
        <v>75</v>
      </c>
      <c r="F204" s="39" t="s">
        <v>73</v>
      </c>
      <c r="G204" s="39" t="s">
        <v>89</v>
      </c>
      <c r="H204" s="107" cm="1">
        <f t="array" ref="H20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7.1216775121988815E-5</v>
      </c>
      <c r="I204" s="107" cm="1">
        <f t="array" ref="I20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6.9072988481125571E-5</v>
      </c>
      <c r="J204" s="107" cm="1">
        <f t="array" ref="J20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6.848510276394005E-5</v>
      </c>
      <c r="K204" s="107" cm="1">
        <f t="array" ref="K20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7.0586528707747821E-5</v>
      </c>
      <c r="L204" s="107" cm="1">
        <f t="array" ref="L20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6.8885073365308663E-5</v>
      </c>
    </row>
    <row r="205" spans="3:12" hidden="1" outlineLevel="1" x14ac:dyDescent="0.25">
      <c r="C205" s="39" t="s">
        <v>77</v>
      </c>
      <c r="D205" s="39" t="s">
        <v>490</v>
      </c>
      <c r="E205" s="39" t="s">
        <v>75</v>
      </c>
      <c r="F205" s="39" t="s">
        <v>72</v>
      </c>
      <c r="G205" s="39" t="s">
        <v>89</v>
      </c>
      <c r="H205" s="107" t="str" cm="1">
        <f t="array" ref="H20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5" s="107" cm="1">
        <f t="array" ref="I20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05" s="107" cm="1">
        <f t="array" ref="J20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05" s="107" cm="1">
        <f t="array" ref="K20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05" s="107" cm="1">
        <f t="array" ref="L20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06" spans="3:12" hidden="1" outlineLevel="1" x14ac:dyDescent="0.25">
      <c r="C206" s="39" t="s">
        <v>77</v>
      </c>
      <c r="D206" s="39" t="s">
        <v>490</v>
      </c>
      <c r="E206" s="39" t="s">
        <v>75</v>
      </c>
      <c r="F206" s="39" t="s">
        <v>73</v>
      </c>
      <c r="G206" s="39" t="s">
        <v>89</v>
      </c>
      <c r="H206" s="107" t="str" cm="1">
        <f t="array" ref="H20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06" s="107" cm="1">
        <f t="array" ref="I20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06" s="107" cm="1">
        <f t="array" ref="J20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06" s="107" cm="1">
        <f t="array" ref="K20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06" s="107" cm="1">
        <f t="array" ref="L20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07" spans="3:12" hidden="1" outlineLevel="1" x14ac:dyDescent="0.25">
      <c r="C207" s="39" t="s">
        <v>74</v>
      </c>
      <c r="D207" s="39" t="s">
        <v>490</v>
      </c>
      <c r="E207" s="39" t="s">
        <v>75</v>
      </c>
      <c r="F207" s="39" t="s">
        <v>72</v>
      </c>
      <c r="G207" s="39" t="s">
        <v>89</v>
      </c>
      <c r="H207" s="107" cm="1">
        <f t="array" ref="H20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07" s="107" t="str" cm="1">
        <f t="array" ref="I20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7" s="107" t="str" cm="1">
        <f t="array" ref="J20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7" s="107" t="str" cm="1">
        <f t="array" ref="K20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7" s="107" t="str" cm="1">
        <f t="array" ref="L20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8" spans="3:12" hidden="1" outlineLevel="1" x14ac:dyDescent="0.25">
      <c r="C208" s="39" t="s">
        <v>74</v>
      </c>
      <c r="D208" s="39" t="s">
        <v>490</v>
      </c>
      <c r="E208" s="39" t="s">
        <v>75</v>
      </c>
      <c r="F208" s="39" t="s">
        <v>73</v>
      </c>
      <c r="G208" s="39" t="s">
        <v>89</v>
      </c>
      <c r="H208" s="107" cm="1">
        <f t="array" ref="H20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08" s="107" t="str" cm="1">
        <f t="array" ref="I20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8" s="107" t="str" cm="1">
        <f t="array" ref="J20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8" s="107" t="str" cm="1">
        <f t="array" ref="K20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8" s="107" t="str" cm="1">
        <f t="array" ref="L20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09" spans="3:18" hidden="1" outlineLevel="1" x14ac:dyDescent="0.25">
      <c r="C209" s="39" t="s">
        <v>76</v>
      </c>
      <c r="D209" s="39" t="s">
        <v>490</v>
      </c>
      <c r="E209" s="39" t="s">
        <v>75</v>
      </c>
      <c r="F209" s="39" t="s">
        <v>72</v>
      </c>
      <c r="G209" s="39" t="s">
        <v>89</v>
      </c>
      <c r="H209" s="107" cm="1">
        <f t="array" ref="H20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09" s="107" t="str" cm="1">
        <f t="array" ref="I20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09" s="107" t="str" cm="1">
        <f t="array" ref="J20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09" s="107" t="str" cm="1">
        <f t="array" ref="K20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09" s="107" t="str" cm="1">
        <f t="array" ref="L20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0" spans="3:18" hidden="1" outlineLevel="1" x14ac:dyDescent="0.25">
      <c r="C210" s="39" t="s">
        <v>76</v>
      </c>
      <c r="D210" s="39" t="s">
        <v>490</v>
      </c>
      <c r="E210" s="39" t="s">
        <v>75</v>
      </c>
      <c r="F210" s="39" t="s">
        <v>73</v>
      </c>
      <c r="G210" s="39" t="s">
        <v>89</v>
      </c>
      <c r="H210" s="107" cm="1">
        <f t="array" ref="H21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0" s="107" t="str" cm="1">
        <f t="array" ref="I21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0" s="107" t="str" cm="1">
        <f t="array" ref="J21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0" s="107" t="str" cm="1">
        <f t="array" ref="K21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0" s="107" t="str" cm="1">
        <f t="array" ref="L21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c r="R210" s="61"/>
    </row>
    <row r="211" spans="3:18" hidden="1" outlineLevel="1" x14ac:dyDescent="0.25">
      <c r="C211" s="39" t="s">
        <v>81</v>
      </c>
      <c r="D211" s="39" t="s">
        <v>490</v>
      </c>
      <c r="E211" s="39" t="s">
        <v>75</v>
      </c>
      <c r="F211" s="39" t="s">
        <v>72</v>
      </c>
      <c r="G211" s="39" t="s">
        <v>89</v>
      </c>
      <c r="H211" s="107" cm="1">
        <f t="array" ref="H21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1" s="107" cm="1">
        <f t="array" ref="I21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1" s="107" cm="1">
        <f t="array" ref="J21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1" s="107" cm="1">
        <f t="array" ref="K21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1" s="107" cm="1">
        <f t="array" ref="L21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2" spans="3:18" hidden="1" outlineLevel="1" x14ac:dyDescent="0.25">
      <c r="C212" s="39" t="s">
        <v>79</v>
      </c>
      <c r="D212" s="39" t="s">
        <v>490</v>
      </c>
      <c r="E212" s="39" t="s">
        <v>75</v>
      </c>
      <c r="F212" s="39" t="s">
        <v>72</v>
      </c>
      <c r="G212" s="39" t="s">
        <v>89</v>
      </c>
      <c r="H212" s="107" cm="1">
        <f t="array" ref="H21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2" s="107" cm="1">
        <f t="array" ref="I21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2" s="107" cm="1">
        <f t="array" ref="J21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2" s="107" cm="1">
        <f t="array" ref="K21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2" s="107" cm="1">
        <f t="array" ref="L21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3" spans="3:18" hidden="1" outlineLevel="1" x14ac:dyDescent="0.25">
      <c r="C213" s="39" t="s">
        <v>79</v>
      </c>
      <c r="D213" s="39" t="s">
        <v>490</v>
      </c>
      <c r="E213" s="39" t="s">
        <v>75</v>
      </c>
      <c r="F213" s="39" t="s">
        <v>73</v>
      </c>
      <c r="G213" s="39" t="s">
        <v>89</v>
      </c>
      <c r="H213" s="107" cm="1">
        <f t="array" ref="H21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3" s="107" cm="1">
        <f t="array" ref="I21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3" s="107" cm="1">
        <f t="array" ref="J21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3" s="107" cm="1">
        <f t="array" ref="K21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3" s="107" cm="1">
        <f t="array" ref="L21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4" spans="3:18" hidden="1" outlineLevel="1" x14ac:dyDescent="0.25">
      <c r="C214" s="39" t="s">
        <v>80</v>
      </c>
      <c r="D214" s="39" t="s">
        <v>490</v>
      </c>
      <c r="E214" s="39" t="s">
        <v>75</v>
      </c>
      <c r="F214" s="39" t="s">
        <v>72</v>
      </c>
      <c r="G214" s="39" t="s">
        <v>89</v>
      </c>
      <c r="H214" s="107" cm="1">
        <f t="array" ref="H21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4" s="107" cm="1">
        <f t="array" ref="I21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4" s="107" cm="1">
        <f t="array" ref="J21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4" s="107" cm="1">
        <f t="array" ref="K21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4" s="107" cm="1">
        <f t="array" ref="L21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5" spans="3:18" hidden="1" outlineLevel="1" x14ac:dyDescent="0.25">
      <c r="C215" s="39" t="s">
        <v>80</v>
      </c>
      <c r="D215" s="39" t="s">
        <v>490</v>
      </c>
      <c r="E215" s="39" t="s">
        <v>75</v>
      </c>
      <c r="F215" s="39" t="s">
        <v>73</v>
      </c>
      <c r="G215" s="39" t="s">
        <v>89</v>
      </c>
      <c r="H215" s="107" cm="1">
        <f t="array" ref="H21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-1.5163188160491386E-3</v>
      </c>
      <c r="I215" s="107" cm="1">
        <f t="array" ref="I21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-1.4706741766286147E-3</v>
      </c>
      <c r="J215" s="107" cm="1">
        <f t="array" ref="J21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-1.4581571513473102E-3</v>
      </c>
      <c r="K215" s="107" cm="1">
        <f t="array" ref="K21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-1.5028998639128738E-3</v>
      </c>
      <c r="L215" s="107" cm="1">
        <f t="array" ref="L21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-1.4666731638694E-3</v>
      </c>
    </row>
    <row r="216" spans="3:18" hidden="1" outlineLevel="1" x14ac:dyDescent="0.25">
      <c r="C216" s="39" t="s">
        <v>77</v>
      </c>
      <c r="D216" s="39" t="s">
        <v>491</v>
      </c>
      <c r="E216" s="39" t="s">
        <v>75</v>
      </c>
      <c r="F216" s="39" t="s">
        <v>72</v>
      </c>
      <c r="G216" s="39" t="s">
        <v>89</v>
      </c>
      <c r="H216" s="107" t="str" cm="1">
        <f t="array" ref="H21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6" s="107" cm="1">
        <f t="array" ref="I21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6" s="107" cm="1">
        <f t="array" ref="J21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6" s="107" cm="1">
        <f t="array" ref="K21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6" s="107" cm="1">
        <f t="array" ref="L21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7" spans="3:18" hidden="1" outlineLevel="1" x14ac:dyDescent="0.25">
      <c r="C217" s="39" t="s">
        <v>77</v>
      </c>
      <c r="D217" s="39" t="s">
        <v>491</v>
      </c>
      <c r="E217" s="39" t="s">
        <v>75</v>
      </c>
      <c r="F217" s="39" t="s">
        <v>73</v>
      </c>
      <c r="G217" s="39" t="s">
        <v>89</v>
      </c>
      <c r="H217" s="107" t="str" cm="1">
        <f t="array" ref="H217">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v>
      </c>
      <c r="I217" s="107" cm="1">
        <f t="array" ref="I217">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17" s="107" cm="1">
        <f t="array" ref="J217">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17" s="107" cm="1">
        <f t="array" ref="K217">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17" s="107" cm="1">
        <f t="array" ref="L217">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18" spans="3:18" hidden="1" outlineLevel="1" x14ac:dyDescent="0.25">
      <c r="C218" s="39" t="s">
        <v>74</v>
      </c>
      <c r="D218" s="39" t="s">
        <v>491</v>
      </c>
      <c r="E218" s="39" t="s">
        <v>75</v>
      </c>
      <c r="F218" s="39" t="s">
        <v>72</v>
      </c>
      <c r="G218" s="39" t="s">
        <v>89</v>
      </c>
      <c r="H218" s="107" cm="1">
        <f t="array" ref="H218">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8" s="107" t="str" cm="1">
        <f t="array" ref="I218">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8" s="107" t="str" cm="1">
        <f t="array" ref="J218">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8" s="107" t="str" cm="1">
        <f t="array" ref="K218">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8" s="107" t="str" cm="1">
        <f t="array" ref="L218">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19" spans="3:18" hidden="1" outlineLevel="1" x14ac:dyDescent="0.25">
      <c r="C219" s="39" t="s">
        <v>74</v>
      </c>
      <c r="D219" s="39" t="s">
        <v>491</v>
      </c>
      <c r="E219" s="39" t="s">
        <v>75</v>
      </c>
      <c r="F219" s="39" t="s">
        <v>73</v>
      </c>
      <c r="G219" s="39" t="s">
        <v>89</v>
      </c>
      <c r="H219" s="107" cm="1">
        <f t="array" ref="H219">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19" s="107" t="str" cm="1">
        <f t="array" ref="I219">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19" s="107" t="str" cm="1">
        <f t="array" ref="J219">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19" s="107" t="str" cm="1">
        <f t="array" ref="K219">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19" s="107" t="str" cm="1">
        <f t="array" ref="L219">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0" spans="3:18" hidden="1" outlineLevel="1" x14ac:dyDescent="0.25">
      <c r="C220" s="39" t="s">
        <v>81</v>
      </c>
      <c r="D220" s="39" t="s">
        <v>491</v>
      </c>
      <c r="E220" s="39" t="s">
        <v>75</v>
      </c>
      <c r="F220" s="39" t="s">
        <v>72</v>
      </c>
      <c r="G220" s="39" t="s">
        <v>89</v>
      </c>
      <c r="H220" s="107" cm="1">
        <f t="array" ref="H220">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0" s="107" cm="1">
        <f t="array" ref="I220">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0" s="107" cm="1">
        <f t="array" ref="J220">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0" s="107" cm="1">
        <f t="array" ref="K220">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0" s="107" cm="1">
        <f t="array" ref="L220">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1" spans="3:18" hidden="1" outlineLevel="1" x14ac:dyDescent="0.25">
      <c r="C221" s="39" t="s">
        <v>76</v>
      </c>
      <c r="D221" s="39" t="s">
        <v>491</v>
      </c>
      <c r="E221" s="39" t="s">
        <v>75</v>
      </c>
      <c r="F221" s="39" t="s">
        <v>72</v>
      </c>
      <c r="G221" s="39" t="s">
        <v>89</v>
      </c>
      <c r="H221" s="107" cm="1">
        <f t="array" ref="H221">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1" s="107" t="str" cm="1">
        <f t="array" ref="I221">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1" s="107" t="str" cm="1">
        <f t="array" ref="J221">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1" s="107" t="str" cm="1">
        <f t="array" ref="K221">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1" s="107" t="str" cm="1">
        <f t="array" ref="L221">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2" spans="3:18" hidden="1" outlineLevel="1" x14ac:dyDescent="0.25">
      <c r="C222" s="39" t="s">
        <v>76</v>
      </c>
      <c r="D222" s="39" t="s">
        <v>491</v>
      </c>
      <c r="E222" s="39" t="s">
        <v>75</v>
      </c>
      <c r="F222" s="39" t="s">
        <v>73</v>
      </c>
      <c r="G222" s="39" t="s">
        <v>89</v>
      </c>
      <c r="H222" s="107" cm="1">
        <f t="array" ref="H222">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2" s="107" t="str" cm="1">
        <f t="array" ref="I222">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v>
      </c>
      <c r="J222" s="107" t="str" cm="1">
        <f t="array" ref="J222">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v>
      </c>
      <c r="K222" s="107" t="str" cm="1">
        <f t="array" ref="K222">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v>
      </c>
      <c r="L222" s="107" t="str" cm="1">
        <f t="array" ref="L222">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v>
      </c>
    </row>
    <row r="223" spans="3:18" hidden="1" outlineLevel="1" x14ac:dyDescent="0.25">
      <c r="C223" s="39" t="s">
        <v>79</v>
      </c>
      <c r="D223" s="39" t="s">
        <v>491</v>
      </c>
      <c r="E223" s="39" t="s">
        <v>75</v>
      </c>
      <c r="F223" s="39" t="s">
        <v>72</v>
      </c>
      <c r="G223" s="39" t="s">
        <v>89</v>
      </c>
      <c r="H223" s="107" cm="1">
        <f t="array" ref="H223">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3" s="107" cm="1">
        <f t="array" ref="I223">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3" s="107" cm="1">
        <f t="array" ref="J223">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3" s="107" cm="1">
        <f t="array" ref="K223">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3" s="107" cm="1">
        <f t="array" ref="L223">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4" spans="3:18" hidden="1" outlineLevel="1" x14ac:dyDescent="0.25">
      <c r="C224" s="39" t="s">
        <v>79</v>
      </c>
      <c r="D224" s="39" t="s">
        <v>491</v>
      </c>
      <c r="E224" s="39" t="s">
        <v>75</v>
      </c>
      <c r="F224" s="39" t="s">
        <v>73</v>
      </c>
      <c r="G224" s="39" t="s">
        <v>89</v>
      </c>
      <c r="H224" s="107" cm="1">
        <f t="array" ref="H224">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4" s="107" cm="1">
        <f t="array" ref="I224">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4" s="107" cm="1">
        <f t="array" ref="J224">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4" s="107" cm="1">
        <f t="array" ref="K224">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4" s="107" cm="1">
        <f t="array" ref="L224">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5" spans="3:12" hidden="1" outlineLevel="1" x14ac:dyDescent="0.25">
      <c r="C225" s="39" t="s">
        <v>80</v>
      </c>
      <c r="D225" s="39" t="s">
        <v>491</v>
      </c>
      <c r="E225" s="39" t="s">
        <v>75</v>
      </c>
      <c r="F225" s="39" t="s">
        <v>72</v>
      </c>
      <c r="G225" s="39" t="s">
        <v>89</v>
      </c>
      <c r="H225" s="107" cm="1">
        <f t="array" ref="H225">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5" s="107" cm="1">
        <f t="array" ref="I225">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5" s="107" cm="1">
        <f t="array" ref="J225">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5" s="107" cm="1">
        <f t="array" ref="K225">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5" s="107" cm="1">
        <f t="array" ref="L225">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6" spans="3:12" hidden="1" outlineLevel="1" x14ac:dyDescent="0.25">
      <c r="C226" s="39" t="s">
        <v>80</v>
      </c>
      <c r="D226" s="39" t="s">
        <v>491</v>
      </c>
      <c r="E226" s="39" t="s">
        <v>75</v>
      </c>
      <c r="F226" s="39" t="s">
        <v>73</v>
      </c>
      <c r="G226" s="39" t="s">
        <v>89</v>
      </c>
      <c r="H226" s="107" cm="1">
        <f t="array" ref="H226">IFERROR(
IF(OR(
AND(Calc_TUR_ENV_2[[#Headers],[Ausnet]]="Ausnet",Calc_TUR_ENV_2[[#This Row],[Rate type]:[Rate type]]="Single rate"),
AND(Calc_TUR_ENV_2[[#Headers],[Ausnet]]&lt;&gt;"Ausnet",OR(Calc_TUR_ENV_2[[#This Row],[Rate type]:[Rate type]]="Block 1",Calc_TUR_ENV_2[[#This Row],[Rate type]:[Rate type]]="Balance"))),"-",
SUMIFS(Calc_TUV_ENVGroup_2[Ausnet],
Calc_TUV_ENVGroup_2[[Cost item]:[Cost item]],Calc_TUR_ENV_2[[#This Row],[True up]:[True up]],
Calc_TUV_ENVGroup_2[[Cost element]:[Cost element]],Calc_TUR_ENV_2[[#This Row],[Cost element]:[Cost element]])
*
($F$188/$F$189)),"-")</f>
        <v>0</v>
      </c>
      <c r="I226" s="107" cm="1">
        <f t="array" ref="I226">IFERROR(
IF(OR(
AND(Calc_TUR_ENV_2[[#Headers],[Citipower]]="Ausnet",Calc_TUR_ENV_2[[#This Row],[Rate type]:[Rate type]]="Single rate"),
AND(Calc_TUR_ENV_2[[#Headers],[Citipower]]&lt;&gt;"Ausnet",OR(Calc_TUR_ENV_2[[#This Row],[Rate type]:[Rate type]]="Block 1",Calc_TUR_ENV_2[[#This Row],[Rate type]:[Rate type]]="Balance"))),"-",
SUMIFS(Calc_TUV_ENVGroup_2[Citipower],
Calc_TUV_ENVGroup_2[[Cost item]:[Cost item]],Calc_TUR_ENV_2[[#This Row],[True up]:[True up]],
Calc_TUV_ENVGroup_2[[Cost element]:[Cost element]],Calc_TUR_ENV_2[[#This Row],[Cost element]:[Cost element]])
*
($F$188/$F$189)),"-")</f>
        <v>0</v>
      </c>
      <c r="J226" s="107" cm="1">
        <f t="array" ref="J226">IFERROR(
IF(OR(
AND(Calc_TUR_ENV_2[[#Headers],[Jemena]]="Ausnet",Calc_TUR_ENV_2[[#This Row],[Rate type]:[Rate type]]="Single rate"),
AND(Calc_TUR_ENV_2[[#Headers],[Jemena]]&lt;&gt;"Ausnet",OR(Calc_TUR_ENV_2[[#This Row],[Rate type]:[Rate type]]="Block 1",Calc_TUR_ENV_2[[#This Row],[Rate type]:[Rate type]]="Balance"))),"-",
SUMIFS(Calc_TUV_ENVGroup_2[Jemena],
Calc_TUV_ENVGroup_2[[Cost item]:[Cost item]],Calc_TUR_ENV_2[[#This Row],[True up]:[True up]],
Calc_TUV_ENVGroup_2[[Cost element]:[Cost element]],Calc_TUR_ENV_2[[#This Row],[Cost element]:[Cost element]])
*
($F$188/$F$189)),"-")</f>
        <v>0</v>
      </c>
      <c r="K226" s="107" cm="1">
        <f t="array" ref="K226">IFERROR(
IF(OR(
AND(Calc_TUR_ENV_2[[#Headers],[Powercor]]="Ausnet",Calc_TUR_ENV_2[[#This Row],[Rate type]:[Rate type]]="Single rate"),
AND(Calc_TUR_ENV_2[[#Headers],[Powercor]]&lt;&gt;"Ausnet",OR(Calc_TUR_ENV_2[[#This Row],[Rate type]:[Rate type]]="Block 1",Calc_TUR_ENV_2[[#This Row],[Rate type]:[Rate type]]="Balance"))),"-",
SUMIFS(Calc_TUV_ENVGroup_2[Powercor],
Calc_TUV_ENVGroup_2[[Cost item]:[Cost item]],Calc_TUR_ENV_2[[#This Row],[True up]:[True up]],
Calc_TUV_ENVGroup_2[[Cost element]:[Cost element]],Calc_TUR_ENV_2[[#This Row],[Cost element]:[Cost element]])
*
($F$188/$F$189)),"-")</f>
        <v>0</v>
      </c>
      <c r="L226" s="107" cm="1">
        <f t="array" ref="L226">IFERROR(
IF(OR(
AND(Calc_TUR_ENV_2[[#Headers],[United Energy]]="Ausnet",Calc_TUR_ENV_2[[#This Row],[Rate type]:[Rate type]]="Single rate"),
AND(Calc_TUR_ENV_2[[#Headers],[United Energy]]&lt;&gt;"Ausnet",OR(Calc_TUR_ENV_2[[#This Row],[Rate type]:[Rate type]]="Block 1",Calc_TUR_ENV_2[[#This Row],[Rate type]:[Rate type]]="Balance"))),"-",
SUMIFS(Calc_TUV_ENVGroup_2[United Energy],
Calc_TUV_ENVGroup_2[[Cost item]:[Cost item]],Calc_TUR_ENV_2[[#This Row],[True up]:[True up]],
Calc_TUV_ENVGroup_2[[Cost element]:[Cost element]],Calc_TUR_ENV_2[[#This Row],[Cost element]:[Cost element]])
*
($F$188/$F$189)),"-")</f>
        <v>0</v>
      </c>
    </row>
    <row r="227" spans="3:12" hidden="1" outlineLevel="1" x14ac:dyDescent="0.25"/>
    <row r="228" spans="3:12" ht="15.75" hidden="1" outlineLevel="1" x14ac:dyDescent="0.25">
      <c r="C228" s="20" t="s">
        <v>497</v>
      </c>
    </row>
    <row r="229" spans="3:12" ht="15.75" hidden="1" outlineLevel="1" x14ac:dyDescent="0.25">
      <c r="C229" s="29" t="s">
        <v>478</v>
      </c>
      <c r="D229" s="29" t="s">
        <v>404</v>
      </c>
      <c r="E229" s="29" t="s">
        <v>62</v>
      </c>
      <c r="F229" s="29" t="s">
        <v>63</v>
      </c>
      <c r="G229" s="29" t="s">
        <v>50</v>
      </c>
      <c r="H229" s="32" t="s">
        <v>65</v>
      </c>
      <c r="I229" s="32" t="s">
        <v>66</v>
      </c>
      <c r="J229" s="32" t="s">
        <v>67</v>
      </c>
      <c r="K229" s="32" t="s">
        <v>68</v>
      </c>
      <c r="L229" s="32" t="s">
        <v>69</v>
      </c>
    </row>
    <row r="230" spans="3:12" ht="15.75" hidden="1" outlineLevel="1" x14ac:dyDescent="0.25">
      <c r="C230" s="39" t="s">
        <v>77</v>
      </c>
      <c r="D230" s="39" t="s">
        <v>489</v>
      </c>
      <c r="E230" s="39" t="s">
        <v>75</v>
      </c>
      <c r="F230" s="39" t="s">
        <v>72</v>
      </c>
      <c r="G230" s="39" t="s">
        <v>89</v>
      </c>
      <c r="H230" s="67" t="str">
        <f>IF(H194="-","-",
IF(
ROUND(H194,8)=
ROUND(SUMIFS(Calc_TUV_ENVGroup_2[Ausnet],Calc_TUV_ENVGroup_2[[Cost item]:[Cost item]],$D230,Calc_TUV_ENVGroup_2[[Cost element]:[Cost element]],$G230)*($F$188/$F$189),8),
0,1))</f>
        <v>-</v>
      </c>
      <c r="I230" s="67">
        <f>IF(I194="-","-",
IF(
ROUND(I194,8)=
ROUND(SUMIFS(Calc_TUV_ENVGroup_2[Citipower],Calc_TUV_ENVGroup_2[[Cost item]:[Cost item]],$D230,Calc_TUV_ENVGroup_2[[Cost element]:[Cost element]],$G230)*($F$188/$F$189),8),
0,1))</f>
        <v>0</v>
      </c>
      <c r="J230" s="67">
        <f>IF(J194="-","-",
IF(
ROUND(J194,8)=
ROUND(SUMIFS(Calc_TUV_ENVGroup_2[Jemena],Calc_TUV_ENVGroup_2[[Cost item]:[Cost item]],$D230,Calc_TUV_ENVGroup_2[[Cost element]:[Cost element]],$G230)*($F$188/$F$189),8),
0,1))</f>
        <v>0</v>
      </c>
      <c r="K230" s="67">
        <f>IF(K194="-","-",
IF(
ROUND(K194,8)=
ROUND(SUMIFS(Calc_TUV_ENVGroup_2[Powercor],Calc_TUV_ENVGroup_2[[Cost item]:[Cost item]],$D230,Calc_TUV_ENVGroup_2[[Cost element]:[Cost element]],$G230)*($F$188/$F$189),8),
0,1))</f>
        <v>0</v>
      </c>
      <c r="L230" s="67">
        <f>IF(L194="-","-",
IF(
ROUND(L194,8)=
ROUND(SUMIFS(Calc_TUV_ENVGroup_2[United Energy],Calc_TUV_ENVGroup_2[[Cost item]:[Cost item]],$D230,Calc_TUV_ENVGroup_2[[Cost element]:[Cost element]],$G230)*($F$188/$F$189),8),
0,1))</f>
        <v>0</v>
      </c>
    </row>
    <row r="231" spans="3:12" ht="15.75" hidden="1" outlineLevel="1" x14ac:dyDescent="0.25">
      <c r="C231" s="39" t="s">
        <v>77</v>
      </c>
      <c r="D231" s="39" t="s">
        <v>489</v>
      </c>
      <c r="E231" s="39" t="s">
        <v>75</v>
      </c>
      <c r="F231" s="39" t="s">
        <v>73</v>
      </c>
      <c r="G231" s="39" t="s">
        <v>89</v>
      </c>
      <c r="H231" s="67" t="str">
        <f>IF(H195="-","-",
IF(
ROUND(H195,8)=
ROUND(SUMIFS(Calc_TUV_ENVGroup_2[Ausnet],Calc_TUV_ENVGroup_2[[Cost item]:[Cost item]],$D231,Calc_TUV_ENVGroup_2[[Cost element]:[Cost element]],$G231)*($F$188/$F$189),8),
0,1))</f>
        <v>-</v>
      </c>
      <c r="I231" s="67">
        <f>IF(I195="-","-",
IF(
ROUND(I195,8)=
ROUND(SUMIFS(Calc_TUV_ENVGroup_2[Citipower],Calc_TUV_ENVGroup_2[[Cost item]:[Cost item]],$D231,Calc_TUV_ENVGroup_2[[Cost element]:[Cost element]],$G231)*($F$188/$F$189),8),
0,1))</f>
        <v>0</v>
      </c>
      <c r="J231" s="67">
        <f>IF(J195="-","-",
IF(
ROUND(J195,8)=
ROUND(SUMIFS(Calc_TUV_ENVGroup_2[Jemena],Calc_TUV_ENVGroup_2[[Cost item]:[Cost item]],$D231,Calc_TUV_ENVGroup_2[[Cost element]:[Cost element]],$G231)*($F$188/$F$189),8),
0,1))</f>
        <v>0</v>
      </c>
      <c r="K231" s="67">
        <f>IF(K195="-","-",
IF(
ROUND(K195,8)=
ROUND(SUMIFS(Calc_TUV_ENVGroup_2[Powercor],Calc_TUV_ENVGroup_2[[Cost item]:[Cost item]],$D231,Calc_TUV_ENVGroup_2[[Cost element]:[Cost element]],$G231)*($F$188/$F$189),8),
0,1))</f>
        <v>0</v>
      </c>
      <c r="L231" s="67">
        <f>IF(L195="-","-",
IF(
ROUND(L195,8)=
ROUND(SUMIFS(Calc_TUV_ENVGroup_2[United Energy],Calc_TUV_ENVGroup_2[[Cost item]:[Cost item]],$D231,Calc_TUV_ENVGroup_2[[Cost element]:[Cost element]],$G231)*($F$188/$F$189),8),
0,1))</f>
        <v>0</v>
      </c>
    </row>
    <row r="232" spans="3:12" ht="15.75" hidden="1" outlineLevel="1" x14ac:dyDescent="0.25">
      <c r="C232" s="39" t="s">
        <v>74</v>
      </c>
      <c r="D232" s="39" t="s">
        <v>489</v>
      </c>
      <c r="E232" s="39" t="s">
        <v>75</v>
      </c>
      <c r="F232" s="39" t="s">
        <v>72</v>
      </c>
      <c r="G232" s="39" t="s">
        <v>89</v>
      </c>
      <c r="H232" s="67">
        <f>IF(H196="-","-",
IF(
ROUND(H196,8)=
ROUND(SUMIFS(Calc_TUV_ENVGroup_2[Ausnet],Calc_TUV_ENVGroup_2[[Cost item]:[Cost item]],$D232,Calc_TUV_ENVGroup_2[[Cost element]:[Cost element]],$G232)*($F$188/$F$189),8),
0,1))</f>
        <v>0</v>
      </c>
      <c r="I232" s="67" t="str">
        <f>IF(I196="-","-",
IF(
ROUND(I196,8)=
ROUND(SUMIFS(Calc_TUV_ENVGroup_2[Citipower],Calc_TUV_ENVGroup_2[[Cost item]:[Cost item]],$D232,Calc_TUV_ENVGroup_2[[Cost element]:[Cost element]],$G232)*($F$188/$F$189),8),
0,1))</f>
        <v>-</v>
      </c>
      <c r="J232" s="67" t="str">
        <f>IF(J196="-","-",
IF(
ROUND(J196,8)=
ROUND(SUMIFS(Calc_TUV_ENVGroup_2[Jemena],Calc_TUV_ENVGroup_2[[Cost item]:[Cost item]],$D232,Calc_TUV_ENVGroup_2[[Cost element]:[Cost element]],$G232)*($F$188/$F$189),8),
0,1))</f>
        <v>-</v>
      </c>
      <c r="K232" s="67" t="str">
        <f>IF(K196="-","-",
IF(
ROUND(K196,8)=
ROUND(SUMIFS(Calc_TUV_ENVGroup_2[Powercor],Calc_TUV_ENVGroup_2[[Cost item]:[Cost item]],$D232,Calc_TUV_ENVGroup_2[[Cost element]:[Cost element]],$G232)*($F$188/$F$189),8),
0,1))</f>
        <v>-</v>
      </c>
      <c r="L232" s="67" t="str">
        <f>IF(L196="-","-",
IF(
ROUND(L196,8)=
ROUND(SUMIFS(Calc_TUV_ENVGroup_2[United Energy],Calc_TUV_ENVGroup_2[[Cost item]:[Cost item]],$D232,Calc_TUV_ENVGroup_2[[Cost element]:[Cost element]],$G232)*($F$188/$F$189),8),
0,1))</f>
        <v>-</v>
      </c>
    </row>
    <row r="233" spans="3:12" ht="15.75" hidden="1" outlineLevel="1" x14ac:dyDescent="0.25">
      <c r="C233" s="39" t="s">
        <v>74</v>
      </c>
      <c r="D233" s="39" t="s">
        <v>489</v>
      </c>
      <c r="E233" s="39" t="s">
        <v>75</v>
      </c>
      <c r="F233" s="39" t="s">
        <v>73</v>
      </c>
      <c r="G233" s="39" t="s">
        <v>89</v>
      </c>
      <c r="H233" s="67">
        <f>IF(H197="-","-",
IF(
ROUND(H197,8)=
ROUND(SUMIFS(Calc_TUV_ENVGroup_2[Ausnet],Calc_TUV_ENVGroup_2[[Cost item]:[Cost item]],$D233,Calc_TUV_ENVGroup_2[[Cost element]:[Cost element]],$G233)*($F$188/$F$189),8),
0,1))</f>
        <v>0</v>
      </c>
      <c r="I233" s="67" t="str">
        <f>IF(I197="-","-",
IF(
ROUND(I197,8)=
ROUND(SUMIFS(Calc_TUV_ENVGroup_2[Citipower],Calc_TUV_ENVGroup_2[[Cost item]:[Cost item]],$D233,Calc_TUV_ENVGroup_2[[Cost element]:[Cost element]],$G233)*($F$188/$F$189),8),
0,1))</f>
        <v>-</v>
      </c>
      <c r="J233" s="67" t="str">
        <f>IF(J197="-","-",
IF(
ROUND(J197,8)=
ROUND(SUMIFS(Calc_TUV_ENVGroup_2[Jemena],Calc_TUV_ENVGroup_2[[Cost item]:[Cost item]],$D233,Calc_TUV_ENVGroup_2[[Cost element]:[Cost element]],$G233)*($F$188/$F$189),8),
0,1))</f>
        <v>-</v>
      </c>
      <c r="K233" s="67" t="str">
        <f>IF(K197="-","-",
IF(
ROUND(K197,8)=
ROUND(SUMIFS(Calc_TUV_ENVGroup_2[Powercor],Calc_TUV_ENVGroup_2[[Cost item]:[Cost item]],$D233,Calc_TUV_ENVGroup_2[[Cost element]:[Cost element]],$G233)*($F$188/$F$189),8),
0,1))</f>
        <v>-</v>
      </c>
      <c r="L233" s="67" t="str">
        <f>IF(L197="-","-",
IF(
ROUND(L197,8)=
ROUND(SUMIFS(Calc_TUV_ENVGroup_2[United Energy],Calc_TUV_ENVGroup_2[[Cost item]:[Cost item]],$D233,Calc_TUV_ENVGroup_2[[Cost element]:[Cost element]],$G233)*($F$188/$F$189),8),
0,1))</f>
        <v>-</v>
      </c>
    </row>
    <row r="234" spans="3:12" ht="15.75" hidden="1" outlineLevel="1" x14ac:dyDescent="0.25">
      <c r="C234" s="39" t="s">
        <v>76</v>
      </c>
      <c r="D234" s="39" t="s">
        <v>489</v>
      </c>
      <c r="E234" s="39" t="s">
        <v>75</v>
      </c>
      <c r="F234" s="39" t="s">
        <v>72</v>
      </c>
      <c r="G234" s="39" t="s">
        <v>89</v>
      </c>
      <c r="H234" s="67">
        <f>IF(H198="-","-",
IF(
ROUND(H198,8)=
ROUND(SUMIFS(Calc_TUV_ENVGroup_2[Ausnet],Calc_TUV_ENVGroup_2[[Cost item]:[Cost item]],$D234,Calc_TUV_ENVGroup_2[[Cost element]:[Cost element]],$G234)*($F$188/$F$189),8),
0,1))</f>
        <v>0</v>
      </c>
      <c r="I234" s="67" t="str">
        <f>IF(I198="-","-",
IF(
ROUND(I198,8)=
ROUND(SUMIFS(Calc_TUV_ENVGroup_2[Citipower],Calc_TUV_ENVGroup_2[[Cost item]:[Cost item]],$D234,Calc_TUV_ENVGroup_2[[Cost element]:[Cost element]],$G234)*($F$188/$F$189),8),
0,1))</f>
        <v>-</v>
      </c>
      <c r="J234" s="67" t="str">
        <f>IF(J198="-","-",
IF(
ROUND(J198,8)=
ROUND(SUMIFS(Calc_TUV_ENVGroup_2[Jemena],Calc_TUV_ENVGroup_2[[Cost item]:[Cost item]],$D234,Calc_TUV_ENVGroup_2[[Cost element]:[Cost element]],$G234)*($F$188/$F$189),8),
0,1))</f>
        <v>-</v>
      </c>
      <c r="K234" s="67" t="str">
        <f>IF(K198="-","-",
IF(
ROUND(K198,8)=
ROUND(SUMIFS(Calc_TUV_ENVGroup_2[Powercor],Calc_TUV_ENVGroup_2[[Cost item]:[Cost item]],$D234,Calc_TUV_ENVGroup_2[[Cost element]:[Cost element]],$G234)*($F$188/$F$189),8),
0,1))</f>
        <v>-</v>
      </c>
      <c r="L234" s="67" t="str">
        <f>IF(L198="-","-",
IF(
ROUND(L198,8)=
ROUND(SUMIFS(Calc_TUV_ENVGroup_2[United Energy],Calc_TUV_ENVGroup_2[[Cost item]:[Cost item]],$D234,Calc_TUV_ENVGroup_2[[Cost element]:[Cost element]],$G234)*($F$188/$F$189),8),
0,1))</f>
        <v>-</v>
      </c>
    </row>
    <row r="235" spans="3:12" ht="15.75" hidden="1" outlineLevel="1" x14ac:dyDescent="0.25">
      <c r="C235" s="39" t="s">
        <v>76</v>
      </c>
      <c r="D235" s="39" t="s">
        <v>489</v>
      </c>
      <c r="E235" s="39" t="s">
        <v>75</v>
      </c>
      <c r="F235" s="39" t="s">
        <v>73</v>
      </c>
      <c r="G235" s="39" t="s">
        <v>89</v>
      </c>
      <c r="H235" s="67">
        <f>IF(H199="-","-",
IF(
ROUND(H199,8)=
ROUND(SUMIFS(Calc_TUV_ENVGroup_2[Ausnet],Calc_TUV_ENVGroup_2[[Cost item]:[Cost item]],$D235,Calc_TUV_ENVGroup_2[[Cost element]:[Cost element]],$G235)*($F$188/$F$189),8),
0,1))</f>
        <v>0</v>
      </c>
      <c r="I235" s="67" t="str">
        <f>IF(I199="-","-",
IF(
ROUND(I199,8)=
ROUND(SUMIFS(Calc_TUV_ENVGroup_2[Citipower],Calc_TUV_ENVGroup_2[[Cost item]:[Cost item]],$D235,Calc_TUV_ENVGroup_2[[Cost element]:[Cost element]],$G235)*($F$188/$F$189),8),
0,1))</f>
        <v>-</v>
      </c>
      <c r="J235" s="67" t="str">
        <f>IF(J199="-","-",
IF(
ROUND(J199,8)=
ROUND(SUMIFS(Calc_TUV_ENVGroup_2[Jemena],Calc_TUV_ENVGroup_2[[Cost item]:[Cost item]],$D235,Calc_TUV_ENVGroup_2[[Cost element]:[Cost element]],$G235)*($F$188/$F$189),8),
0,1))</f>
        <v>-</v>
      </c>
      <c r="K235" s="67" t="str">
        <f>IF(K199="-","-",
IF(
ROUND(K199,8)=
ROUND(SUMIFS(Calc_TUV_ENVGroup_2[Powercor],Calc_TUV_ENVGroup_2[[Cost item]:[Cost item]],$D235,Calc_TUV_ENVGroup_2[[Cost element]:[Cost element]],$G235)*($F$188/$F$189),8),
0,1))</f>
        <v>-</v>
      </c>
      <c r="L235" s="67" t="str">
        <f>IF(L199="-","-",
IF(
ROUND(L199,8)=
ROUND(SUMIFS(Calc_TUV_ENVGroup_2[United Energy],Calc_TUV_ENVGroup_2[[Cost item]:[Cost item]],$D235,Calc_TUV_ENVGroup_2[[Cost element]:[Cost element]],$G235)*($F$188/$F$189),8),
0,1))</f>
        <v>-</v>
      </c>
    </row>
    <row r="236" spans="3:12" ht="15.75" hidden="1" outlineLevel="1" x14ac:dyDescent="0.25">
      <c r="C236" s="39" t="s">
        <v>81</v>
      </c>
      <c r="D236" s="39" t="s">
        <v>489</v>
      </c>
      <c r="E236" s="39" t="s">
        <v>75</v>
      </c>
      <c r="F236" s="39" t="s">
        <v>72</v>
      </c>
      <c r="G236" s="39" t="s">
        <v>89</v>
      </c>
      <c r="H236" s="67">
        <f>IF(H200="-","-",
IF(
ROUND(H200,8)=
ROUND(SUMIFS(Calc_TUV_ENVGroup_2[Ausnet],Calc_TUV_ENVGroup_2[[Cost item]:[Cost item]],$D236,Calc_TUV_ENVGroup_2[[Cost element]:[Cost element]],$G236)*($F$188/$F$189),8),
0,1))</f>
        <v>0</v>
      </c>
      <c r="I236" s="67">
        <f>IF(I200="-","-",
IF(
ROUND(I200,8)=
ROUND(SUMIFS(Calc_TUV_ENVGroup_2[Citipower],Calc_TUV_ENVGroup_2[[Cost item]:[Cost item]],$D236,Calc_TUV_ENVGroup_2[[Cost element]:[Cost element]],$G236)*($F$188/$F$189),8),
0,1))</f>
        <v>0</v>
      </c>
      <c r="J236" s="67">
        <f>IF(J200="-","-",
IF(
ROUND(J200,8)=
ROUND(SUMIFS(Calc_TUV_ENVGroup_2[Jemena],Calc_TUV_ENVGroup_2[[Cost item]:[Cost item]],$D236,Calc_TUV_ENVGroup_2[[Cost element]:[Cost element]],$G236)*($F$188/$F$189),8),
0,1))</f>
        <v>0</v>
      </c>
      <c r="K236" s="67">
        <f>IF(K200="-","-",
IF(
ROUND(K200,8)=
ROUND(SUMIFS(Calc_TUV_ENVGroup_2[Powercor],Calc_TUV_ENVGroup_2[[Cost item]:[Cost item]],$D236,Calc_TUV_ENVGroup_2[[Cost element]:[Cost element]],$G236)*($F$188/$F$189),8),
0,1))</f>
        <v>0</v>
      </c>
      <c r="L236" s="67">
        <f>IF(L200="-","-",
IF(
ROUND(L200,8)=
ROUND(SUMIFS(Calc_TUV_ENVGroup_2[United Energy],Calc_TUV_ENVGroup_2[[Cost item]:[Cost item]],$D236,Calc_TUV_ENVGroup_2[[Cost element]:[Cost element]],$G236)*($F$188/$F$189),8),
0,1))</f>
        <v>0</v>
      </c>
    </row>
    <row r="237" spans="3:12" ht="15.75" hidden="1" outlineLevel="1" x14ac:dyDescent="0.25">
      <c r="C237" s="39" t="s">
        <v>79</v>
      </c>
      <c r="D237" s="39" t="s">
        <v>489</v>
      </c>
      <c r="E237" s="39" t="s">
        <v>75</v>
      </c>
      <c r="F237" s="39" t="s">
        <v>72</v>
      </c>
      <c r="G237" s="39" t="s">
        <v>89</v>
      </c>
      <c r="H237" s="67">
        <f>IF(H201="-","-",
IF(
ROUND(H201,8)=
ROUND(SUMIFS(Calc_TUV_ENVGroup_2[Ausnet],Calc_TUV_ENVGroup_2[[Cost item]:[Cost item]],$D237,Calc_TUV_ENVGroup_2[[Cost element]:[Cost element]],$G237)*($F$188/$F$189),8),
0,1))</f>
        <v>0</v>
      </c>
      <c r="I237" s="67">
        <f>IF(I201="-","-",
IF(
ROUND(I201,8)=
ROUND(SUMIFS(Calc_TUV_ENVGroup_2[Citipower],Calc_TUV_ENVGroup_2[[Cost item]:[Cost item]],$D237,Calc_TUV_ENVGroup_2[[Cost element]:[Cost element]],$G237)*($F$188/$F$189),8),
0,1))</f>
        <v>0</v>
      </c>
      <c r="J237" s="67">
        <f>IF(J201="-","-",
IF(
ROUND(J201,8)=
ROUND(SUMIFS(Calc_TUV_ENVGroup_2[Jemena],Calc_TUV_ENVGroup_2[[Cost item]:[Cost item]],$D237,Calc_TUV_ENVGroup_2[[Cost element]:[Cost element]],$G237)*($F$188/$F$189),8),
0,1))</f>
        <v>0</v>
      </c>
      <c r="K237" s="67">
        <f>IF(K201="-","-",
IF(
ROUND(K201,8)=
ROUND(SUMIFS(Calc_TUV_ENVGroup_2[Powercor],Calc_TUV_ENVGroup_2[[Cost item]:[Cost item]],$D237,Calc_TUV_ENVGroup_2[[Cost element]:[Cost element]],$G237)*($F$188/$F$189),8),
0,1))</f>
        <v>0</v>
      </c>
      <c r="L237" s="67">
        <f>IF(L201="-","-",
IF(
ROUND(L201,8)=
ROUND(SUMIFS(Calc_TUV_ENVGroup_2[United Energy],Calc_TUV_ENVGroup_2[[Cost item]:[Cost item]],$D237,Calc_TUV_ENVGroup_2[[Cost element]:[Cost element]],$G237)*($F$188/$F$189),8),
0,1))</f>
        <v>0</v>
      </c>
    </row>
    <row r="238" spans="3:12" ht="15.75" hidden="1" outlineLevel="1" x14ac:dyDescent="0.25">
      <c r="C238" s="39" t="s">
        <v>79</v>
      </c>
      <c r="D238" s="39" t="s">
        <v>489</v>
      </c>
      <c r="E238" s="39" t="s">
        <v>75</v>
      </c>
      <c r="F238" s="39" t="s">
        <v>73</v>
      </c>
      <c r="G238" s="39" t="s">
        <v>89</v>
      </c>
      <c r="H238" s="67">
        <f>IF(H202="-","-",
IF(
ROUND(H202,8)=
ROUND(SUMIFS(Calc_TUV_ENVGroup_2[Ausnet],Calc_TUV_ENVGroup_2[[Cost item]:[Cost item]],$D238,Calc_TUV_ENVGroup_2[[Cost element]:[Cost element]],$G238)*($F$188/$F$189),8),
0,1))</f>
        <v>0</v>
      </c>
      <c r="I238" s="67">
        <f>IF(I202="-","-",
IF(
ROUND(I202,8)=
ROUND(SUMIFS(Calc_TUV_ENVGroup_2[Citipower],Calc_TUV_ENVGroup_2[[Cost item]:[Cost item]],$D238,Calc_TUV_ENVGroup_2[[Cost element]:[Cost element]],$G238)*($F$188/$F$189),8),
0,1))</f>
        <v>0</v>
      </c>
      <c r="J238" s="67">
        <f>IF(J202="-","-",
IF(
ROUND(J202,8)=
ROUND(SUMIFS(Calc_TUV_ENVGroup_2[Jemena],Calc_TUV_ENVGroup_2[[Cost item]:[Cost item]],$D238,Calc_TUV_ENVGroup_2[[Cost element]:[Cost element]],$G238)*($F$188/$F$189),8),
0,1))</f>
        <v>0</v>
      </c>
      <c r="K238" s="67">
        <f>IF(K202="-","-",
IF(
ROUND(K202,8)=
ROUND(SUMIFS(Calc_TUV_ENVGroup_2[Powercor],Calc_TUV_ENVGroup_2[[Cost item]:[Cost item]],$D238,Calc_TUV_ENVGroup_2[[Cost element]:[Cost element]],$G238)*($F$188/$F$189),8),
0,1))</f>
        <v>0</v>
      </c>
      <c r="L238" s="67">
        <f>IF(L202="-","-",
IF(
ROUND(L202,8)=
ROUND(SUMIFS(Calc_TUV_ENVGroup_2[United Energy],Calc_TUV_ENVGroup_2[[Cost item]:[Cost item]],$D238,Calc_TUV_ENVGroup_2[[Cost element]:[Cost element]],$G238)*($F$188/$F$189),8),
0,1))</f>
        <v>0</v>
      </c>
    </row>
    <row r="239" spans="3:12" ht="15.75" hidden="1" outlineLevel="1" x14ac:dyDescent="0.25">
      <c r="C239" s="39" t="s">
        <v>80</v>
      </c>
      <c r="D239" s="39" t="s">
        <v>489</v>
      </c>
      <c r="E239" s="39" t="s">
        <v>75</v>
      </c>
      <c r="F239" s="39" t="s">
        <v>72</v>
      </c>
      <c r="G239" s="39" t="s">
        <v>89</v>
      </c>
      <c r="H239" s="67">
        <f>IF(H203="-","-",
IF(
ROUND(H203,8)=
ROUND(SUMIFS(Calc_TUV_ENVGroup_2[Ausnet],Calc_TUV_ENVGroup_2[[Cost item]:[Cost item]],$D239,Calc_TUV_ENVGroup_2[[Cost element]:[Cost element]],$G239)*($F$188/$F$189),8),
0,1))</f>
        <v>0</v>
      </c>
      <c r="I239" s="67">
        <f>IF(I203="-","-",
IF(
ROUND(I203,8)=
ROUND(SUMIFS(Calc_TUV_ENVGroup_2[Citipower],Calc_TUV_ENVGroup_2[[Cost item]:[Cost item]],$D239,Calc_TUV_ENVGroup_2[[Cost element]:[Cost element]],$G239)*($F$188/$F$189),8),
0,1))</f>
        <v>0</v>
      </c>
      <c r="J239" s="67">
        <f>IF(J203="-","-",
IF(
ROUND(J203,8)=
ROUND(SUMIFS(Calc_TUV_ENVGroup_2[Jemena],Calc_TUV_ENVGroup_2[[Cost item]:[Cost item]],$D239,Calc_TUV_ENVGroup_2[[Cost element]:[Cost element]],$G239)*($F$188/$F$189),8),
0,1))</f>
        <v>0</v>
      </c>
      <c r="K239" s="67">
        <f>IF(K203="-","-",
IF(
ROUND(K203,8)=
ROUND(SUMIFS(Calc_TUV_ENVGroup_2[Powercor],Calc_TUV_ENVGroup_2[[Cost item]:[Cost item]],$D239,Calc_TUV_ENVGroup_2[[Cost element]:[Cost element]],$G239)*($F$188/$F$189),8),
0,1))</f>
        <v>0</v>
      </c>
      <c r="L239" s="67">
        <f>IF(L203="-","-",
IF(
ROUND(L203,8)=
ROUND(SUMIFS(Calc_TUV_ENVGroup_2[United Energy],Calc_TUV_ENVGroup_2[[Cost item]:[Cost item]],$D239,Calc_TUV_ENVGroup_2[[Cost element]:[Cost element]],$G239)*($F$188/$F$189),8),
0,1))</f>
        <v>0</v>
      </c>
    </row>
    <row r="240" spans="3:12" ht="15.75" hidden="1" outlineLevel="1" x14ac:dyDescent="0.25">
      <c r="C240" s="39" t="s">
        <v>80</v>
      </c>
      <c r="D240" s="39" t="s">
        <v>489</v>
      </c>
      <c r="E240" s="39" t="s">
        <v>75</v>
      </c>
      <c r="F240" s="39" t="s">
        <v>73</v>
      </c>
      <c r="G240" s="39" t="s">
        <v>89</v>
      </c>
      <c r="H240" s="67">
        <f>IF(H204="-","-",
IF(
ROUND(H204,8)=
ROUND(SUMIFS(Calc_TUV_ENVGroup_2[Ausnet],Calc_TUV_ENVGroup_2[[Cost item]:[Cost item]],$D240,Calc_TUV_ENVGroup_2[[Cost element]:[Cost element]],$G240)*($F$188/$F$189),8),
0,1))</f>
        <v>0</v>
      </c>
      <c r="I240" s="67">
        <f>IF(I204="-","-",
IF(
ROUND(I204,8)=
ROUND(SUMIFS(Calc_TUV_ENVGroup_2[Citipower],Calc_TUV_ENVGroup_2[[Cost item]:[Cost item]],$D240,Calc_TUV_ENVGroup_2[[Cost element]:[Cost element]],$G240)*($F$188/$F$189),8),
0,1))</f>
        <v>0</v>
      </c>
      <c r="J240" s="67">
        <f>IF(J204="-","-",
IF(
ROUND(J204,8)=
ROUND(SUMIFS(Calc_TUV_ENVGroup_2[Jemena],Calc_TUV_ENVGroup_2[[Cost item]:[Cost item]],$D240,Calc_TUV_ENVGroup_2[[Cost element]:[Cost element]],$G240)*($F$188/$F$189),8),
0,1))</f>
        <v>0</v>
      </c>
      <c r="K240" s="67">
        <f>IF(K204="-","-",
IF(
ROUND(K204,8)=
ROUND(SUMIFS(Calc_TUV_ENVGroup_2[Powercor],Calc_TUV_ENVGroup_2[[Cost item]:[Cost item]],$D240,Calc_TUV_ENVGroup_2[[Cost element]:[Cost element]],$G240)*($F$188/$F$189),8),
0,1))</f>
        <v>0</v>
      </c>
      <c r="L240" s="67">
        <f>IF(L204="-","-",
IF(
ROUND(L204,8)=
ROUND(SUMIFS(Calc_TUV_ENVGroup_2[United Energy],Calc_TUV_ENVGroup_2[[Cost item]:[Cost item]],$D240,Calc_TUV_ENVGroup_2[[Cost element]:[Cost element]],$G240)*($F$188/$F$189),8),
0,1))</f>
        <v>0</v>
      </c>
    </row>
    <row r="241" spans="3:12" ht="15.75" hidden="1" outlineLevel="1" x14ac:dyDescent="0.25">
      <c r="C241" s="39" t="s">
        <v>77</v>
      </c>
      <c r="D241" s="39" t="s">
        <v>490</v>
      </c>
      <c r="E241" s="39" t="s">
        <v>75</v>
      </c>
      <c r="F241" s="39" t="s">
        <v>72</v>
      </c>
      <c r="G241" s="39" t="s">
        <v>89</v>
      </c>
      <c r="H241" s="67" t="str">
        <f>IF(H205="-","-",
IF(
ROUND(H205,8)=
ROUND(SUMIFS(Calc_TUV_ENVGroup_2[Ausnet],Calc_TUV_ENVGroup_2[[Cost item]:[Cost item]],$D241,Calc_TUV_ENVGroup_2[[Cost element]:[Cost element]],$G241)*($F$188/$F$189),8),
0,1))</f>
        <v>-</v>
      </c>
      <c r="I241" s="67">
        <f>IF(I205="-","-",
IF(
ROUND(I205,8)=
ROUND(SUMIFS(Calc_TUV_ENVGroup_2[Citipower],Calc_TUV_ENVGroup_2[[Cost item]:[Cost item]],$D241,Calc_TUV_ENVGroup_2[[Cost element]:[Cost element]],$G241)*($F$188/$F$189),8),
0,1))</f>
        <v>0</v>
      </c>
      <c r="J241" s="67">
        <f>IF(J205="-","-",
IF(
ROUND(J205,8)=
ROUND(SUMIFS(Calc_TUV_ENVGroup_2[Jemena],Calc_TUV_ENVGroup_2[[Cost item]:[Cost item]],$D241,Calc_TUV_ENVGroup_2[[Cost element]:[Cost element]],$G241)*($F$188/$F$189),8),
0,1))</f>
        <v>0</v>
      </c>
      <c r="K241" s="67">
        <f>IF(K205="-","-",
IF(
ROUND(K205,8)=
ROUND(SUMIFS(Calc_TUV_ENVGroup_2[Powercor],Calc_TUV_ENVGroup_2[[Cost item]:[Cost item]],$D241,Calc_TUV_ENVGroup_2[[Cost element]:[Cost element]],$G241)*($F$188/$F$189),8),
0,1))</f>
        <v>0</v>
      </c>
      <c r="L241" s="67">
        <f>IF(L205="-","-",
IF(
ROUND(L205,8)=
ROUND(SUMIFS(Calc_TUV_ENVGroup_2[United Energy],Calc_TUV_ENVGroup_2[[Cost item]:[Cost item]],$D241,Calc_TUV_ENVGroup_2[[Cost element]:[Cost element]],$G241)*($F$188/$F$189),8),
0,1))</f>
        <v>0</v>
      </c>
    </row>
    <row r="242" spans="3:12" ht="15.75" hidden="1" outlineLevel="1" x14ac:dyDescent="0.25">
      <c r="C242" s="39" t="s">
        <v>77</v>
      </c>
      <c r="D242" s="39" t="s">
        <v>490</v>
      </c>
      <c r="E242" s="39" t="s">
        <v>75</v>
      </c>
      <c r="F242" s="39" t="s">
        <v>73</v>
      </c>
      <c r="G242" s="39" t="s">
        <v>89</v>
      </c>
      <c r="H242" s="67" t="str">
        <f>IF(H206="-","-",
IF(
ROUND(H206,8)=
ROUND(SUMIFS(Calc_TUV_ENVGroup_2[Ausnet],Calc_TUV_ENVGroup_2[[Cost item]:[Cost item]],$D242,Calc_TUV_ENVGroup_2[[Cost element]:[Cost element]],$G242)*($F$188/$F$189),8),
0,1))</f>
        <v>-</v>
      </c>
      <c r="I242" s="67">
        <f>IF(I206="-","-",
IF(
ROUND(I206,8)=
ROUND(SUMIFS(Calc_TUV_ENVGroup_2[Citipower],Calc_TUV_ENVGroup_2[[Cost item]:[Cost item]],$D242,Calc_TUV_ENVGroup_2[[Cost element]:[Cost element]],$G242)*($F$188/$F$189),8),
0,1))</f>
        <v>0</v>
      </c>
      <c r="J242" s="67">
        <f>IF(J206="-","-",
IF(
ROUND(J206,8)=
ROUND(SUMIFS(Calc_TUV_ENVGroup_2[Jemena],Calc_TUV_ENVGroup_2[[Cost item]:[Cost item]],$D242,Calc_TUV_ENVGroup_2[[Cost element]:[Cost element]],$G242)*($F$188/$F$189),8),
0,1))</f>
        <v>0</v>
      </c>
      <c r="K242" s="67">
        <f>IF(K206="-","-",
IF(
ROUND(K206,8)=
ROUND(SUMIFS(Calc_TUV_ENVGroup_2[Powercor],Calc_TUV_ENVGroup_2[[Cost item]:[Cost item]],$D242,Calc_TUV_ENVGroup_2[[Cost element]:[Cost element]],$G242)*($F$188/$F$189),8),
0,1))</f>
        <v>0</v>
      </c>
      <c r="L242" s="67">
        <f>IF(L206="-","-",
IF(
ROUND(L206,8)=
ROUND(SUMIFS(Calc_TUV_ENVGroup_2[United Energy],Calc_TUV_ENVGroup_2[[Cost item]:[Cost item]],$D242,Calc_TUV_ENVGroup_2[[Cost element]:[Cost element]],$G242)*($F$188/$F$189),8),
0,1))</f>
        <v>0</v>
      </c>
    </row>
    <row r="243" spans="3:12" ht="15.75" hidden="1" outlineLevel="1" x14ac:dyDescent="0.25">
      <c r="C243" s="39" t="s">
        <v>74</v>
      </c>
      <c r="D243" s="39" t="s">
        <v>490</v>
      </c>
      <c r="E243" s="39" t="s">
        <v>75</v>
      </c>
      <c r="F243" s="39" t="s">
        <v>72</v>
      </c>
      <c r="G243" s="39" t="s">
        <v>89</v>
      </c>
      <c r="H243" s="67">
        <f>IF(H207="-","-",
IF(
ROUND(H207,8)=
ROUND(SUMIFS(Calc_TUV_ENVGroup_2[Ausnet],Calc_TUV_ENVGroup_2[[Cost item]:[Cost item]],$D243,Calc_TUV_ENVGroup_2[[Cost element]:[Cost element]],$G243)*($F$188/$F$189),8),
0,1))</f>
        <v>0</v>
      </c>
      <c r="I243" s="67" t="str">
        <f>IF(I207="-","-",
IF(
ROUND(I207,8)=
ROUND(SUMIFS(Calc_TUV_ENVGroup_2[Citipower],Calc_TUV_ENVGroup_2[[Cost item]:[Cost item]],$D243,Calc_TUV_ENVGroup_2[[Cost element]:[Cost element]],$G243)*($F$188/$F$189),8),
0,1))</f>
        <v>-</v>
      </c>
      <c r="J243" s="67" t="str">
        <f>IF(J207="-","-",
IF(
ROUND(J207,8)=
ROUND(SUMIFS(Calc_TUV_ENVGroup_2[Jemena],Calc_TUV_ENVGroup_2[[Cost item]:[Cost item]],$D243,Calc_TUV_ENVGroup_2[[Cost element]:[Cost element]],$G243)*($F$188/$F$189),8),
0,1))</f>
        <v>-</v>
      </c>
      <c r="K243" s="67" t="str">
        <f>IF(K207="-","-",
IF(
ROUND(K207,8)=
ROUND(SUMIFS(Calc_TUV_ENVGroup_2[Powercor],Calc_TUV_ENVGroup_2[[Cost item]:[Cost item]],$D243,Calc_TUV_ENVGroup_2[[Cost element]:[Cost element]],$G243)*($F$188/$F$189),8),
0,1))</f>
        <v>-</v>
      </c>
      <c r="L243" s="67" t="str">
        <f>IF(L207="-","-",
IF(
ROUND(L207,8)=
ROUND(SUMIFS(Calc_TUV_ENVGroup_2[United Energy],Calc_TUV_ENVGroup_2[[Cost item]:[Cost item]],$D243,Calc_TUV_ENVGroup_2[[Cost element]:[Cost element]],$G243)*($F$188/$F$189),8),
0,1))</f>
        <v>-</v>
      </c>
    </row>
    <row r="244" spans="3:12" ht="15.75" hidden="1" outlineLevel="1" x14ac:dyDescent="0.25">
      <c r="C244" s="39" t="s">
        <v>74</v>
      </c>
      <c r="D244" s="39" t="s">
        <v>490</v>
      </c>
      <c r="E244" s="39" t="s">
        <v>75</v>
      </c>
      <c r="F244" s="39" t="s">
        <v>73</v>
      </c>
      <c r="G244" s="39" t="s">
        <v>89</v>
      </c>
      <c r="H244" s="67">
        <f>IF(H208="-","-",
IF(
ROUND(H208,8)=
ROUND(SUMIFS(Calc_TUV_ENVGroup_2[Ausnet],Calc_TUV_ENVGroup_2[[Cost item]:[Cost item]],$D244,Calc_TUV_ENVGroup_2[[Cost element]:[Cost element]],$G244)*($F$188/$F$189),8),
0,1))</f>
        <v>0</v>
      </c>
      <c r="I244" s="67" t="str">
        <f>IF(I208="-","-",
IF(
ROUND(I208,8)=
ROUND(SUMIFS(Calc_TUV_ENVGroup_2[Citipower],Calc_TUV_ENVGroup_2[[Cost item]:[Cost item]],$D244,Calc_TUV_ENVGroup_2[[Cost element]:[Cost element]],$G244)*($F$188/$F$189),8),
0,1))</f>
        <v>-</v>
      </c>
      <c r="J244" s="67" t="str">
        <f>IF(J208="-","-",
IF(
ROUND(J208,8)=
ROUND(SUMIFS(Calc_TUV_ENVGroup_2[Jemena],Calc_TUV_ENVGroup_2[[Cost item]:[Cost item]],$D244,Calc_TUV_ENVGroup_2[[Cost element]:[Cost element]],$G244)*($F$188/$F$189),8),
0,1))</f>
        <v>-</v>
      </c>
      <c r="K244" s="67" t="str">
        <f>IF(K208="-","-",
IF(
ROUND(K208,8)=
ROUND(SUMIFS(Calc_TUV_ENVGroup_2[Powercor],Calc_TUV_ENVGroup_2[[Cost item]:[Cost item]],$D244,Calc_TUV_ENVGroup_2[[Cost element]:[Cost element]],$G244)*($F$188/$F$189),8),
0,1))</f>
        <v>-</v>
      </c>
      <c r="L244" s="67" t="str">
        <f>IF(L208="-","-",
IF(
ROUND(L208,8)=
ROUND(SUMIFS(Calc_TUV_ENVGroup_2[United Energy],Calc_TUV_ENVGroup_2[[Cost item]:[Cost item]],$D244,Calc_TUV_ENVGroup_2[[Cost element]:[Cost element]],$G244)*($F$188/$F$189),8),
0,1))</f>
        <v>-</v>
      </c>
    </row>
    <row r="245" spans="3:12" ht="15.75" hidden="1" outlineLevel="1" x14ac:dyDescent="0.25">
      <c r="C245" s="39" t="s">
        <v>76</v>
      </c>
      <c r="D245" s="39" t="s">
        <v>490</v>
      </c>
      <c r="E245" s="39" t="s">
        <v>75</v>
      </c>
      <c r="F245" s="39" t="s">
        <v>72</v>
      </c>
      <c r="G245" s="39" t="s">
        <v>89</v>
      </c>
      <c r="H245" s="67">
        <f>IF(H209="-","-",
IF(
ROUND(H209,8)=
ROUND(SUMIFS(Calc_TUV_ENVGroup_2[Ausnet],Calc_TUV_ENVGroup_2[[Cost item]:[Cost item]],$D245,Calc_TUV_ENVGroup_2[[Cost element]:[Cost element]],$G245)*($F$188/$F$189),8),
0,1))</f>
        <v>0</v>
      </c>
      <c r="I245" s="67" t="str">
        <f>IF(I209="-","-",
IF(
ROUND(I209,8)=
ROUND(SUMIFS(Calc_TUV_ENVGroup_2[Citipower],Calc_TUV_ENVGroup_2[[Cost item]:[Cost item]],$D245,Calc_TUV_ENVGroup_2[[Cost element]:[Cost element]],$G245)*($F$188/$F$189),8),
0,1))</f>
        <v>-</v>
      </c>
      <c r="J245" s="67" t="str">
        <f>IF(J209="-","-",
IF(
ROUND(J209,8)=
ROUND(SUMIFS(Calc_TUV_ENVGroup_2[Jemena],Calc_TUV_ENVGroup_2[[Cost item]:[Cost item]],$D245,Calc_TUV_ENVGroup_2[[Cost element]:[Cost element]],$G245)*($F$188/$F$189),8),
0,1))</f>
        <v>-</v>
      </c>
      <c r="K245" s="67" t="str">
        <f>IF(K209="-","-",
IF(
ROUND(K209,8)=
ROUND(SUMIFS(Calc_TUV_ENVGroup_2[Powercor],Calc_TUV_ENVGroup_2[[Cost item]:[Cost item]],$D245,Calc_TUV_ENVGroup_2[[Cost element]:[Cost element]],$G245)*($F$188/$F$189),8),
0,1))</f>
        <v>-</v>
      </c>
      <c r="L245" s="67" t="str">
        <f>IF(L209="-","-",
IF(
ROUND(L209,8)=
ROUND(SUMIFS(Calc_TUV_ENVGroup_2[United Energy],Calc_TUV_ENVGroup_2[[Cost item]:[Cost item]],$D245,Calc_TUV_ENVGroup_2[[Cost element]:[Cost element]],$G245)*($F$188/$F$189),8),
0,1))</f>
        <v>-</v>
      </c>
    </row>
    <row r="246" spans="3:12" ht="15.75" hidden="1" outlineLevel="1" x14ac:dyDescent="0.25">
      <c r="C246" s="39" t="s">
        <v>76</v>
      </c>
      <c r="D246" s="39" t="s">
        <v>490</v>
      </c>
      <c r="E246" s="39" t="s">
        <v>75</v>
      </c>
      <c r="F246" s="39" t="s">
        <v>73</v>
      </c>
      <c r="G246" s="39" t="s">
        <v>89</v>
      </c>
      <c r="H246" s="67">
        <f>IF(H210="-","-",
IF(
ROUND(H210,8)=
ROUND(SUMIFS(Calc_TUV_ENVGroup_2[Ausnet],Calc_TUV_ENVGroup_2[[Cost item]:[Cost item]],$D246,Calc_TUV_ENVGroup_2[[Cost element]:[Cost element]],$G246)*($F$188/$F$189),8),
0,1))</f>
        <v>0</v>
      </c>
      <c r="I246" s="67" t="str">
        <f>IF(I210="-","-",
IF(
ROUND(I210,8)=
ROUND(SUMIFS(Calc_TUV_ENVGroup_2[Citipower],Calc_TUV_ENVGroup_2[[Cost item]:[Cost item]],$D246,Calc_TUV_ENVGroup_2[[Cost element]:[Cost element]],$G246)*($F$188/$F$189),8),
0,1))</f>
        <v>-</v>
      </c>
      <c r="J246" s="67" t="str">
        <f>IF(J210="-","-",
IF(
ROUND(J210,8)=
ROUND(SUMIFS(Calc_TUV_ENVGroup_2[Jemena],Calc_TUV_ENVGroup_2[[Cost item]:[Cost item]],$D246,Calc_TUV_ENVGroup_2[[Cost element]:[Cost element]],$G246)*($F$188/$F$189),8),
0,1))</f>
        <v>-</v>
      </c>
      <c r="K246" s="67" t="str">
        <f>IF(K210="-","-",
IF(
ROUND(K210,8)=
ROUND(SUMIFS(Calc_TUV_ENVGroup_2[Powercor],Calc_TUV_ENVGroup_2[[Cost item]:[Cost item]],$D246,Calc_TUV_ENVGroup_2[[Cost element]:[Cost element]],$G246)*($F$188/$F$189),8),
0,1))</f>
        <v>-</v>
      </c>
      <c r="L246" s="67" t="str">
        <f>IF(L210="-","-",
IF(
ROUND(L210,8)=
ROUND(SUMIFS(Calc_TUV_ENVGroup_2[United Energy],Calc_TUV_ENVGroup_2[[Cost item]:[Cost item]],$D246,Calc_TUV_ENVGroup_2[[Cost element]:[Cost element]],$G246)*($F$188/$F$189),8),
0,1))</f>
        <v>-</v>
      </c>
    </row>
    <row r="247" spans="3:12" ht="15.75" hidden="1" outlineLevel="1" x14ac:dyDescent="0.25">
      <c r="C247" s="39" t="s">
        <v>81</v>
      </c>
      <c r="D247" s="39" t="s">
        <v>490</v>
      </c>
      <c r="E247" s="39" t="s">
        <v>75</v>
      </c>
      <c r="F247" s="39" t="s">
        <v>72</v>
      </c>
      <c r="G247" s="39" t="s">
        <v>89</v>
      </c>
      <c r="H247" s="67">
        <f>IF(H211="-","-",
IF(
ROUND(H211,8)=
ROUND(SUMIFS(Calc_TUV_ENVGroup_2[Ausnet],Calc_TUV_ENVGroup_2[[Cost item]:[Cost item]],$D247,Calc_TUV_ENVGroup_2[[Cost element]:[Cost element]],$G247)*($F$188/$F$189),8),
0,1))</f>
        <v>0</v>
      </c>
      <c r="I247" s="67">
        <f>IF(I211="-","-",
IF(
ROUND(I211,8)=
ROUND(SUMIFS(Calc_TUV_ENVGroup_2[Citipower],Calc_TUV_ENVGroup_2[[Cost item]:[Cost item]],$D247,Calc_TUV_ENVGroup_2[[Cost element]:[Cost element]],$G247)*($F$188/$F$189),8),
0,1))</f>
        <v>0</v>
      </c>
      <c r="J247" s="67">
        <f>IF(J211="-","-",
IF(
ROUND(J211,8)=
ROUND(SUMIFS(Calc_TUV_ENVGroup_2[Jemena],Calc_TUV_ENVGroup_2[[Cost item]:[Cost item]],$D247,Calc_TUV_ENVGroup_2[[Cost element]:[Cost element]],$G247)*($F$188/$F$189),8),
0,1))</f>
        <v>0</v>
      </c>
      <c r="K247" s="67">
        <f>IF(K211="-","-",
IF(
ROUND(K211,8)=
ROUND(SUMIFS(Calc_TUV_ENVGroup_2[Powercor],Calc_TUV_ENVGroup_2[[Cost item]:[Cost item]],$D247,Calc_TUV_ENVGroup_2[[Cost element]:[Cost element]],$G247)*($F$188/$F$189),8),
0,1))</f>
        <v>0</v>
      </c>
      <c r="L247" s="67">
        <f>IF(L211="-","-",
IF(
ROUND(L211,8)=
ROUND(SUMIFS(Calc_TUV_ENVGroup_2[United Energy],Calc_TUV_ENVGroup_2[[Cost item]:[Cost item]],$D247,Calc_TUV_ENVGroup_2[[Cost element]:[Cost element]],$G247)*($F$188/$F$189),8),
0,1))</f>
        <v>0</v>
      </c>
    </row>
    <row r="248" spans="3:12" ht="15.75" hidden="1" outlineLevel="1" x14ac:dyDescent="0.25">
      <c r="C248" s="39" t="s">
        <v>79</v>
      </c>
      <c r="D248" s="39" t="s">
        <v>490</v>
      </c>
      <c r="E248" s="39" t="s">
        <v>75</v>
      </c>
      <c r="F248" s="39" t="s">
        <v>72</v>
      </c>
      <c r="G248" s="39" t="s">
        <v>89</v>
      </c>
      <c r="H248" s="67">
        <f>IF(H212="-","-",
IF(
ROUND(H212,8)=
ROUND(SUMIFS(Calc_TUV_ENVGroup_2[Ausnet],Calc_TUV_ENVGroup_2[[Cost item]:[Cost item]],$D248,Calc_TUV_ENVGroup_2[[Cost element]:[Cost element]],$G248)*($F$188/$F$189),8),
0,1))</f>
        <v>0</v>
      </c>
      <c r="I248" s="67">
        <f>IF(I212="-","-",
IF(
ROUND(I212,8)=
ROUND(SUMIFS(Calc_TUV_ENVGroup_2[Citipower],Calc_TUV_ENVGroup_2[[Cost item]:[Cost item]],$D248,Calc_TUV_ENVGroup_2[[Cost element]:[Cost element]],$G248)*($F$188/$F$189),8),
0,1))</f>
        <v>0</v>
      </c>
      <c r="J248" s="67">
        <f>IF(J212="-","-",
IF(
ROUND(J212,8)=
ROUND(SUMIFS(Calc_TUV_ENVGroup_2[Jemena],Calc_TUV_ENVGroup_2[[Cost item]:[Cost item]],$D248,Calc_TUV_ENVGroup_2[[Cost element]:[Cost element]],$G248)*($F$188/$F$189),8),
0,1))</f>
        <v>0</v>
      </c>
      <c r="K248" s="67">
        <f>IF(K212="-","-",
IF(
ROUND(K212,8)=
ROUND(SUMIFS(Calc_TUV_ENVGroup_2[Powercor],Calc_TUV_ENVGroup_2[[Cost item]:[Cost item]],$D248,Calc_TUV_ENVGroup_2[[Cost element]:[Cost element]],$G248)*($F$188/$F$189),8),
0,1))</f>
        <v>0</v>
      </c>
      <c r="L248" s="67">
        <f>IF(L212="-","-",
IF(
ROUND(L212,8)=
ROUND(SUMIFS(Calc_TUV_ENVGroup_2[United Energy],Calc_TUV_ENVGroup_2[[Cost item]:[Cost item]],$D248,Calc_TUV_ENVGroup_2[[Cost element]:[Cost element]],$G248)*($F$188/$F$189),8),
0,1))</f>
        <v>0</v>
      </c>
    </row>
    <row r="249" spans="3:12" ht="15.75" hidden="1" outlineLevel="1" x14ac:dyDescent="0.25">
      <c r="C249" s="39" t="s">
        <v>79</v>
      </c>
      <c r="D249" s="39" t="s">
        <v>490</v>
      </c>
      <c r="E249" s="39" t="s">
        <v>75</v>
      </c>
      <c r="F249" s="39" t="s">
        <v>73</v>
      </c>
      <c r="G249" s="39" t="s">
        <v>89</v>
      </c>
      <c r="H249" s="67">
        <f>IF(H213="-","-",
IF(
ROUND(H213,8)=
ROUND(SUMIFS(Calc_TUV_ENVGroup_2[Ausnet],Calc_TUV_ENVGroup_2[[Cost item]:[Cost item]],$D249,Calc_TUV_ENVGroup_2[[Cost element]:[Cost element]],$G249)*($F$188/$F$189),8),
0,1))</f>
        <v>0</v>
      </c>
      <c r="I249" s="67">
        <f>IF(I213="-","-",
IF(
ROUND(I213,8)=
ROUND(SUMIFS(Calc_TUV_ENVGroup_2[Citipower],Calc_TUV_ENVGroup_2[[Cost item]:[Cost item]],$D249,Calc_TUV_ENVGroup_2[[Cost element]:[Cost element]],$G249)*($F$188/$F$189),8),
0,1))</f>
        <v>0</v>
      </c>
      <c r="J249" s="67">
        <f>IF(J213="-","-",
IF(
ROUND(J213,8)=
ROUND(SUMIFS(Calc_TUV_ENVGroup_2[Jemena],Calc_TUV_ENVGroup_2[[Cost item]:[Cost item]],$D249,Calc_TUV_ENVGroup_2[[Cost element]:[Cost element]],$G249)*($F$188/$F$189),8),
0,1))</f>
        <v>0</v>
      </c>
      <c r="K249" s="67">
        <f>IF(K213="-","-",
IF(
ROUND(K213,8)=
ROUND(SUMIFS(Calc_TUV_ENVGroup_2[Powercor],Calc_TUV_ENVGroup_2[[Cost item]:[Cost item]],$D249,Calc_TUV_ENVGroup_2[[Cost element]:[Cost element]],$G249)*($F$188/$F$189),8),
0,1))</f>
        <v>0</v>
      </c>
      <c r="L249" s="67">
        <f>IF(L213="-","-",
IF(
ROUND(L213,8)=
ROUND(SUMIFS(Calc_TUV_ENVGroup_2[United Energy],Calc_TUV_ENVGroup_2[[Cost item]:[Cost item]],$D249,Calc_TUV_ENVGroup_2[[Cost element]:[Cost element]],$G249)*($F$188/$F$189),8),
0,1))</f>
        <v>0</v>
      </c>
    </row>
    <row r="250" spans="3:12" ht="15.75" hidden="1" outlineLevel="1" x14ac:dyDescent="0.25">
      <c r="C250" s="39" t="s">
        <v>80</v>
      </c>
      <c r="D250" s="39" t="s">
        <v>490</v>
      </c>
      <c r="E250" s="39" t="s">
        <v>75</v>
      </c>
      <c r="F250" s="39" t="s">
        <v>72</v>
      </c>
      <c r="G250" s="39" t="s">
        <v>89</v>
      </c>
      <c r="H250" s="67">
        <f>IF(H214="-","-",
IF(
ROUND(H214,8)=
ROUND(SUMIFS(Calc_TUV_ENVGroup_2[Ausnet],Calc_TUV_ENVGroup_2[[Cost item]:[Cost item]],$D250,Calc_TUV_ENVGroup_2[[Cost element]:[Cost element]],$G250)*($F$188/$F$189),8),
0,1))</f>
        <v>0</v>
      </c>
      <c r="I250" s="67">
        <f>IF(I214="-","-",
IF(
ROUND(I214,8)=
ROUND(SUMIFS(Calc_TUV_ENVGroup_2[Citipower],Calc_TUV_ENVGroup_2[[Cost item]:[Cost item]],$D250,Calc_TUV_ENVGroup_2[[Cost element]:[Cost element]],$G250)*($F$188/$F$189),8),
0,1))</f>
        <v>0</v>
      </c>
      <c r="J250" s="67">
        <f>IF(J214="-","-",
IF(
ROUND(J214,8)=
ROUND(SUMIFS(Calc_TUV_ENVGroup_2[Jemena],Calc_TUV_ENVGroup_2[[Cost item]:[Cost item]],$D250,Calc_TUV_ENVGroup_2[[Cost element]:[Cost element]],$G250)*($F$188/$F$189),8),
0,1))</f>
        <v>0</v>
      </c>
      <c r="K250" s="67">
        <f>IF(K214="-","-",
IF(
ROUND(K214,8)=
ROUND(SUMIFS(Calc_TUV_ENVGroup_2[Powercor],Calc_TUV_ENVGroup_2[[Cost item]:[Cost item]],$D250,Calc_TUV_ENVGroup_2[[Cost element]:[Cost element]],$G250)*($F$188/$F$189),8),
0,1))</f>
        <v>0</v>
      </c>
      <c r="L250" s="67">
        <f>IF(L214="-","-",
IF(
ROUND(L214,8)=
ROUND(SUMIFS(Calc_TUV_ENVGroup_2[United Energy],Calc_TUV_ENVGroup_2[[Cost item]:[Cost item]],$D250,Calc_TUV_ENVGroup_2[[Cost element]:[Cost element]],$G250)*($F$188/$F$189),8),
0,1))</f>
        <v>0</v>
      </c>
    </row>
    <row r="251" spans="3:12" ht="15.75" hidden="1" outlineLevel="1" x14ac:dyDescent="0.25">
      <c r="C251" s="39" t="s">
        <v>80</v>
      </c>
      <c r="D251" s="39" t="s">
        <v>490</v>
      </c>
      <c r="E251" s="39" t="s">
        <v>75</v>
      </c>
      <c r="F251" s="39" t="s">
        <v>73</v>
      </c>
      <c r="G251" s="39" t="s">
        <v>89</v>
      </c>
      <c r="H251" s="67">
        <f>IF(H215="-","-",
IF(
ROUND(H215,8)=
ROUND(SUMIFS(Calc_TUV_ENVGroup_2[Ausnet],Calc_TUV_ENVGroup_2[[Cost item]:[Cost item]],$D251,Calc_TUV_ENVGroup_2[[Cost element]:[Cost element]],$G251)*($F$188/$F$189),8),
0,1))</f>
        <v>0</v>
      </c>
      <c r="I251" s="67">
        <f>IF(I215="-","-",
IF(
ROUND(I215,8)=
ROUND(SUMIFS(Calc_TUV_ENVGroup_2[Citipower],Calc_TUV_ENVGroup_2[[Cost item]:[Cost item]],$D251,Calc_TUV_ENVGroup_2[[Cost element]:[Cost element]],$G251)*($F$188/$F$189),8),
0,1))</f>
        <v>0</v>
      </c>
      <c r="J251" s="67">
        <f>IF(J215="-","-",
IF(
ROUND(J215,8)=
ROUND(SUMIFS(Calc_TUV_ENVGroup_2[Jemena],Calc_TUV_ENVGroup_2[[Cost item]:[Cost item]],$D251,Calc_TUV_ENVGroup_2[[Cost element]:[Cost element]],$G251)*($F$188/$F$189),8),
0,1))</f>
        <v>0</v>
      </c>
      <c r="K251" s="67">
        <f>IF(K215="-","-",
IF(
ROUND(K215,8)=
ROUND(SUMIFS(Calc_TUV_ENVGroup_2[Powercor],Calc_TUV_ENVGroup_2[[Cost item]:[Cost item]],$D251,Calc_TUV_ENVGroup_2[[Cost element]:[Cost element]],$G251)*($F$188/$F$189),8),
0,1))</f>
        <v>0</v>
      </c>
      <c r="L251" s="67">
        <f>IF(L215="-","-",
IF(
ROUND(L215,8)=
ROUND(SUMIFS(Calc_TUV_ENVGroup_2[United Energy],Calc_TUV_ENVGroup_2[[Cost item]:[Cost item]],$D251,Calc_TUV_ENVGroup_2[[Cost element]:[Cost element]],$G251)*($F$188/$F$189),8),
0,1))</f>
        <v>0</v>
      </c>
    </row>
    <row r="252" spans="3:12" ht="15.75" hidden="1" outlineLevel="1" x14ac:dyDescent="0.25">
      <c r="C252" s="39" t="s">
        <v>77</v>
      </c>
      <c r="D252" s="39" t="s">
        <v>491</v>
      </c>
      <c r="E252" s="39" t="s">
        <v>75</v>
      </c>
      <c r="F252" s="39" t="s">
        <v>72</v>
      </c>
      <c r="G252" s="39" t="s">
        <v>89</v>
      </c>
      <c r="H252" s="67" t="str">
        <f>IF(H216="-","-",
IF(
ROUND(H216,8)=
ROUND(SUMIFS(Calc_TUV_ENVGroup_2[Ausnet],Calc_TUV_ENVGroup_2[[Cost item]:[Cost item]],$D252,Calc_TUV_ENVGroup_2[[Cost element]:[Cost element]],$G252)*($F$188/$F$189),8),
0,1))</f>
        <v>-</v>
      </c>
      <c r="I252" s="67">
        <f>IF(I216="-","-",
IF(
ROUND(I216,8)=
ROUND(SUMIFS(Calc_TUV_ENVGroup_2[Citipower],Calc_TUV_ENVGroup_2[[Cost item]:[Cost item]],$D252,Calc_TUV_ENVGroup_2[[Cost element]:[Cost element]],$G252)*($F$188/$F$189),8),
0,1))</f>
        <v>0</v>
      </c>
      <c r="J252" s="67">
        <f>IF(J216="-","-",
IF(
ROUND(J216,8)=
ROUND(SUMIFS(Calc_TUV_ENVGroup_2[Jemena],Calc_TUV_ENVGroup_2[[Cost item]:[Cost item]],$D252,Calc_TUV_ENVGroup_2[[Cost element]:[Cost element]],$G252)*($F$188/$F$189),8),
0,1))</f>
        <v>0</v>
      </c>
      <c r="K252" s="67">
        <f>IF(K216="-","-",
IF(
ROUND(K216,8)=
ROUND(SUMIFS(Calc_TUV_ENVGroup_2[Powercor],Calc_TUV_ENVGroup_2[[Cost item]:[Cost item]],$D252,Calc_TUV_ENVGroup_2[[Cost element]:[Cost element]],$G252)*($F$188/$F$189),8),
0,1))</f>
        <v>0</v>
      </c>
      <c r="L252" s="67">
        <f>IF(L216="-","-",
IF(
ROUND(L216,8)=
ROUND(SUMIFS(Calc_TUV_ENVGroup_2[United Energy],Calc_TUV_ENVGroup_2[[Cost item]:[Cost item]],$D252,Calc_TUV_ENVGroup_2[[Cost element]:[Cost element]],$G252)*($F$188/$F$189),8),
0,1))</f>
        <v>0</v>
      </c>
    </row>
    <row r="253" spans="3:12" ht="15.75" hidden="1" outlineLevel="1" x14ac:dyDescent="0.25">
      <c r="C253" s="39" t="s">
        <v>77</v>
      </c>
      <c r="D253" s="39" t="s">
        <v>491</v>
      </c>
      <c r="E253" s="39" t="s">
        <v>75</v>
      </c>
      <c r="F253" s="39" t="s">
        <v>73</v>
      </c>
      <c r="G253" s="39" t="s">
        <v>89</v>
      </c>
      <c r="H253" s="67" t="str">
        <f>IF(H217="-","-",
IF(
ROUND(H217,8)=
ROUND(SUMIFS(Calc_TUV_ENVGroup_2[Ausnet],Calc_TUV_ENVGroup_2[[Cost item]:[Cost item]],$D253,Calc_TUV_ENVGroup_2[[Cost element]:[Cost element]],$G253)*($F$188/$F$189),8),
0,1))</f>
        <v>-</v>
      </c>
      <c r="I253" s="67">
        <f>IF(I217="-","-",
IF(
ROUND(I217,8)=
ROUND(SUMIFS(Calc_TUV_ENVGroup_2[Citipower],Calc_TUV_ENVGroup_2[[Cost item]:[Cost item]],$D253,Calc_TUV_ENVGroup_2[[Cost element]:[Cost element]],$G253)*($F$188/$F$189),8),
0,1))</f>
        <v>0</v>
      </c>
      <c r="J253" s="67">
        <f>IF(J217="-","-",
IF(
ROUND(J217,8)=
ROUND(SUMIFS(Calc_TUV_ENVGroup_2[Jemena],Calc_TUV_ENVGroup_2[[Cost item]:[Cost item]],$D253,Calc_TUV_ENVGroup_2[[Cost element]:[Cost element]],$G253)*($F$188/$F$189),8),
0,1))</f>
        <v>0</v>
      </c>
      <c r="K253" s="67">
        <f>IF(K217="-","-",
IF(
ROUND(K217,8)=
ROUND(SUMIFS(Calc_TUV_ENVGroup_2[Powercor],Calc_TUV_ENVGroup_2[[Cost item]:[Cost item]],$D253,Calc_TUV_ENVGroup_2[[Cost element]:[Cost element]],$G253)*($F$188/$F$189),8),
0,1))</f>
        <v>0</v>
      </c>
      <c r="L253" s="67">
        <f>IF(L217="-","-",
IF(
ROUND(L217,8)=
ROUND(SUMIFS(Calc_TUV_ENVGroup_2[United Energy],Calc_TUV_ENVGroup_2[[Cost item]:[Cost item]],$D253,Calc_TUV_ENVGroup_2[[Cost element]:[Cost element]],$G253)*($F$188/$F$189),8),
0,1))</f>
        <v>0</v>
      </c>
    </row>
    <row r="254" spans="3:12" ht="15.75" hidden="1" outlineLevel="1" x14ac:dyDescent="0.25">
      <c r="C254" s="39" t="s">
        <v>74</v>
      </c>
      <c r="D254" s="39" t="s">
        <v>491</v>
      </c>
      <c r="E254" s="39" t="s">
        <v>75</v>
      </c>
      <c r="F254" s="39" t="s">
        <v>72</v>
      </c>
      <c r="G254" s="39" t="s">
        <v>89</v>
      </c>
      <c r="H254" s="67">
        <f>IF(H218="-","-",
IF(
ROUND(H218,8)=
ROUND(SUMIFS(Calc_TUV_ENVGroup_2[Ausnet],Calc_TUV_ENVGroup_2[[Cost item]:[Cost item]],$D254,Calc_TUV_ENVGroup_2[[Cost element]:[Cost element]],$G254)*($F$188/$F$189),8),
0,1))</f>
        <v>0</v>
      </c>
      <c r="I254" s="67" t="str">
        <f>IF(I218="-","-",
IF(
ROUND(I218,8)=
ROUND(SUMIFS(Calc_TUV_ENVGroup_2[Citipower],Calc_TUV_ENVGroup_2[[Cost item]:[Cost item]],$D254,Calc_TUV_ENVGroup_2[[Cost element]:[Cost element]],$G254)*($F$188/$F$189),8),
0,1))</f>
        <v>-</v>
      </c>
      <c r="J254" s="67" t="str">
        <f>IF(J218="-","-",
IF(
ROUND(J218,8)=
ROUND(SUMIFS(Calc_TUV_ENVGroup_2[Jemena],Calc_TUV_ENVGroup_2[[Cost item]:[Cost item]],$D254,Calc_TUV_ENVGroup_2[[Cost element]:[Cost element]],$G254)*($F$188/$F$189),8),
0,1))</f>
        <v>-</v>
      </c>
      <c r="K254" s="67" t="str">
        <f>IF(K218="-","-",
IF(
ROUND(K218,8)=
ROUND(SUMIFS(Calc_TUV_ENVGroup_2[Powercor],Calc_TUV_ENVGroup_2[[Cost item]:[Cost item]],$D254,Calc_TUV_ENVGroup_2[[Cost element]:[Cost element]],$G254)*($F$188/$F$189),8),
0,1))</f>
        <v>-</v>
      </c>
      <c r="L254" s="67" t="str">
        <f>IF(L218="-","-",
IF(
ROUND(L218,8)=
ROUND(SUMIFS(Calc_TUV_ENVGroup_2[United Energy],Calc_TUV_ENVGroup_2[[Cost item]:[Cost item]],$D254,Calc_TUV_ENVGroup_2[[Cost element]:[Cost element]],$G254)*($F$188/$F$189),8),
0,1))</f>
        <v>-</v>
      </c>
    </row>
    <row r="255" spans="3:12" ht="15.75" hidden="1" outlineLevel="1" x14ac:dyDescent="0.25">
      <c r="C255" s="39" t="s">
        <v>74</v>
      </c>
      <c r="D255" s="39" t="s">
        <v>491</v>
      </c>
      <c r="E255" s="39" t="s">
        <v>75</v>
      </c>
      <c r="F255" s="39" t="s">
        <v>73</v>
      </c>
      <c r="G255" s="39" t="s">
        <v>89</v>
      </c>
      <c r="H255" s="67">
        <f>IF(H219="-","-",
IF(
ROUND(H219,8)=
ROUND(SUMIFS(Calc_TUV_ENVGroup_2[Ausnet],Calc_TUV_ENVGroup_2[[Cost item]:[Cost item]],$D255,Calc_TUV_ENVGroup_2[[Cost element]:[Cost element]],$G255)*($F$188/$F$189),8),
0,1))</f>
        <v>0</v>
      </c>
      <c r="I255" s="67" t="str">
        <f>IF(I219="-","-",
IF(
ROUND(I219,8)=
ROUND(SUMIFS(Calc_TUV_ENVGroup_2[Citipower],Calc_TUV_ENVGroup_2[[Cost item]:[Cost item]],$D255,Calc_TUV_ENVGroup_2[[Cost element]:[Cost element]],$G255)*($F$188/$F$189),8),
0,1))</f>
        <v>-</v>
      </c>
      <c r="J255" s="67" t="str">
        <f>IF(J219="-","-",
IF(
ROUND(J219,8)=
ROUND(SUMIFS(Calc_TUV_ENVGroup_2[Jemena],Calc_TUV_ENVGroup_2[[Cost item]:[Cost item]],$D255,Calc_TUV_ENVGroup_2[[Cost element]:[Cost element]],$G255)*($F$188/$F$189),8),
0,1))</f>
        <v>-</v>
      </c>
      <c r="K255" s="67" t="str">
        <f>IF(K219="-","-",
IF(
ROUND(K219,8)=
ROUND(SUMIFS(Calc_TUV_ENVGroup_2[Powercor],Calc_TUV_ENVGroup_2[[Cost item]:[Cost item]],$D255,Calc_TUV_ENVGroup_2[[Cost element]:[Cost element]],$G255)*($F$188/$F$189),8),
0,1))</f>
        <v>-</v>
      </c>
      <c r="L255" s="67" t="str">
        <f>IF(L219="-","-",
IF(
ROUND(L219,8)=
ROUND(SUMIFS(Calc_TUV_ENVGroup_2[United Energy],Calc_TUV_ENVGroup_2[[Cost item]:[Cost item]],$D255,Calc_TUV_ENVGroup_2[[Cost element]:[Cost element]],$G255)*($F$188/$F$189),8),
0,1))</f>
        <v>-</v>
      </c>
    </row>
    <row r="256" spans="3:12" ht="15.75" hidden="1" outlineLevel="1" x14ac:dyDescent="0.25">
      <c r="C256" s="39" t="s">
        <v>81</v>
      </c>
      <c r="D256" s="39" t="s">
        <v>491</v>
      </c>
      <c r="E256" s="39" t="s">
        <v>75</v>
      </c>
      <c r="F256" s="39" t="s">
        <v>72</v>
      </c>
      <c r="G256" s="39" t="s">
        <v>89</v>
      </c>
      <c r="H256" s="67">
        <f>IF(H220="-","-",
IF(
ROUND(H220,8)=
ROUND(SUMIFS(Calc_TUV_ENVGroup_2[Ausnet],Calc_TUV_ENVGroup_2[[Cost item]:[Cost item]],$D256,Calc_TUV_ENVGroup_2[[Cost element]:[Cost element]],$G256)*($F$188/$F$189),8),
0,1))</f>
        <v>0</v>
      </c>
      <c r="I256" s="67">
        <f>IF(I220="-","-",
IF(
ROUND(I220,8)=
ROUND(SUMIFS(Calc_TUV_ENVGroup_2[Citipower],Calc_TUV_ENVGroup_2[[Cost item]:[Cost item]],$D256,Calc_TUV_ENVGroup_2[[Cost element]:[Cost element]],$G256)*($F$188/$F$189),8),
0,1))</f>
        <v>0</v>
      </c>
      <c r="J256" s="67">
        <f>IF(J220="-","-",
IF(
ROUND(J220,8)=
ROUND(SUMIFS(Calc_TUV_ENVGroup_2[Jemena],Calc_TUV_ENVGroup_2[[Cost item]:[Cost item]],$D256,Calc_TUV_ENVGroup_2[[Cost element]:[Cost element]],$G256)*($F$188/$F$189),8),
0,1))</f>
        <v>0</v>
      </c>
      <c r="K256" s="67">
        <f>IF(K220="-","-",
IF(
ROUND(K220,8)=
ROUND(SUMIFS(Calc_TUV_ENVGroup_2[Powercor],Calc_TUV_ENVGroup_2[[Cost item]:[Cost item]],$D256,Calc_TUV_ENVGroup_2[[Cost element]:[Cost element]],$G256)*($F$188/$F$189),8),
0,1))</f>
        <v>0</v>
      </c>
      <c r="L256" s="67">
        <f>IF(L220="-","-",
IF(
ROUND(L220,8)=
ROUND(SUMIFS(Calc_TUV_ENVGroup_2[United Energy],Calc_TUV_ENVGroup_2[[Cost item]:[Cost item]],$D256,Calc_TUV_ENVGroup_2[[Cost element]:[Cost element]],$G256)*($F$188/$F$189),8),
0,1))</f>
        <v>0</v>
      </c>
    </row>
    <row r="257" spans="3:12" ht="15.75" hidden="1" outlineLevel="1" x14ac:dyDescent="0.25">
      <c r="C257" s="39" t="s">
        <v>76</v>
      </c>
      <c r="D257" s="39" t="s">
        <v>491</v>
      </c>
      <c r="E257" s="39" t="s">
        <v>75</v>
      </c>
      <c r="F257" s="39" t="s">
        <v>72</v>
      </c>
      <c r="G257" s="39" t="s">
        <v>89</v>
      </c>
      <c r="H257" s="67">
        <f>IF(H221="-","-",
IF(
ROUND(H221,8)=
ROUND(SUMIFS(Calc_TUV_ENVGroup_2[Ausnet],Calc_TUV_ENVGroup_2[[Cost item]:[Cost item]],$D257,Calc_TUV_ENVGroup_2[[Cost element]:[Cost element]],$G257)*($F$188/$F$189),8),
0,1))</f>
        <v>0</v>
      </c>
      <c r="I257" s="67" t="str">
        <f>IF(I221="-","-",
IF(
ROUND(I221,8)=
ROUND(SUMIFS(Calc_TUV_ENVGroup_2[Citipower],Calc_TUV_ENVGroup_2[[Cost item]:[Cost item]],$D257,Calc_TUV_ENVGroup_2[[Cost element]:[Cost element]],$G257)*($F$188/$F$189),8),
0,1))</f>
        <v>-</v>
      </c>
      <c r="J257" s="67" t="str">
        <f>IF(J221="-","-",
IF(
ROUND(J221,8)=
ROUND(SUMIFS(Calc_TUV_ENVGroup_2[Jemena],Calc_TUV_ENVGroup_2[[Cost item]:[Cost item]],$D257,Calc_TUV_ENVGroup_2[[Cost element]:[Cost element]],$G257)*($F$188/$F$189),8),
0,1))</f>
        <v>-</v>
      </c>
      <c r="K257" s="67" t="str">
        <f>IF(K221="-","-",
IF(
ROUND(K221,8)=
ROUND(SUMIFS(Calc_TUV_ENVGroup_2[Powercor],Calc_TUV_ENVGroup_2[[Cost item]:[Cost item]],$D257,Calc_TUV_ENVGroup_2[[Cost element]:[Cost element]],$G257)*($F$188/$F$189),8),
0,1))</f>
        <v>-</v>
      </c>
      <c r="L257" s="67" t="str">
        <f>IF(L221="-","-",
IF(
ROUND(L221,8)=
ROUND(SUMIFS(Calc_TUV_ENVGroup_2[United Energy],Calc_TUV_ENVGroup_2[[Cost item]:[Cost item]],$D257,Calc_TUV_ENVGroup_2[[Cost element]:[Cost element]],$G257)*($F$188/$F$189),8),
0,1))</f>
        <v>-</v>
      </c>
    </row>
    <row r="258" spans="3:12" ht="15.75" hidden="1" outlineLevel="1" x14ac:dyDescent="0.25">
      <c r="C258" s="39" t="s">
        <v>76</v>
      </c>
      <c r="D258" s="39" t="s">
        <v>491</v>
      </c>
      <c r="E258" s="39" t="s">
        <v>75</v>
      </c>
      <c r="F258" s="39" t="s">
        <v>73</v>
      </c>
      <c r="G258" s="39" t="s">
        <v>89</v>
      </c>
      <c r="H258" s="67">
        <f>IF(H222="-","-",
IF(
ROUND(H222,8)=
ROUND(SUMIFS(Calc_TUV_ENVGroup_2[Ausnet],Calc_TUV_ENVGroup_2[[Cost item]:[Cost item]],$D258,Calc_TUV_ENVGroup_2[[Cost element]:[Cost element]],$G258)*($F$188/$F$189),8),
0,1))</f>
        <v>0</v>
      </c>
      <c r="I258" s="67" t="str">
        <f>IF(I222="-","-",
IF(
ROUND(I222,8)=
ROUND(SUMIFS(Calc_TUV_ENVGroup_2[Citipower],Calc_TUV_ENVGroup_2[[Cost item]:[Cost item]],$D258,Calc_TUV_ENVGroup_2[[Cost element]:[Cost element]],$G258)*($F$188/$F$189),8),
0,1))</f>
        <v>-</v>
      </c>
      <c r="J258" s="67" t="str">
        <f>IF(J222="-","-",
IF(
ROUND(J222,8)=
ROUND(SUMIFS(Calc_TUV_ENVGroup_2[Jemena],Calc_TUV_ENVGroup_2[[Cost item]:[Cost item]],$D258,Calc_TUV_ENVGroup_2[[Cost element]:[Cost element]],$G258)*($F$188/$F$189),8),
0,1))</f>
        <v>-</v>
      </c>
      <c r="K258" s="67" t="str">
        <f>IF(K222="-","-",
IF(
ROUND(K222,8)=
ROUND(SUMIFS(Calc_TUV_ENVGroup_2[Powercor],Calc_TUV_ENVGroup_2[[Cost item]:[Cost item]],$D258,Calc_TUV_ENVGroup_2[[Cost element]:[Cost element]],$G258)*($F$188/$F$189),8),
0,1))</f>
        <v>-</v>
      </c>
      <c r="L258" s="67" t="str">
        <f>IF(L222="-","-",
IF(
ROUND(L222,8)=
ROUND(SUMIFS(Calc_TUV_ENVGroup_2[United Energy],Calc_TUV_ENVGroup_2[[Cost item]:[Cost item]],$D258,Calc_TUV_ENVGroup_2[[Cost element]:[Cost element]],$G258)*($F$188/$F$189),8),
0,1))</f>
        <v>-</v>
      </c>
    </row>
    <row r="259" spans="3:12" ht="15.75" hidden="1" outlineLevel="1" x14ac:dyDescent="0.25">
      <c r="C259" s="39" t="s">
        <v>79</v>
      </c>
      <c r="D259" s="39" t="s">
        <v>491</v>
      </c>
      <c r="E259" s="39" t="s">
        <v>75</v>
      </c>
      <c r="F259" s="39" t="s">
        <v>72</v>
      </c>
      <c r="G259" s="39" t="s">
        <v>89</v>
      </c>
      <c r="H259" s="67">
        <f>IF(H223="-","-",
IF(
ROUND(H223,8)=
ROUND(SUMIFS(Calc_TUV_ENVGroup_2[Ausnet],Calc_TUV_ENVGroup_2[[Cost item]:[Cost item]],$D259,Calc_TUV_ENVGroup_2[[Cost element]:[Cost element]],$G259)*($F$188/$F$189),8),
0,1))</f>
        <v>0</v>
      </c>
      <c r="I259" s="67">
        <f>IF(I223="-","-",
IF(
ROUND(I223,8)=
ROUND(SUMIFS(Calc_TUV_ENVGroup_2[Citipower],Calc_TUV_ENVGroup_2[[Cost item]:[Cost item]],$D259,Calc_TUV_ENVGroup_2[[Cost element]:[Cost element]],$G259)*($F$188/$F$189),8),
0,1))</f>
        <v>0</v>
      </c>
      <c r="J259" s="67">
        <f>IF(J223="-","-",
IF(
ROUND(J223,8)=
ROUND(SUMIFS(Calc_TUV_ENVGroup_2[Jemena],Calc_TUV_ENVGroup_2[[Cost item]:[Cost item]],$D259,Calc_TUV_ENVGroup_2[[Cost element]:[Cost element]],$G259)*($F$188/$F$189),8),
0,1))</f>
        <v>0</v>
      </c>
      <c r="K259" s="67">
        <f>IF(K223="-","-",
IF(
ROUND(K223,8)=
ROUND(SUMIFS(Calc_TUV_ENVGroup_2[Powercor],Calc_TUV_ENVGroup_2[[Cost item]:[Cost item]],$D259,Calc_TUV_ENVGroup_2[[Cost element]:[Cost element]],$G259)*($F$188/$F$189),8),
0,1))</f>
        <v>0</v>
      </c>
      <c r="L259" s="67">
        <f>IF(L223="-","-",
IF(
ROUND(L223,8)=
ROUND(SUMIFS(Calc_TUV_ENVGroup_2[United Energy],Calc_TUV_ENVGroup_2[[Cost item]:[Cost item]],$D259,Calc_TUV_ENVGroup_2[[Cost element]:[Cost element]],$G259)*($F$188/$F$189),8),
0,1))</f>
        <v>0</v>
      </c>
    </row>
    <row r="260" spans="3:12" ht="15.75" hidden="1" outlineLevel="1" x14ac:dyDescent="0.25">
      <c r="C260" s="39" t="s">
        <v>79</v>
      </c>
      <c r="D260" s="39" t="s">
        <v>491</v>
      </c>
      <c r="E260" s="39" t="s">
        <v>75</v>
      </c>
      <c r="F260" s="39" t="s">
        <v>73</v>
      </c>
      <c r="G260" s="39" t="s">
        <v>89</v>
      </c>
      <c r="H260" s="67">
        <f>IF(H224="-","-",
IF(
ROUND(H224,8)=
ROUND(SUMIFS(Calc_TUV_ENVGroup_2[Ausnet],Calc_TUV_ENVGroup_2[[Cost item]:[Cost item]],$D260,Calc_TUV_ENVGroup_2[[Cost element]:[Cost element]],$G260)*($F$188/$F$189),8),
0,1))</f>
        <v>0</v>
      </c>
      <c r="I260" s="67">
        <f>IF(I224="-","-",
IF(
ROUND(I224,8)=
ROUND(SUMIFS(Calc_TUV_ENVGroup_2[Citipower],Calc_TUV_ENVGroup_2[[Cost item]:[Cost item]],$D260,Calc_TUV_ENVGroup_2[[Cost element]:[Cost element]],$G260)*($F$188/$F$189),8),
0,1))</f>
        <v>0</v>
      </c>
      <c r="J260" s="67">
        <f>IF(J224="-","-",
IF(
ROUND(J224,8)=
ROUND(SUMIFS(Calc_TUV_ENVGroup_2[Jemena],Calc_TUV_ENVGroup_2[[Cost item]:[Cost item]],$D260,Calc_TUV_ENVGroup_2[[Cost element]:[Cost element]],$G260)*($F$188/$F$189),8),
0,1))</f>
        <v>0</v>
      </c>
      <c r="K260" s="67">
        <f>IF(K224="-","-",
IF(
ROUND(K224,8)=
ROUND(SUMIFS(Calc_TUV_ENVGroup_2[Powercor],Calc_TUV_ENVGroup_2[[Cost item]:[Cost item]],$D260,Calc_TUV_ENVGroup_2[[Cost element]:[Cost element]],$G260)*($F$188/$F$189),8),
0,1))</f>
        <v>0</v>
      </c>
      <c r="L260" s="67">
        <f>IF(L224="-","-",
IF(
ROUND(L224,8)=
ROUND(SUMIFS(Calc_TUV_ENVGroup_2[United Energy],Calc_TUV_ENVGroup_2[[Cost item]:[Cost item]],$D260,Calc_TUV_ENVGroup_2[[Cost element]:[Cost element]],$G260)*($F$188/$F$189),8),
0,1))</f>
        <v>0</v>
      </c>
    </row>
    <row r="261" spans="3:12" ht="15.75" hidden="1" outlineLevel="1" x14ac:dyDescent="0.25">
      <c r="C261" s="39" t="s">
        <v>80</v>
      </c>
      <c r="D261" s="39" t="s">
        <v>491</v>
      </c>
      <c r="E261" s="39" t="s">
        <v>75</v>
      </c>
      <c r="F261" s="39" t="s">
        <v>72</v>
      </c>
      <c r="G261" s="39" t="s">
        <v>89</v>
      </c>
      <c r="H261" s="67">
        <f>IF(H225="-","-",
IF(
ROUND(H225,8)=
ROUND(SUMIFS(Calc_TUV_ENVGroup_2[Ausnet],Calc_TUV_ENVGroup_2[[Cost item]:[Cost item]],$D261,Calc_TUV_ENVGroup_2[[Cost element]:[Cost element]],$G261)*($F$188/$F$189),8),
0,1))</f>
        <v>0</v>
      </c>
      <c r="I261" s="67">
        <f>IF(I225="-","-",
IF(
ROUND(I225,8)=
ROUND(SUMIFS(Calc_TUV_ENVGroup_2[Citipower],Calc_TUV_ENVGroup_2[[Cost item]:[Cost item]],$D261,Calc_TUV_ENVGroup_2[[Cost element]:[Cost element]],$G261)*($F$188/$F$189),8),
0,1))</f>
        <v>0</v>
      </c>
      <c r="J261" s="67">
        <f>IF(J225="-","-",
IF(
ROUND(J225,8)=
ROUND(SUMIFS(Calc_TUV_ENVGroup_2[Jemena],Calc_TUV_ENVGroup_2[[Cost item]:[Cost item]],$D261,Calc_TUV_ENVGroup_2[[Cost element]:[Cost element]],$G261)*($F$188/$F$189),8),
0,1))</f>
        <v>0</v>
      </c>
      <c r="K261" s="67">
        <f>IF(K225="-","-",
IF(
ROUND(K225,8)=
ROUND(SUMIFS(Calc_TUV_ENVGroup_2[Powercor],Calc_TUV_ENVGroup_2[[Cost item]:[Cost item]],$D261,Calc_TUV_ENVGroup_2[[Cost element]:[Cost element]],$G261)*($F$188/$F$189),8),
0,1))</f>
        <v>0</v>
      </c>
      <c r="L261" s="67">
        <f>IF(L225="-","-",
IF(
ROUND(L225,8)=
ROUND(SUMIFS(Calc_TUV_ENVGroup_2[United Energy],Calc_TUV_ENVGroup_2[[Cost item]:[Cost item]],$D261,Calc_TUV_ENVGroup_2[[Cost element]:[Cost element]],$G261)*($F$188/$F$189),8),
0,1))</f>
        <v>0</v>
      </c>
    </row>
    <row r="262" spans="3:12" ht="15.75" hidden="1" outlineLevel="1" x14ac:dyDescent="0.25">
      <c r="C262" s="39" t="s">
        <v>80</v>
      </c>
      <c r="D262" s="39" t="s">
        <v>491</v>
      </c>
      <c r="E262" s="39" t="s">
        <v>75</v>
      </c>
      <c r="F262" s="39" t="s">
        <v>73</v>
      </c>
      <c r="G262" s="39" t="s">
        <v>89</v>
      </c>
      <c r="H262" s="67">
        <f>IF(H226="-","-",
IF(
ROUND(H226,8)=
ROUND(SUMIFS(Calc_TUV_ENVGroup_2[Ausnet],Calc_TUV_ENVGroup_2[[Cost item]:[Cost item]],$D262,Calc_TUV_ENVGroup_2[[Cost element]:[Cost element]],$G262)*($F$188/$F$189),8),
0,1))</f>
        <v>0</v>
      </c>
      <c r="I262" s="67">
        <f>IF(I226="-","-",
IF(
ROUND(I226,8)=
ROUND(SUMIFS(Calc_TUV_ENVGroup_2[Citipower],Calc_TUV_ENVGroup_2[[Cost item]:[Cost item]],$D262,Calc_TUV_ENVGroup_2[[Cost element]:[Cost element]],$G262)*($F$188/$F$189),8),
0,1))</f>
        <v>0</v>
      </c>
      <c r="J262" s="67">
        <f>IF(J226="-","-",
IF(
ROUND(J226,8)=
ROUND(SUMIFS(Calc_TUV_ENVGroup_2[Jemena],Calc_TUV_ENVGroup_2[[Cost item]:[Cost item]],$D262,Calc_TUV_ENVGroup_2[[Cost element]:[Cost element]],$G262)*($F$188/$F$189),8),
0,1))</f>
        <v>0</v>
      </c>
      <c r="K262" s="67">
        <f>IF(K226="-","-",
IF(
ROUND(K226,8)=
ROUND(SUMIFS(Calc_TUV_ENVGroup_2[Powercor],Calc_TUV_ENVGroup_2[[Cost item]:[Cost item]],$D262,Calc_TUV_ENVGroup_2[[Cost element]:[Cost element]],$G262)*($F$188/$F$189),8),
0,1))</f>
        <v>0</v>
      </c>
      <c r="L262" s="67">
        <f>IF(L226="-","-",
IF(
ROUND(L226,8)=
ROUND(SUMIFS(Calc_TUV_ENVGroup_2[United Energy],Calc_TUV_ENVGroup_2[[Cost item]:[Cost item]],$D262,Calc_TUV_ENVGroup_2[[Cost element]:[Cost element]],$G262)*($F$188/$F$189),8),
0,1))</f>
        <v>0</v>
      </c>
    </row>
    <row r="263" spans="3:12" hidden="1" x14ac:dyDescent="0.25"/>
    <row r="264" spans="3:12" hidden="1" x14ac:dyDescent="0.25">
      <c r="H264" s="54"/>
      <c r="I264" s="54"/>
      <c r="J264" s="54"/>
      <c r="K264" s="54"/>
      <c r="L264" s="54"/>
    </row>
    <row r="267" spans="3:12" x14ac:dyDescent="0.25">
      <c r="H267" s="61"/>
    </row>
  </sheetData>
  <sheetProtection algorithmName="SHA-512" hashValue="A0WnijKlRj+sdcqMyrMt2Vc1nix5THcrGsfFXDQ/nD7dfjYf0l4X4GUhDJOTfl8eQfPxOLdDujNUNJAPHCJqfQ==" saltValue="o15WgIhCPpPncS8MCGDxIw==" spinCount="100000" sheet="1" objects="1" scenarios="1"/>
  <autoFilter ref="C99:L132" xr:uid="{2F386CEB-3301-4A59-8593-A05FFA1D9B81}">
    <sortState xmlns:xlrd2="http://schemas.microsoft.com/office/spreadsheetml/2017/richdata2" ref="C100:L132">
      <sortCondition ref="F99:F132"/>
    </sortState>
  </autoFilter>
  <mergeCells count="1">
    <mergeCell ref="A2:A3"/>
  </mergeCells>
  <phoneticPr fontId="30" type="noConversion"/>
  <hyperlinks>
    <hyperlink ref="B1" location="Contents!A1" display="&lt;&lt; Back to Contents" xr:uid="{2EA2D35A-0E8B-46CD-919D-0A41175B063C}"/>
  </hyperlinks>
  <pageMargins left="0.7" right="0.7" top="0.75" bottom="0.75" header="0.3" footer="0.3"/>
  <pageSetup paperSize="9" orientation="portrait" r:id="rId1"/>
  <headerFooter>
    <oddHeader>&amp;C&amp;B&amp;"Arial"&amp;12&amp;Kff0000​‌OFFICIAL‌​</oddHeader>
  </headerFooter>
  <ignoredErrors>
    <ignoredError sqref="E165" formula="1"/>
  </ignoredErrors>
  <tableParts count="10">
    <tablePart r:id="rId2"/>
    <tablePart r:id="rId3"/>
    <tablePart r:id="rId4"/>
    <tablePart r:id="rId5"/>
    <tablePart r:id="rId6"/>
    <tablePart r:id="rId7"/>
    <tablePart r:id="rId8"/>
    <tablePart r:id="rId9"/>
    <tablePart r:id="rId10"/>
    <tablePart r:id="rId11"/>
  </tableParts>
  <extLst>
    <ext xmlns:x14="http://schemas.microsoft.com/office/spreadsheetml/2009/9/main" uri="{CCE6A557-97BC-4b89-ADB6-D9C93CAAB3DF}">
      <x14:dataValidations xmlns:xm="http://schemas.microsoft.com/office/excel/2006/main" count="3">
        <x14:dataValidation type="list" allowBlank="1" showInputMessage="1" showErrorMessage="1" xr:uid="{6617A46C-B968-43BA-9E13-719722B65CFE}">
          <x14:formula1>
            <xm:f>'Lookup refs'!$G$8:$G$10</xm:f>
          </x14:formula1>
          <xm:sqref>F64:F96 F100:F132 F184:F186 F11:F19 F98 F178:F179 F141:F149 F194:F226 F228 F54:F56 F230:F262 F170:F172 F158:F162 F28:F32 F40:F42</xm:sqref>
        </x14:dataValidation>
        <x14:dataValidation type="list" allowBlank="1" showInputMessage="1" showErrorMessage="1" xr:uid="{24461534-7B65-4CD7-AC66-5EE85C5EAA2D}">
          <x14:formula1>
            <xm:f>'Lookup refs'!$E$8:$E$20</xm:f>
          </x14:formula1>
          <xm:sqref>E184:E186 E100:E132 E64:E96 E11:E19 E98 E178:E179 E141:E149 E230:E262 E194:E226 E228 E54:E56 E170:E172 E158:E162 E28:E32 E40:E42</xm:sqref>
        </x14:dataValidation>
        <x14:dataValidation type="list" allowBlank="1" showInputMessage="1" showErrorMessage="1" xr:uid="{C6CFE2F4-435E-4577-9383-0CE7F7F69F73}">
          <x14:formula1>
            <xm:f>'Lookup refs'!$C$8:$C$10</xm:f>
          </x14:formula1>
          <xm:sqref>D184:D186 D98 D11:D19 D178:D179 D141:D149 D228 D54:D56 D170:D172 D158:D162 D28:D32 D40:D42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695C8-F6D1-4BF8-82EA-EAA3921BC0FE}">
  <sheetPr>
    <tabColor rgb="FF7F7F7F"/>
    <pageSetUpPr autoPageBreaks="0"/>
  </sheetPr>
  <dimension ref="A1:I134"/>
  <sheetViews>
    <sheetView showGridLines="0" topLeftCell="B1" zoomScale="90" zoomScaleNormal="90" workbookViewId="0">
      <pane xSplit="3" ySplit="10" topLeftCell="E125" activePane="bottomRight" state="frozen"/>
      <selection pane="topRight" activeCell="B33" sqref="B33"/>
      <selection pane="bottomLeft" activeCell="B33" sqref="B33"/>
      <selection pane="bottomRight" activeCell="B1" sqref="B1"/>
    </sheetView>
  </sheetViews>
  <sheetFormatPr defaultColWidth="9.42578125" defaultRowHeight="15" outlineLevelCol="1" x14ac:dyDescent="0.25"/>
  <cols>
    <col min="1" max="1" width="100.5703125" hidden="1" customWidth="1" outlineLevel="1"/>
    <col min="2" max="2" width="10.5703125" style="5" customWidth="1" collapsed="1"/>
    <col min="3" max="3" width="32.85546875" customWidth="1"/>
    <col min="4" max="4" width="82.140625" customWidth="1"/>
    <col min="5" max="5" width="125.85546875" customWidth="1"/>
    <col min="6" max="9" width="25.5703125" customWidth="1"/>
  </cols>
  <sheetData>
    <row r="1" spans="1:9" ht="15" customHeight="1" x14ac:dyDescent="0.25">
      <c r="A1" s="1" t="s">
        <v>33</v>
      </c>
      <c r="B1" s="249" t="s">
        <v>576</v>
      </c>
      <c r="C1" s="13"/>
      <c r="D1" s="13"/>
      <c r="E1" s="13"/>
      <c r="F1" s="13"/>
      <c r="G1" s="13"/>
      <c r="H1" s="13"/>
      <c r="I1" s="13"/>
    </row>
    <row r="2" spans="1:9" s="3" customFormat="1" ht="50.1" customHeight="1" x14ac:dyDescent="0.25">
      <c r="A2" s="253" t="s">
        <v>34</v>
      </c>
      <c r="B2" s="16"/>
      <c r="C2" s="16" t="str">
        <f>Disclaimer!$B$1</f>
        <v>VDO calculation model</v>
      </c>
      <c r="D2" s="16"/>
      <c r="E2" s="16"/>
      <c r="F2" s="16"/>
      <c r="G2" s="16"/>
      <c r="H2" s="16"/>
      <c r="I2" s="16"/>
    </row>
    <row r="3" spans="1:9" s="3" customFormat="1" ht="30" customHeight="1" x14ac:dyDescent="0.25">
      <c r="A3" s="254"/>
      <c r="B3" s="18">
        <f ca="1">_xlfn.SHEET()</f>
        <v>16</v>
      </c>
      <c r="C3" s="17" t="s">
        <v>15</v>
      </c>
      <c r="D3" s="17"/>
      <c r="E3" s="17"/>
      <c r="F3" s="17"/>
      <c r="G3" s="17"/>
      <c r="H3" s="17"/>
      <c r="I3" s="17"/>
    </row>
    <row r="4" spans="1:9" x14ac:dyDescent="0.25">
      <c r="B4"/>
    </row>
    <row r="5" spans="1:9" ht="16.5" thickBot="1" x14ac:dyDescent="0.3">
      <c r="A5" s="1" t="s">
        <v>36</v>
      </c>
      <c r="B5" s="155">
        <f ca="1">MAX(B$3:B4)+0.01</f>
        <v>16.010000000000002</v>
      </c>
      <c r="C5" s="19" t="s">
        <v>47</v>
      </c>
      <c r="D5" s="19"/>
      <c r="E5" s="19"/>
      <c r="F5" s="19"/>
      <c r="G5" s="19"/>
      <c r="H5" s="19"/>
      <c r="I5" s="19"/>
    </row>
    <row r="7" spans="1:9" ht="15.75" x14ac:dyDescent="0.25">
      <c r="D7" s="27" t="s">
        <v>48</v>
      </c>
      <c r="E7" s="28" t="str">
        <f>Inputs!AA14</f>
        <v>2024-25</v>
      </c>
    </row>
    <row r="8" spans="1:9" ht="15.75" x14ac:dyDescent="0.25">
      <c r="D8" s="27" t="s">
        <v>49</v>
      </c>
      <c r="E8" s="28" t="str">
        <f>"VDO "&amp;E7&amp;" - "&amp;IF(LEFT(E10,1)="F","Final",IF(LEFT(E10,1)="D","Draft",IF(LEFT(E10,2)="VD","Variation draft",IF(LEFT(E10,2)="VF","Variation final"))))</f>
        <v>VDO 2024-25 - Final</v>
      </c>
    </row>
    <row r="10" spans="1:9" ht="15.75" x14ac:dyDescent="0.25">
      <c r="C10" s="29" t="s">
        <v>50</v>
      </c>
      <c r="D10" s="29" t="s">
        <v>51</v>
      </c>
      <c r="E10" s="29" t="s">
        <v>52</v>
      </c>
    </row>
    <row r="11" spans="1:9" x14ac:dyDescent="0.25">
      <c r="C11" s="58" t="str" cm="1">
        <f t="array" ref="C11:C134">INDEX(Input_ForRateCalc[[Cost element]:[Customer type]],0,MATCH(C$10,Input_ForRateCalc[[#Headers],[Cost element]:[Customer type]],0))</f>
        <v>Retail</v>
      </c>
      <c r="D11" s="58" t="str" cm="1">
        <f t="array" ref="D11:D134">INDEX(Input_ForRateCalc[[Cost element]:[Customer type]],0,MATCH(D$10,Input_ForRateCalc[[#Headers],[Cost element]:[Customer type]],0))</f>
        <v>Retail operating cost - base</v>
      </c>
      <c r="E11" s="39" t="s">
        <v>547</v>
      </c>
    </row>
    <row r="12" spans="1:9" x14ac:dyDescent="0.25">
      <c r="C12" s="58" t="str">
        <v>Retail</v>
      </c>
      <c r="D12" s="58" t="str">
        <v>Retail operating cost - regulatory cost allowance</v>
      </c>
      <c r="E12" s="25" t="s">
        <v>54</v>
      </c>
    </row>
    <row r="13" spans="1:9" x14ac:dyDescent="0.25">
      <c r="C13" s="58" t="str">
        <v>Retail</v>
      </c>
      <c r="D13" s="58" t="str">
        <v>Retail operating cost - 5 min settlement allowance</v>
      </c>
      <c r="E13" s="25" t="s">
        <v>54</v>
      </c>
    </row>
    <row r="14" spans="1:9" x14ac:dyDescent="0.25">
      <c r="C14" s="58" t="str">
        <v>Retail</v>
      </c>
      <c r="D14" s="58" t="str">
        <v>Retail operating cost - bad debt allowance</v>
      </c>
      <c r="E14" s="25" t="s">
        <v>54</v>
      </c>
    </row>
    <row r="15" spans="1:9" x14ac:dyDescent="0.25">
      <c r="C15" s="58" t="str">
        <v>Retail</v>
      </c>
      <c r="D15" s="58" t="str">
        <v>Retail operating cost - consumer data right allowance</v>
      </c>
      <c r="E15" s="25" t="s">
        <v>54</v>
      </c>
    </row>
    <row r="16" spans="1:9" x14ac:dyDescent="0.25">
      <c r="C16" s="58" t="str">
        <v>Retail</v>
      </c>
      <c r="D16" s="58" t="str">
        <v>Customer acquisition and retention cost</v>
      </c>
      <c r="E16" s="25" t="s">
        <v>54</v>
      </c>
    </row>
    <row r="17" spans="3:5" x14ac:dyDescent="0.25">
      <c r="C17" s="58" t="str">
        <v>Solar</v>
      </c>
      <c r="D17" s="58" t="str">
        <v>Feed-in tariff (FiT)</v>
      </c>
      <c r="E17" s="14" t="s">
        <v>548</v>
      </c>
    </row>
    <row r="18" spans="3:5" x14ac:dyDescent="0.25">
      <c r="C18" s="58" t="str">
        <v>Other</v>
      </c>
      <c r="D18" s="58" t="str">
        <v>ESC licence fees</v>
      </c>
      <c r="E18" s="14" t="s">
        <v>55</v>
      </c>
    </row>
    <row r="19" spans="3:5" x14ac:dyDescent="0.25">
      <c r="C19" s="58" t="str">
        <v>Other</v>
      </c>
      <c r="D19" s="58" t="str">
        <v>Reliability and emergency reserve trader (RERT)</v>
      </c>
      <c r="E19" s="14" t="s">
        <v>549</v>
      </c>
    </row>
    <row r="20" spans="3:5" x14ac:dyDescent="0.25">
      <c r="C20" s="58" t="str">
        <v>Other</v>
      </c>
      <c r="D20" s="58" t="str">
        <v>Energy Consumers Australia</v>
      </c>
      <c r="E20" s="14" t="s">
        <v>550</v>
      </c>
    </row>
    <row r="21" spans="3:5" x14ac:dyDescent="0.25">
      <c r="C21" s="58" t="str">
        <v>Other</v>
      </c>
      <c r="D21" s="58" t="str">
        <v>Full retail competition (FRC) operations</v>
      </c>
      <c r="E21" s="14" t="s">
        <v>550</v>
      </c>
    </row>
    <row r="22" spans="3:5" x14ac:dyDescent="0.25">
      <c r="C22" s="58" t="str">
        <v>Other</v>
      </c>
      <c r="D22" s="58" t="str">
        <v>General NEM fees - fixed</v>
      </c>
      <c r="E22" s="14" t="s">
        <v>550</v>
      </c>
    </row>
    <row r="23" spans="3:5" x14ac:dyDescent="0.25">
      <c r="C23" s="58" t="str">
        <v>Other</v>
      </c>
      <c r="D23" s="58" t="str">
        <v>Distributed Energy Resources Integration Program (DER) - fixed</v>
      </c>
      <c r="E23" s="14" t="s">
        <v>550</v>
      </c>
    </row>
    <row r="24" spans="3:5" x14ac:dyDescent="0.25">
      <c r="C24" s="58" t="str">
        <v>Other</v>
      </c>
      <c r="D24" s="58" t="str">
        <v>IT upgrade and 5MS/GS compliance - fixed</v>
      </c>
      <c r="E24" s="14" t="s">
        <v>550</v>
      </c>
    </row>
    <row r="25" spans="3:5" x14ac:dyDescent="0.25">
      <c r="C25" s="58" t="str">
        <v>Network</v>
      </c>
      <c r="D25" s="58" t="str">
        <v>Metering - Ausnet</v>
      </c>
      <c r="E25" s="14" t="s">
        <v>551</v>
      </c>
    </row>
    <row r="26" spans="3:5" x14ac:dyDescent="0.25">
      <c r="C26" s="58" t="str">
        <v>Network</v>
      </c>
      <c r="D26" s="58" t="str">
        <v>Metering - Citipower</v>
      </c>
      <c r="E26" s="14" t="s">
        <v>552</v>
      </c>
    </row>
    <row r="27" spans="3:5" x14ac:dyDescent="0.25">
      <c r="C27" s="58" t="str">
        <v>Network</v>
      </c>
      <c r="D27" s="58" t="str">
        <v>Metering - Jemena</v>
      </c>
      <c r="E27" s="14" t="s">
        <v>553</v>
      </c>
    </row>
    <row r="28" spans="3:5" x14ac:dyDescent="0.25">
      <c r="C28" s="58" t="str">
        <v>Network</v>
      </c>
      <c r="D28" s="58" t="str">
        <v>Metering - Powercor</v>
      </c>
      <c r="E28" s="14" t="s">
        <v>554</v>
      </c>
    </row>
    <row r="29" spans="3:5" x14ac:dyDescent="0.25">
      <c r="C29" s="58" t="str">
        <v>Network</v>
      </c>
      <c r="D29" s="58" t="str">
        <v>Metering - United Energy</v>
      </c>
      <c r="E29" s="14" t="s">
        <v>555</v>
      </c>
    </row>
    <row r="30" spans="3:5" x14ac:dyDescent="0.25">
      <c r="C30" s="58" t="str">
        <v>Network</v>
      </c>
      <c r="D30" s="58" t="str">
        <v>Anytime - supply charge - RES - Ausnet</v>
      </c>
      <c r="E30" s="14" t="s">
        <v>551</v>
      </c>
    </row>
    <row r="31" spans="3:5" x14ac:dyDescent="0.25">
      <c r="C31" s="58" t="str">
        <v>Network</v>
      </c>
      <c r="D31" s="58" t="str">
        <v>Anytime - supply charge - RES - Citipower</v>
      </c>
      <c r="E31" s="14" t="s">
        <v>552</v>
      </c>
    </row>
    <row r="32" spans="3:5" x14ac:dyDescent="0.25">
      <c r="C32" s="58" t="str">
        <v>Network</v>
      </c>
      <c r="D32" s="58" t="str">
        <v>Anytime - supply charge - RES - Jemena</v>
      </c>
      <c r="E32" s="14" t="s">
        <v>553</v>
      </c>
    </row>
    <row r="33" spans="3:5" x14ac:dyDescent="0.25">
      <c r="C33" s="58" t="str">
        <v>Network</v>
      </c>
      <c r="D33" s="58" t="str">
        <v>Anytime - supply charge - RES - Powercor</v>
      </c>
      <c r="E33" s="14" t="s">
        <v>554</v>
      </c>
    </row>
    <row r="34" spans="3:5" x14ac:dyDescent="0.25">
      <c r="C34" s="58" t="str">
        <v>Network</v>
      </c>
      <c r="D34" s="58" t="str">
        <v>Anytime - supply charge - RES - United Energy</v>
      </c>
      <c r="E34" s="14" t="s">
        <v>555</v>
      </c>
    </row>
    <row r="35" spans="3:5" x14ac:dyDescent="0.25">
      <c r="C35" s="58" t="str">
        <v>Network</v>
      </c>
      <c r="D35" s="58" t="str">
        <v>Anytime - supply charge - SME - Ausnet</v>
      </c>
      <c r="E35" s="14" t="s">
        <v>551</v>
      </c>
    </row>
    <row r="36" spans="3:5" x14ac:dyDescent="0.25">
      <c r="C36" s="58" t="str">
        <v>Network</v>
      </c>
      <c r="D36" s="58" t="str">
        <v>Anytime - supply charge - SME - Citipower</v>
      </c>
      <c r="E36" s="14" t="s">
        <v>552</v>
      </c>
    </row>
    <row r="37" spans="3:5" x14ac:dyDescent="0.25">
      <c r="C37" s="58" t="str">
        <v>Network</v>
      </c>
      <c r="D37" s="58" t="str">
        <v>Anytime - supply charge - SME - Jemena</v>
      </c>
      <c r="E37" s="14" t="s">
        <v>553</v>
      </c>
    </row>
    <row r="38" spans="3:5" x14ac:dyDescent="0.25">
      <c r="C38" s="58" t="str">
        <v>Network</v>
      </c>
      <c r="D38" s="58" t="str">
        <v>Anytime - supply charge - SME - Powercor</v>
      </c>
      <c r="E38" s="14" t="s">
        <v>554</v>
      </c>
    </row>
    <row r="39" spans="3:5" x14ac:dyDescent="0.25">
      <c r="C39" s="58" t="str">
        <v>Network</v>
      </c>
      <c r="D39" s="58" t="str">
        <v>Anytime - supply charge - SME - United Energy</v>
      </c>
      <c r="E39" s="14" t="s">
        <v>555</v>
      </c>
    </row>
    <row r="40" spans="3:5" x14ac:dyDescent="0.25">
      <c r="C40" s="58" t="str">
        <v>Network</v>
      </c>
      <c r="D40" s="58" t="str">
        <v>TOU - supply charge - RES - Ausnet</v>
      </c>
      <c r="E40" s="14" t="s">
        <v>551</v>
      </c>
    </row>
    <row r="41" spans="3:5" x14ac:dyDescent="0.25">
      <c r="C41" s="58" t="str">
        <v>Network</v>
      </c>
      <c r="D41" s="58" t="str">
        <v>TOU - supply charge - RES - Citipower</v>
      </c>
      <c r="E41" s="14" t="s">
        <v>552</v>
      </c>
    </row>
    <row r="42" spans="3:5" x14ac:dyDescent="0.25">
      <c r="C42" s="58" t="str">
        <v>Network</v>
      </c>
      <c r="D42" s="58" t="str">
        <v>TOU - supply charge - RES - Jemena</v>
      </c>
      <c r="E42" s="14" t="s">
        <v>553</v>
      </c>
    </row>
    <row r="43" spans="3:5" x14ac:dyDescent="0.25">
      <c r="C43" s="58" t="str">
        <v>Network</v>
      </c>
      <c r="D43" s="58" t="str">
        <v>TOU - supply charge - RES - Powercor</v>
      </c>
      <c r="E43" s="14" t="s">
        <v>554</v>
      </c>
    </row>
    <row r="44" spans="3:5" x14ac:dyDescent="0.25">
      <c r="C44" s="58" t="str">
        <v>Network</v>
      </c>
      <c r="D44" s="58" t="str">
        <v>TOU - supply charge - RES - United Energy</v>
      </c>
      <c r="E44" s="14" t="s">
        <v>555</v>
      </c>
    </row>
    <row r="45" spans="3:5" x14ac:dyDescent="0.25">
      <c r="C45" s="58" t="str">
        <v>Network</v>
      </c>
      <c r="D45" s="58" t="str">
        <v>TOU - supply charge - SME - Ausnet</v>
      </c>
      <c r="E45" s="14" t="s">
        <v>551</v>
      </c>
    </row>
    <row r="46" spans="3:5" x14ac:dyDescent="0.25">
      <c r="C46" s="58" t="str">
        <v>Network</v>
      </c>
      <c r="D46" s="58" t="str">
        <v>TOU - supply charge - SME - Citipower</v>
      </c>
      <c r="E46" s="14" t="s">
        <v>552</v>
      </c>
    </row>
    <row r="47" spans="3:5" x14ac:dyDescent="0.25">
      <c r="C47" s="58" t="str">
        <v>Network</v>
      </c>
      <c r="D47" s="58" t="str">
        <v>TOU - supply charge - SME - Jemena</v>
      </c>
      <c r="E47" s="14" t="s">
        <v>553</v>
      </c>
    </row>
    <row r="48" spans="3:5" x14ac:dyDescent="0.25">
      <c r="C48" s="58" t="str">
        <v>Network</v>
      </c>
      <c r="D48" s="58" t="str">
        <v>TOU - supply charge - SME - Powercor</v>
      </c>
      <c r="E48" s="14" t="s">
        <v>554</v>
      </c>
    </row>
    <row r="49" spans="3:5" x14ac:dyDescent="0.25">
      <c r="C49" s="58" t="str">
        <v>Network</v>
      </c>
      <c r="D49" s="58" t="str">
        <v>TOU - supply charge - SME - United Energy</v>
      </c>
      <c r="E49" s="14" t="s">
        <v>555</v>
      </c>
    </row>
    <row r="50" spans="3:5" x14ac:dyDescent="0.25">
      <c r="C50" s="58" t="str">
        <v>Wholesale</v>
      </c>
      <c r="D50" s="58" t="str">
        <v>Price - RES - Ausnet</v>
      </c>
      <c r="E50" s="247" t="s">
        <v>574</v>
      </c>
    </row>
    <row r="51" spans="3:5" x14ac:dyDescent="0.25">
      <c r="C51" s="58" t="str">
        <v>Wholesale</v>
      </c>
      <c r="D51" s="58" t="str">
        <v>Price - RES - Citipower</v>
      </c>
      <c r="E51" s="247" t="s">
        <v>574</v>
      </c>
    </row>
    <row r="52" spans="3:5" x14ac:dyDescent="0.25">
      <c r="C52" s="58" t="str">
        <v>Wholesale</v>
      </c>
      <c r="D52" s="58" t="str">
        <v>Price - RES - Jemena</v>
      </c>
      <c r="E52" s="247" t="s">
        <v>574</v>
      </c>
    </row>
    <row r="53" spans="3:5" x14ac:dyDescent="0.25">
      <c r="C53" s="58" t="str">
        <v>Wholesale</v>
      </c>
      <c r="D53" s="58" t="str">
        <v>Price - RES - Powercor</v>
      </c>
      <c r="E53" s="247" t="s">
        <v>574</v>
      </c>
    </row>
    <row r="54" spans="3:5" x14ac:dyDescent="0.25">
      <c r="C54" s="58" t="str">
        <v>Wholesale</v>
      </c>
      <c r="D54" s="58" t="str">
        <v>Price - RES - United Energy</v>
      </c>
      <c r="E54" s="247" t="s">
        <v>574</v>
      </c>
    </row>
    <row r="55" spans="3:5" x14ac:dyDescent="0.25">
      <c r="C55" s="58" t="str">
        <v>Wholesale</v>
      </c>
      <c r="D55" s="58" t="str">
        <v>Volatility - RES - Ausnet</v>
      </c>
      <c r="E55" s="247" t="s">
        <v>575</v>
      </c>
    </row>
    <row r="56" spans="3:5" x14ac:dyDescent="0.25">
      <c r="C56" s="58" t="str">
        <v>Wholesale</v>
      </c>
      <c r="D56" s="58" t="str">
        <v>Volatility - RES - Citipower</v>
      </c>
      <c r="E56" s="247" t="s">
        <v>575</v>
      </c>
    </row>
    <row r="57" spans="3:5" x14ac:dyDescent="0.25">
      <c r="C57" s="58" t="str">
        <v>Wholesale</v>
      </c>
      <c r="D57" s="58" t="str">
        <v>Volatility - RES - Jemena</v>
      </c>
      <c r="E57" s="247" t="s">
        <v>575</v>
      </c>
    </row>
    <row r="58" spans="3:5" x14ac:dyDescent="0.25">
      <c r="C58" s="58" t="str">
        <v>Wholesale</v>
      </c>
      <c r="D58" s="58" t="str">
        <v>Volatility - RES - Powercor</v>
      </c>
      <c r="E58" s="247" t="s">
        <v>575</v>
      </c>
    </row>
    <row r="59" spans="3:5" x14ac:dyDescent="0.25">
      <c r="C59" s="58" t="str">
        <v>Wholesale</v>
      </c>
      <c r="D59" s="58" t="str">
        <v>Volatility - RES - United Energy</v>
      </c>
      <c r="E59" s="247" t="s">
        <v>575</v>
      </c>
    </row>
    <row r="60" spans="3:5" x14ac:dyDescent="0.25">
      <c r="C60" s="58" t="str">
        <v>Wholesale</v>
      </c>
      <c r="D60" s="58" t="str">
        <v>Price - SME - Ausnet</v>
      </c>
      <c r="E60" s="247" t="s">
        <v>574</v>
      </c>
    </row>
    <row r="61" spans="3:5" x14ac:dyDescent="0.25">
      <c r="C61" s="58" t="str">
        <v>Wholesale</v>
      </c>
      <c r="D61" s="58" t="str">
        <v>Price - SME - Citipower</v>
      </c>
      <c r="E61" s="247" t="s">
        <v>574</v>
      </c>
    </row>
    <row r="62" spans="3:5" x14ac:dyDescent="0.25">
      <c r="C62" s="58" t="str">
        <v>Wholesale</v>
      </c>
      <c r="D62" s="58" t="str">
        <v>Price - SME - Jemena</v>
      </c>
      <c r="E62" s="247" t="s">
        <v>574</v>
      </c>
    </row>
    <row r="63" spans="3:5" x14ac:dyDescent="0.25">
      <c r="C63" s="58" t="str">
        <v>Wholesale</v>
      </c>
      <c r="D63" s="58" t="str">
        <v>Price - SME - Powercor</v>
      </c>
      <c r="E63" s="247" t="s">
        <v>574</v>
      </c>
    </row>
    <row r="64" spans="3:5" x14ac:dyDescent="0.25">
      <c r="C64" s="58" t="str">
        <v>Wholesale</v>
      </c>
      <c r="D64" s="58" t="str">
        <v>Price - SME - United Energy</v>
      </c>
      <c r="E64" s="247" t="s">
        <v>574</v>
      </c>
    </row>
    <row r="65" spans="1:5" x14ac:dyDescent="0.25">
      <c r="C65" s="58" t="str">
        <v>Wholesale</v>
      </c>
      <c r="D65" s="58" t="str">
        <v>Volatility - SME - Ausnet</v>
      </c>
      <c r="E65" s="247" t="s">
        <v>575</v>
      </c>
    </row>
    <row r="66" spans="1:5" x14ac:dyDescent="0.25">
      <c r="C66" s="58" t="str">
        <v>Wholesale</v>
      </c>
      <c r="D66" s="58" t="str">
        <v>Volatility - SME - Citipower</v>
      </c>
      <c r="E66" s="247" t="s">
        <v>575</v>
      </c>
    </row>
    <row r="67" spans="1:5" x14ac:dyDescent="0.25">
      <c r="C67" s="58" t="str">
        <v>Wholesale</v>
      </c>
      <c r="D67" s="58" t="str">
        <v>Volatility - SME - Jemena</v>
      </c>
      <c r="E67" s="247" t="s">
        <v>575</v>
      </c>
    </row>
    <row r="68" spans="1:5" x14ac:dyDescent="0.25">
      <c r="C68" s="58" t="str">
        <v>Wholesale</v>
      </c>
      <c r="D68" s="58" t="str">
        <v>Volatility - SME - Powercor</v>
      </c>
      <c r="E68" s="247" t="s">
        <v>575</v>
      </c>
    </row>
    <row r="69" spans="1:5" x14ac:dyDescent="0.25">
      <c r="C69" s="58" t="str">
        <v>Wholesale</v>
      </c>
      <c r="D69" s="58" t="str">
        <v>Volatility - SME - United Energy</v>
      </c>
      <c r="E69" s="247" t="s">
        <v>575</v>
      </c>
    </row>
    <row r="70" spans="1:5" x14ac:dyDescent="0.25">
      <c r="C70" s="58" t="str">
        <v>Environmental</v>
      </c>
      <c r="D70" s="58" t="str">
        <v>Victorian energy upgrades (VEU) - Price</v>
      </c>
      <c r="E70" s="14" t="s">
        <v>56</v>
      </c>
    </row>
    <row r="71" spans="1:5" x14ac:dyDescent="0.25">
      <c r="A71" s="140"/>
      <c r="C71" s="58" t="str">
        <v>Environmental</v>
      </c>
      <c r="D71" s="58" t="str">
        <v>Large-scale renewable energy target (LRET) - Price</v>
      </c>
      <c r="E71" s="39" t="s">
        <v>556</v>
      </c>
    </row>
    <row r="72" spans="1:5" x14ac:dyDescent="0.25">
      <c r="A72" s="140"/>
      <c r="C72" s="58" t="str">
        <v>Environmental</v>
      </c>
      <c r="D72" s="58" t="str">
        <v>Small-scale renewable energy scheme (SRES) - Price</v>
      </c>
      <c r="E72" s="39" t="s">
        <v>556</v>
      </c>
    </row>
    <row r="73" spans="1:5" x14ac:dyDescent="0.25">
      <c r="A73" s="140"/>
      <c r="C73" s="58" t="str">
        <v>Environmental</v>
      </c>
      <c r="D73" s="58" t="str">
        <v>Victorian energy upgrades (VEU) - Liability</v>
      </c>
      <c r="E73" s="164" t="s">
        <v>557</v>
      </c>
    </row>
    <row r="74" spans="1:5" x14ac:dyDescent="0.25">
      <c r="A74" s="140"/>
      <c r="C74" s="58" t="str">
        <v>Environmental</v>
      </c>
      <c r="D74" s="58" t="str">
        <v>Large-scale renewable energy target (LRET) - Liability</v>
      </c>
      <c r="E74" s="39" t="s">
        <v>558</v>
      </c>
    </row>
    <row r="75" spans="1:5" x14ac:dyDescent="0.25">
      <c r="A75" s="140"/>
      <c r="C75" s="58" t="str">
        <v>Environmental</v>
      </c>
      <c r="D75" s="58" t="str">
        <v>Large-scale renewable energy target (LRET) - Liability true up (2021 only)</v>
      </c>
      <c r="E75" s="14" t="s">
        <v>54</v>
      </c>
    </row>
    <row r="76" spans="1:5" x14ac:dyDescent="0.25">
      <c r="A76" s="140"/>
      <c r="C76" s="58" t="str">
        <v>Environmental</v>
      </c>
      <c r="D76" s="58" t="str">
        <v>Small-scale renewable energy scheme (SRES) - Liability</v>
      </c>
      <c r="E76" s="39" t="s">
        <v>559</v>
      </c>
    </row>
    <row r="77" spans="1:5" x14ac:dyDescent="0.25">
      <c r="A77" s="140"/>
      <c r="C77" s="58" t="str">
        <v>Environmental</v>
      </c>
      <c r="D77" s="58" t="str">
        <v>Small-scale renewable energy scheme (SRES) - Liability true up (2021 Only)</v>
      </c>
      <c r="E77" s="14" t="s">
        <v>54</v>
      </c>
    </row>
    <row r="78" spans="1:5" x14ac:dyDescent="0.25">
      <c r="C78" s="58" t="str">
        <v>Other</v>
      </c>
      <c r="D78" s="58" t="str">
        <v>General NEM fees</v>
      </c>
      <c r="E78" s="14" t="s">
        <v>550</v>
      </c>
    </row>
    <row r="79" spans="1:5" x14ac:dyDescent="0.25">
      <c r="C79" s="58" t="str">
        <v>Other</v>
      </c>
      <c r="D79" s="58" t="str">
        <v>Full retail competition (FRC) operations (OBSOLETE)</v>
      </c>
      <c r="E79" s="14" t="s">
        <v>550</v>
      </c>
    </row>
    <row r="80" spans="1:5" x14ac:dyDescent="0.25">
      <c r="C80" s="58" t="str">
        <v>Other</v>
      </c>
      <c r="D80" s="58" t="str">
        <v>National transmission planner</v>
      </c>
      <c r="E80" s="14" t="s">
        <v>550</v>
      </c>
    </row>
    <row r="81" spans="3:5" x14ac:dyDescent="0.25">
      <c r="C81" s="58" t="str">
        <v>Other</v>
      </c>
      <c r="D81" s="58" t="str">
        <v>Ancillary services</v>
      </c>
      <c r="E81" s="14" t="s">
        <v>560</v>
      </c>
    </row>
    <row r="82" spans="3:5" x14ac:dyDescent="0.25">
      <c r="C82" s="58" t="str">
        <v>Other</v>
      </c>
      <c r="D82" s="58" t="str">
        <v>IT upgrade and 5MS/GS compliance</v>
      </c>
      <c r="E82" s="14" t="s">
        <v>561</v>
      </c>
    </row>
    <row r="83" spans="3:5" x14ac:dyDescent="0.25">
      <c r="C83" s="58" t="str">
        <v>Other</v>
      </c>
      <c r="D83" s="58" t="str">
        <v>Distributed Energy Resources Integration Program (DER)</v>
      </c>
      <c r="E83" s="14" t="s">
        <v>550</v>
      </c>
    </row>
    <row r="84" spans="3:5" x14ac:dyDescent="0.25">
      <c r="C84" s="58" t="str">
        <v>Other</v>
      </c>
      <c r="D84" s="58" t="str">
        <v>Market suspension - usage</v>
      </c>
      <c r="E84" s="39" t="s">
        <v>562</v>
      </c>
    </row>
    <row r="85" spans="3:5" x14ac:dyDescent="0.25">
      <c r="C85" s="58" t="str">
        <v>Other</v>
      </c>
      <c r="D85" s="58" t="str">
        <v>Directions - usage</v>
      </c>
      <c r="E85" s="14" t="s">
        <v>57</v>
      </c>
    </row>
    <row r="86" spans="3:5" x14ac:dyDescent="0.25">
      <c r="C86" s="58" t="str">
        <v>Other</v>
      </c>
      <c r="D86" s="58" t="str">
        <v>Administered price cap - usage</v>
      </c>
      <c r="E86" s="14" t="s">
        <v>57</v>
      </c>
    </row>
    <row r="87" spans="3:5" x14ac:dyDescent="0.25">
      <c r="C87" s="58" t="str">
        <v>Network</v>
      </c>
      <c r="D87" s="58" t="str">
        <v>Anytime - Block 1 - RES - Ausnet</v>
      </c>
      <c r="E87" s="14" t="s">
        <v>551</v>
      </c>
    </row>
    <row r="88" spans="3:5" x14ac:dyDescent="0.25">
      <c r="C88" s="58" t="str">
        <v>Network</v>
      </c>
      <c r="D88" s="58" t="str">
        <v>Anytime - Balance - RES - Ausnet</v>
      </c>
      <c r="E88" s="14" t="s">
        <v>551</v>
      </c>
    </row>
    <row r="89" spans="3:5" x14ac:dyDescent="0.25">
      <c r="C89" s="58" t="str">
        <v>Network</v>
      </c>
      <c r="D89" s="58" t="str">
        <v>Anytime - Single rate - RES - Citipower</v>
      </c>
      <c r="E89" s="14" t="s">
        <v>552</v>
      </c>
    </row>
    <row r="90" spans="3:5" x14ac:dyDescent="0.25">
      <c r="C90" s="58" t="str">
        <v>Network</v>
      </c>
      <c r="D90" s="58" t="str">
        <v>Anytime - Single rate - RES - Jemena</v>
      </c>
      <c r="E90" s="14" t="s">
        <v>553</v>
      </c>
    </row>
    <row r="91" spans="3:5" x14ac:dyDescent="0.25">
      <c r="C91" s="58" t="str">
        <v>Network</v>
      </c>
      <c r="D91" s="58" t="str">
        <v>Anytime - Single rate - RES - Powercor</v>
      </c>
      <c r="E91" s="14" t="s">
        <v>554</v>
      </c>
    </row>
    <row r="92" spans="3:5" x14ac:dyDescent="0.25">
      <c r="C92" s="58" t="str">
        <v>Network</v>
      </c>
      <c r="D92" s="58" t="str">
        <v>Anytime - Single rate - RES - United Energy</v>
      </c>
      <c r="E92" s="14" t="s">
        <v>555</v>
      </c>
    </row>
    <row r="93" spans="3:5" x14ac:dyDescent="0.25">
      <c r="C93" s="58" t="str">
        <v>Network</v>
      </c>
      <c r="D93" s="58" t="str">
        <v>Anytime - Block 1 - SME - Ausnet</v>
      </c>
      <c r="E93" s="14" t="s">
        <v>551</v>
      </c>
    </row>
    <row r="94" spans="3:5" x14ac:dyDescent="0.25">
      <c r="C94" s="58" t="str">
        <v>Network</v>
      </c>
      <c r="D94" s="58" t="str">
        <v>Anytime - Balance - SME - Ausnet</v>
      </c>
      <c r="E94" s="14" t="s">
        <v>551</v>
      </c>
    </row>
    <row r="95" spans="3:5" x14ac:dyDescent="0.25">
      <c r="C95" s="58" t="str">
        <v>Network</v>
      </c>
      <c r="D95" s="58" t="str">
        <v>Anytime - Single rate - SME - Citipower</v>
      </c>
      <c r="E95" s="14" t="s">
        <v>552</v>
      </c>
    </row>
    <row r="96" spans="3:5" x14ac:dyDescent="0.25">
      <c r="C96" s="58" t="str">
        <v>Network</v>
      </c>
      <c r="D96" s="58" t="str">
        <v>Anytime - Single rate - SME - Jemena</v>
      </c>
      <c r="E96" s="14" t="s">
        <v>553</v>
      </c>
    </row>
    <row r="97" spans="3:5" x14ac:dyDescent="0.25">
      <c r="C97" s="58" t="str">
        <v>Network</v>
      </c>
      <c r="D97" s="58" t="str">
        <v>Anytime - Single rate - SME - Powercor</v>
      </c>
      <c r="E97" s="14" t="s">
        <v>554</v>
      </c>
    </row>
    <row r="98" spans="3:5" x14ac:dyDescent="0.25">
      <c r="C98" s="58" t="str">
        <v>Network</v>
      </c>
      <c r="D98" s="58" t="str">
        <v>Anytime - Single rate - SME - United Energy</v>
      </c>
      <c r="E98" s="14" t="s">
        <v>555</v>
      </c>
    </row>
    <row r="99" spans="3:5" x14ac:dyDescent="0.25">
      <c r="C99" s="58" t="str">
        <v>Network</v>
      </c>
      <c r="D99" s="58" t="str">
        <v>TOU - Peak - RES - Ausnet</v>
      </c>
      <c r="E99" s="39" t="s">
        <v>551</v>
      </c>
    </row>
    <row r="100" spans="3:5" x14ac:dyDescent="0.25">
      <c r="C100" s="58" t="str">
        <v>Network</v>
      </c>
      <c r="D100" s="58" t="str">
        <v>TOU - Peak - RES - Citipower</v>
      </c>
      <c r="E100" s="14" t="s">
        <v>552</v>
      </c>
    </row>
    <row r="101" spans="3:5" x14ac:dyDescent="0.25">
      <c r="C101" s="58" t="str">
        <v>Network</v>
      </c>
      <c r="D101" s="58" t="str">
        <v>TOU - Peak - RES - Jemena</v>
      </c>
      <c r="E101" s="14" t="s">
        <v>553</v>
      </c>
    </row>
    <row r="102" spans="3:5" x14ac:dyDescent="0.25">
      <c r="C102" s="58" t="str">
        <v>Network</v>
      </c>
      <c r="D102" s="58" t="str">
        <v>TOU - Peak - RES - Powercor</v>
      </c>
      <c r="E102" s="14" t="s">
        <v>554</v>
      </c>
    </row>
    <row r="103" spans="3:5" x14ac:dyDescent="0.25">
      <c r="C103" s="58" t="str">
        <v>Network</v>
      </c>
      <c r="D103" s="58" t="str">
        <v>TOU - Peak - RES - United Energy</v>
      </c>
      <c r="E103" s="14" t="s">
        <v>555</v>
      </c>
    </row>
    <row r="104" spans="3:5" x14ac:dyDescent="0.25">
      <c r="C104" s="58" t="str">
        <v>Network</v>
      </c>
      <c r="D104" s="58" t="str">
        <v>TOU - Off peak - RES - Ausnet</v>
      </c>
      <c r="E104" s="39" t="s">
        <v>551</v>
      </c>
    </row>
    <row r="105" spans="3:5" x14ac:dyDescent="0.25">
      <c r="C105" s="58" t="str">
        <v>Network</v>
      </c>
      <c r="D105" s="58" t="str">
        <v>TOU - Off peak - RES - Citipower</v>
      </c>
      <c r="E105" s="14" t="s">
        <v>552</v>
      </c>
    </row>
    <row r="106" spans="3:5" x14ac:dyDescent="0.25">
      <c r="C106" s="58" t="str">
        <v>Network</v>
      </c>
      <c r="D106" s="58" t="str">
        <v>TOU - Off peak - RES - Jemena</v>
      </c>
      <c r="E106" s="14" t="s">
        <v>553</v>
      </c>
    </row>
    <row r="107" spans="3:5" x14ac:dyDescent="0.25">
      <c r="C107" s="58" t="str">
        <v>Network</v>
      </c>
      <c r="D107" s="58" t="str">
        <v>TOU - Off peak - RES - Powercor</v>
      </c>
      <c r="E107" s="14" t="s">
        <v>554</v>
      </c>
    </row>
    <row r="108" spans="3:5" x14ac:dyDescent="0.25">
      <c r="C108" s="58" t="str">
        <v>Network</v>
      </c>
      <c r="D108" s="58" t="str">
        <v>TOU - Off peak - RES - United Energy</v>
      </c>
      <c r="E108" s="14" t="s">
        <v>555</v>
      </c>
    </row>
    <row r="109" spans="3:5" x14ac:dyDescent="0.25">
      <c r="C109" s="58" t="str">
        <v>Network</v>
      </c>
      <c r="D109" s="58" t="str">
        <v>TOU - Peak - SME - Ausnet</v>
      </c>
      <c r="E109" s="39" t="s">
        <v>551</v>
      </c>
    </row>
    <row r="110" spans="3:5" x14ac:dyDescent="0.25">
      <c r="C110" s="58" t="str">
        <v>Network</v>
      </c>
      <c r="D110" s="58" t="str">
        <v>TOU - Peak - SME - Citipower</v>
      </c>
      <c r="E110" s="14" t="s">
        <v>552</v>
      </c>
    </row>
    <row r="111" spans="3:5" x14ac:dyDescent="0.25">
      <c r="C111" s="58" t="str">
        <v>Network</v>
      </c>
      <c r="D111" s="58" t="str">
        <v>TOU - Peak - SME - Jemena</v>
      </c>
      <c r="E111" s="14" t="s">
        <v>553</v>
      </c>
    </row>
    <row r="112" spans="3:5" x14ac:dyDescent="0.25">
      <c r="C112" s="58" t="str">
        <v>Network</v>
      </c>
      <c r="D112" s="58" t="str">
        <v>TOU - Peak - SME - Powercor</v>
      </c>
      <c r="E112" s="14" t="s">
        <v>554</v>
      </c>
    </row>
    <row r="113" spans="3:5" x14ac:dyDescent="0.25">
      <c r="C113" s="58" t="str">
        <v>Network</v>
      </c>
      <c r="D113" s="58" t="str">
        <v>TOU - Peak - SME - United Energy</v>
      </c>
      <c r="E113" s="14" t="s">
        <v>555</v>
      </c>
    </row>
    <row r="114" spans="3:5" x14ac:dyDescent="0.25">
      <c r="C114" s="58" t="str">
        <v>Network</v>
      </c>
      <c r="D114" s="58" t="str">
        <v>TOU - Off peak - SME - Ausnet</v>
      </c>
      <c r="E114" s="39" t="s">
        <v>551</v>
      </c>
    </row>
    <row r="115" spans="3:5" x14ac:dyDescent="0.25">
      <c r="C115" s="58" t="str">
        <v>Network</v>
      </c>
      <c r="D115" s="58" t="str">
        <v>TOU - Off peak - SME - Citipower</v>
      </c>
      <c r="E115" s="14" t="s">
        <v>552</v>
      </c>
    </row>
    <row r="116" spans="3:5" x14ac:dyDescent="0.25">
      <c r="C116" s="58" t="str">
        <v>Network</v>
      </c>
      <c r="D116" s="58" t="str">
        <v>TOU - Off peak - SME - Jemena</v>
      </c>
      <c r="E116" s="14" t="s">
        <v>553</v>
      </c>
    </row>
    <row r="117" spans="3:5" x14ac:dyDescent="0.25">
      <c r="C117" s="58" t="str">
        <v>Network</v>
      </c>
      <c r="D117" s="58" t="str">
        <v>TOU - Off peak - SME - Powercor</v>
      </c>
      <c r="E117" s="14" t="s">
        <v>554</v>
      </c>
    </row>
    <row r="118" spans="3:5" x14ac:dyDescent="0.25">
      <c r="C118" s="58" t="str">
        <v>Network</v>
      </c>
      <c r="D118" s="58" t="str">
        <v>TOU - Off peak - SME - United Energy</v>
      </c>
      <c r="E118" s="14" t="s">
        <v>555</v>
      </c>
    </row>
    <row r="119" spans="3:5" x14ac:dyDescent="0.25">
      <c r="C119" s="58" t="str">
        <v>Network</v>
      </c>
      <c r="D119" s="58" t="str">
        <v>Controlled load - RES - Ausnet</v>
      </c>
      <c r="E119" s="39" t="s">
        <v>551</v>
      </c>
    </row>
    <row r="120" spans="3:5" x14ac:dyDescent="0.25">
      <c r="C120" s="58" t="str">
        <v>Network</v>
      </c>
      <c r="D120" s="58" t="str">
        <v>Controlled load - RES - Citipower</v>
      </c>
      <c r="E120" s="14" t="s">
        <v>552</v>
      </c>
    </row>
    <row r="121" spans="3:5" x14ac:dyDescent="0.25">
      <c r="C121" s="58" t="str">
        <v>Network</v>
      </c>
      <c r="D121" s="58" t="str">
        <v>Controlled load - RES - Jemena</v>
      </c>
      <c r="E121" s="14" t="s">
        <v>553</v>
      </c>
    </row>
    <row r="122" spans="3:5" x14ac:dyDescent="0.25">
      <c r="C122" s="58" t="str">
        <v>Network</v>
      </c>
      <c r="D122" s="58" t="str">
        <v>Controlled load - RES - Powercor</v>
      </c>
      <c r="E122" s="14" t="s">
        <v>554</v>
      </c>
    </row>
    <row r="123" spans="3:5" x14ac:dyDescent="0.25">
      <c r="C123" s="58" t="str">
        <v>Network</v>
      </c>
      <c r="D123" s="58" t="str">
        <v>Controlled load - RES - United Energy</v>
      </c>
      <c r="E123" s="14" t="s">
        <v>555</v>
      </c>
    </row>
    <row r="124" spans="3:5" x14ac:dyDescent="0.25">
      <c r="C124" s="58" t="str">
        <v>Retail margin</v>
      </c>
      <c r="D124" s="58" t="str">
        <v>Retail operating margin</v>
      </c>
      <c r="E124" s="14" t="s">
        <v>53</v>
      </c>
    </row>
    <row r="125" spans="3:5" x14ac:dyDescent="0.25">
      <c r="C125" s="58" t="str">
        <v>Marginal loss factors</v>
      </c>
      <c r="D125" s="58" t="str">
        <v>Marginal loss factor - Ausnet</v>
      </c>
      <c r="E125" s="14" t="s">
        <v>563</v>
      </c>
    </row>
    <row r="126" spans="3:5" x14ac:dyDescent="0.25">
      <c r="C126" s="58" t="str">
        <v>Marginal loss factors</v>
      </c>
      <c r="D126" s="58" t="str">
        <v>Marginal loss factor - Citipower</v>
      </c>
      <c r="E126" s="14" t="s">
        <v>563</v>
      </c>
    </row>
    <row r="127" spans="3:5" x14ac:dyDescent="0.25">
      <c r="C127" s="58" t="str">
        <v>Marginal loss factors</v>
      </c>
      <c r="D127" s="58" t="str">
        <v>Marginal loss factor - Jemena</v>
      </c>
      <c r="E127" s="14" t="s">
        <v>563</v>
      </c>
    </row>
    <row r="128" spans="3:5" x14ac:dyDescent="0.25">
      <c r="C128" s="58" t="str">
        <v>Marginal loss factors</v>
      </c>
      <c r="D128" s="58" t="str">
        <v>Marginal loss factor - Powercor</v>
      </c>
      <c r="E128" s="14" t="s">
        <v>563</v>
      </c>
    </row>
    <row r="129" spans="3:5" x14ac:dyDescent="0.25">
      <c r="C129" s="58" t="str">
        <v>Marginal loss factors</v>
      </c>
      <c r="D129" s="58" t="str">
        <v>Marginal loss factor - United Energy</v>
      </c>
      <c r="E129" s="14" t="s">
        <v>563</v>
      </c>
    </row>
    <row r="130" spans="3:5" x14ac:dyDescent="0.25">
      <c r="C130" s="58" t="str">
        <v>Distribution loss factors</v>
      </c>
      <c r="D130" s="58" t="str">
        <v>Distribution loss factor - Ausnet</v>
      </c>
      <c r="E130" s="14" t="s">
        <v>564</v>
      </c>
    </row>
    <row r="131" spans="3:5" x14ac:dyDescent="0.25">
      <c r="C131" s="58" t="str">
        <v>Distribution loss factors</v>
      </c>
      <c r="D131" s="58" t="str">
        <v>Distribution loss factor - Citipower</v>
      </c>
      <c r="E131" s="14" t="s">
        <v>564</v>
      </c>
    </row>
    <row r="132" spans="3:5" x14ac:dyDescent="0.25">
      <c r="C132" s="58" t="str">
        <v>Distribution loss factors</v>
      </c>
      <c r="D132" s="58" t="str">
        <v>Distribution loss factor - Jemena</v>
      </c>
      <c r="E132" s="14" t="s">
        <v>564</v>
      </c>
    </row>
    <row r="133" spans="3:5" x14ac:dyDescent="0.25">
      <c r="C133" s="58" t="str">
        <v>Distribution loss factors</v>
      </c>
      <c r="D133" s="58" t="str">
        <v>Distribution loss factor - Powercor</v>
      </c>
      <c r="E133" s="14" t="s">
        <v>564</v>
      </c>
    </row>
    <row r="134" spans="3:5" x14ac:dyDescent="0.25">
      <c r="C134" s="58" t="str">
        <v>Distribution loss factors</v>
      </c>
      <c r="D134" s="58" t="str">
        <v>Distribution loss factor - United Energy</v>
      </c>
      <c r="E134" s="14" t="s">
        <v>564</v>
      </c>
    </row>
  </sheetData>
  <sheetProtection algorithmName="SHA-512" hashValue="XL8fzJFrbVDA5F7q6p0cGzvX/2tekDac4yV4E3n4NKBjPQpCrXsS0+Y5Ej7asWaEIrBFdiWv7Md4GGiT2Iwf1Q==" saltValue="jYFh4/nPXq38dYTGN+S7Zw==" spinCount="100000" sheet="1" objects="1" scenarios="1"/>
  <mergeCells count="1">
    <mergeCell ref="A2:A3"/>
  </mergeCells>
  <hyperlinks>
    <hyperlink ref="B1" location="Contents!A1" display="&lt;&lt; Back to Contents" xr:uid="{5E0BAAF8-1007-4BE2-BF1F-1472E6AE2C69}"/>
  </hyperlinks>
  <pageMargins left="0.7" right="0.7" top="0.75" bottom="0.75" header="0.3" footer="0.3"/>
  <pageSetup paperSize="9" orientation="portrait" r:id="rId1"/>
  <headerFooter>
    <oddHeader>&amp;C&amp;B&amp;"Arial"&amp;12&amp;Kff0000​‌OFFICIAL‌​</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7AEF0-E3B4-430B-9D34-4B8EDDBD05A4}">
  <sheetPr>
    <tabColor rgb="FF4986A0"/>
    <pageSetUpPr autoPageBreaks="0"/>
  </sheetPr>
  <dimension ref="A1:Z20"/>
  <sheetViews>
    <sheetView showGridLines="0" topLeftCell="B1" zoomScale="85" zoomScaleNormal="85" workbookViewId="0">
      <pane ySplit="3" topLeftCell="A4" activePane="bottomLeft" state="frozen"/>
      <selection activeCell="B33" sqref="B33"/>
      <selection pane="bottomLeft" activeCell="I19" sqref="I19"/>
    </sheetView>
  </sheetViews>
  <sheetFormatPr defaultColWidth="9.42578125" defaultRowHeight="15" outlineLevelCol="1" x14ac:dyDescent="0.25"/>
  <cols>
    <col min="1" max="1" width="100.5703125" hidden="1" customWidth="1" outlineLevel="1"/>
    <col min="2" max="2" width="10.5703125" style="5" customWidth="1" collapsed="1"/>
    <col min="3" max="3" width="41.42578125" bestFit="1" customWidth="1"/>
    <col min="4" max="14" width="25.5703125" customWidth="1"/>
    <col min="15" max="15" width="25.5703125" hidden="1" customWidth="1"/>
    <col min="16" max="26" width="25.5703125" customWidth="1"/>
  </cols>
  <sheetData>
    <row r="1" spans="1:26" ht="15" customHeight="1" x14ac:dyDescent="0.25">
      <c r="A1" s="1" t="s">
        <v>33</v>
      </c>
      <c r="B1" s="249" t="s">
        <v>576</v>
      </c>
      <c r="C1" s="13"/>
      <c r="D1" s="13"/>
      <c r="E1" s="13"/>
      <c r="F1" s="13"/>
      <c r="G1" s="13"/>
      <c r="H1" s="13"/>
      <c r="I1" s="13"/>
      <c r="J1" s="13"/>
      <c r="K1" s="13"/>
      <c r="L1" s="13"/>
      <c r="M1" s="13"/>
      <c r="N1" s="13"/>
      <c r="O1" s="13"/>
      <c r="P1" s="13"/>
      <c r="Q1" s="13"/>
      <c r="R1" s="13"/>
      <c r="S1" s="13"/>
      <c r="T1" s="13"/>
      <c r="U1" s="13"/>
      <c r="V1" s="13"/>
      <c r="W1" s="13"/>
      <c r="X1" s="13"/>
      <c r="Y1" s="13"/>
      <c r="Z1" s="13"/>
    </row>
    <row r="2" spans="1:26" s="3" customFormat="1" ht="50.1" customHeight="1" x14ac:dyDescent="0.25">
      <c r="A2" s="253" t="s">
        <v>34</v>
      </c>
      <c r="B2" s="16"/>
      <c r="C2" s="16" t="str">
        <f>Disclaimer!$B$1</f>
        <v>VDO calculation model</v>
      </c>
      <c r="D2" s="16"/>
      <c r="E2" s="16"/>
      <c r="F2" s="16"/>
      <c r="G2" s="16"/>
      <c r="H2" s="16"/>
      <c r="I2" s="16"/>
      <c r="J2" s="16"/>
      <c r="K2" s="16"/>
      <c r="L2" s="16"/>
      <c r="M2" s="16"/>
      <c r="N2" s="16"/>
      <c r="O2" s="16"/>
      <c r="P2" s="16"/>
      <c r="Q2" s="16"/>
      <c r="R2" s="16"/>
      <c r="S2" s="16"/>
      <c r="T2" s="16"/>
      <c r="U2" s="16"/>
      <c r="V2" s="16"/>
      <c r="W2" s="16"/>
      <c r="X2" s="16"/>
      <c r="Y2" s="16"/>
      <c r="Z2" s="16"/>
    </row>
    <row r="3" spans="1:26" s="3" customFormat="1" ht="30" customHeight="1" x14ac:dyDescent="0.25">
      <c r="A3" s="254"/>
      <c r="B3" s="18">
        <f ca="1">_xlfn.SHEET()</f>
        <v>17</v>
      </c>
      <c r="C3" s="17" t="s">
        <v>534</v>
      </c>
      <c r="D3" s="17"/>
      <c r="E3" s="17"/>
      <c r="F3" s="17"/>
      <c r="G3" s="17"/>
      <c r="H3" s="17"/>
      <c r="I3" s="17"/>
      <c r="J3" s="17"/>
      <c r="K3" s="17"/>
      <c r="L3" s="17"/>
      <c r="M3" s="17"/>
      <c r="N3" s="17"/>
      <c r="O3" s="17"/>
      <c r="P3" s="17"/>
      <c r="Q3" s="17"/>
      <c r="R3" s="17"/>
      <c r="S3" s="17"/>
      <c r="T3" s="17"/>
      <c r="U3" s="17"/>
      <c r="V3" s="17"/>
      <c r="W3" s="17"/>
      <c r="X3" s="17"/>
      <c r="Y3" s="17"/>
      <c r="Z3" s="17"/>
    </row>
    <row r="4" spans="1:26" x14ac:dyDescent="0.25">
      <c r="B4"/>
    </row>
    <row r="5" spans="1:26" ht="16.5" thickBot="1" x14ac:dyDescent="0.3">
      <c r="A5" s="1" t="s">
        <v>36</v>
      </c>
      <c r="B5" s="155">
        <f ca="1">MAX(B$3:B4)+0.01</f>
        <v>17.010000000000002</v>
      </c>
      <c r="C5" s="19" t="s">
        <v>27</v>
      </c>
      <c r="D5" s="19"/>
      <c r="E5" s="19"/>
      <c r="F5" s="19"/>
      <c r="G5" s="19"/>
      <c r="H5" s="19"/>
      <c r="I5" s="19"/>
      <c r="J5" s="19"/>
      <c r="K5" s="19"/>
      <c r="L5" s="19"/>
      <c r="M5" s="19"/>
      <c r="N5" s="19"/>
      <c r="O5" s="19"/>
      <c r="P5" s="19"/>
      <c r="Q5" s="19"/>
      <c r="R5" s="19"/>
      <c r="S5" s="19"/>
      <c r="T5" s="19"/>
      <c r="U5" s="19"/>
      <c r="V5" s="19"/>
      <c r="W5" s="19"/>
      <c r="X5" s="19"/>
      <c r="Y5" s="19"/>
      <c r="Z5" s="19"/>
    </row>
    <row r="7" spans="1:26" ht="15.75" x14ac:dyDescent="0.25">
      <c r="C7" s="34" t="s">
        <v>114</v>
      </c>
      <c r="E7" s="34" t="s">
        <v>535</v>
      </c>
      <c r="G7" s="34" t="s">
        <v>63</v>
      </c>
      <c r="I7" s="34" t="s">
        <v>536</v>
      </c>
      <c r="K7" s="29" t="s">
        <v>537</v>
      </c>
      <c r="M7" s="29" t="s">
        <v>538</v>
      </c>
      <c r="O7" s="29" t="s">
        <v>539</v>
      </c>
    </row>
    <row r="8" spans="1:26" x14ac:dyDescent="0.25">
      <c r="C8" s="33" t="s">
        <v>64</v>
      </c>
      <c r="E8" s="33" t="s">
        <v>75</v>
      </c>
      <c r="G8" s="33" t="s">
        <v>139</v>
      </c>
      <c r="I8" s="33" t="s">
        <v>92</v>
      </c>
      <c r="K8" s="10" t="s">
        <v>313</v>
      </c>
      <c r="M8" s="10" t="s">
        <v>313</v>
      </c>
      <c r="O8" s="10" t="s">
        <v>331</v>
      </c>
    </row>
    <row r="9" spans="1:26" x14ac:dyDescent="0.25">
      <c r="C9" s="35" t="s">
        <v>138</v>
      </c>
      <c r="E9" s="33" t="s">
        <v>185</v>
      </c>
      <c r="G9" s="33" t="s">
        <v>72</v>
      </c>
      <c r="I9" s="33" t="s">
        <v>94</v>
      </c>
      <c r="K9" s="10" t="s">
        <v>312</v>
      </c>
      <c r="M9" s="10" t="s">
        <v>312</v>
      </c>
      <c r="O9" s="10" t="s">
        <v>107</v>
      </c>
    </row>
    <row r="10" spans="1:26" x14ac:dyDescent="0.25">
      <c r="C10" s="35" t="s">
        <v>184</v>
      </c>
      <c r="E10" s="33" t="s">
        <v>71</v>
      </c>
      <c r="G10" s="35" t="s">
        <v>73</v>
      </c>
      <c r="I10" s="33" t="s">
        <v>96</v>
      </c>
      <c r="K10" s="10" t="s">
        <v>540</v>
      </c>
      <c r="O10" s="10" t="s">
        <v>109</v>
      </c>
    </row>
    <row r="11" spans="1:26" x14ac:dyDescent="0.25">
      <c r="E11" s="33" t="s">
        <v>151</v>
      </c>
      <c r="I11" s="33" t="s">
        <v>93</v>
      </c>
      <c r="O11" s="10" t="s">
        <v>330</v>
      </c>
    </row>
    <row r="12" spans="1:26" x14ac:dyDescent="0.25">
      <c r="E12" s="33" t="s">
        <v>206</v>
      </c>
      <c r="I12" s="33" t="s">
        <v>95</v>
      </c>
      <c r="O12" s="10" t="s">
        <v>329</v>
      </c>
    </row>
    <row r="13" spans="1:26" x14ac:dyDescent="0.25">
      <c r="E13" s="33" t="s">
        <v>298</v>
      </c>
      <c r="I13" s="35" t="s">
        <v>97</v>
      </c>
      <c r="O13" s="10" t="s">
        <v>328</v>
      </c>
    </row>
    <row r="14" spans="1:26" x14ac:dyDescent="0.25">
      <c r="E14" s="33" t="s">
        <v>225</v>
      </c>
    </row>
    <row r="15" spans="1:26" x14ac:dyDescent="0.25">
      <c r="E15" s="33" t="s">
        <v>264</v>
      </c>
    </row>
    <row r="16" spans="1:26" x14ac:dyDescent="0.25">
      <c r="E16" s="35" t="s">
        <v>541</v>
      </c>
    </row>
    <row r="17" spans="5:5" x14ac:dyDescent="0.25">
      <c r="E17" s="35" t="s">
        <v>501</v>
      </c>
    </row>
    <row r="18" spans="5:5" x14ac:dyDescent="0.25">
      <c r="E18" s="35" t="s">
        <v>542</v>
      </c>
    </row>
    <row r="19" spans="5:5" x14ac:dyDescent="0.25">
      <c r="E19" s="35" t="s">
        <v>157</v>
      </c>
    </row>
    <row r="20" spans="5:5" x14ac:dyDescent="0.25">
      <c r="E20" s="35" t="s">
        <v>210</v>
      </c>
    </row>
  </sheetData>
  <sheetProtection algorithmName="SHA-512" hashValue="Fcp2wRxOrbcCk8cvTYFqJkXQTRpYNqb845L31SZtvAODAfMR+6wtwVHG7IGlWMXqff38DWy3KUww9KQ1Qz6VTg==" saltValue="JpENUL+0YtNbbH5zKqN/9w==" spinCount="100000" sheet="1" objects="1" scenarios="1"/>
  <sortState xmlns:xlrd2="http://schemas.microsoft.com/office/spreadsheetml/2017/richdata2" ref="D27:E31">
    <sortCondition descending="1" ref="E27:E31"/>
  </sortState>
  <mergeCells count="1">
    <mergeCell ref="A2:A3"/>
  </mergeCells>
  <hyperlinks>
    <hyperlink ref="B1" location="Contents!A1" display="&lt;&lt; Back to Contents" xr:uid="{688C4C51-397B-4AC8-ABF7-6A517E993239}"/>
  </hyperlinks>
  <pageMargins left="0.7" right="0.7" top="0.75" bottom="0.75" header="0.3" footer="0.3"/>
  <pageSetup paperSize="9" orientation="portrait" r:id="rId1"/>
  <headerFooter>
    <oddHeader>&amp;C&amp;B&amp;"Arial"&amp;12&amp;Kff0000​‌OFFICIAL‌​</oddHeader>
  </headerFooter>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F5B4F566EDE04E8FC82BBE258AC15C" ma:contentTypeVersion="14" ma:contentTypeDescription="Create a new document." ma:contentTypeScope="" ma:versionID="4eddb80c5a86f3adf767ff00a142a42e">
  <xsd:schema xmlns:xsd="http://www.w3.org/2001/XMLSchema" xmlns:xs="http://www.w3.org/2001/XMLSchema" xmlns:p="http://schemas.microsoft.com/office/2006/metadata/properties" xmlns:ns2="12fa1e3f-bff0-4a68-a0e1-8991d6694121" xmlns:ns3="1fe0551b-aea2-4114-b38d-c5f7409b7e34" targetNamespace="http://schemas.microsoft.com/office/2006/metadata/properties" ma:root="true" ma:fieldsID="544b3990ea2472c0f9bdce3a5590c947" ns2:_="" ns3:_="">
    <xsd:import namespace="12fa1e3f-bff0-4a68-a0e1-8991d6694121"/>
    <xsd:import namespace="1fe0551b-aea2-4114-b38d-c5f7409b7e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a1e3f-bff0-4a68-a0e1-8991d66941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88115-0302-4e1f-a4da-adfe537ad00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e0551b-aea2-4114-b38d-c5f7409b7e3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0f870a1-443f-4a47-b096-e8ee88ab6acd}" ma:internalName="TaxCatchAll" ma:showField="CatchAllData" ma:web="1fe0551b-aea2-4114-b38d-c5f7409b7e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2fa1e3f-bff0-4a68-a0e1-8991d6694121">
      <Terms xmlns="http://schemas.microsoft.com/office/infopath/2007/PartnerControls"/>
    </lcf76f155ced4ddcb4097134ff3c332f>
    <TaxCatchAll xmlns="1fe0551b-aea2-4114-b38d-c5f7409b7e34" xsi:nil="true"/>
    <SharedWithUsers xmlns="1fe0551b-aea2-4114-b38d-c5f7409b7e34">
      <UserInfo>
        <DisplayName>Declan O'Reilly</DisplayName>
        <AccountId>80</AccountId>
        <AccountType/>
      </UserInfo>
      <UserInfo>
        <DisplayName>Julian Russell (ESC)</DisplayName>
        <AccountId>97</AccountId>
        <AccountType/>
      </UserInfo>
    </SharedWithUsers>
  </documentManagement>
</p:properties>
</file>

<file path=customXml/itemProps1.xml><?xml version="1.0" encoding="utf-8"?>
<ds:datastoreItem xmlns:ds="http://schemas.openxmlformats.org/officeDocument/2006/customXml" ds:itemID="{FB774C02-8D8E-4FC3-9D41-C33DCB6683EB}">
  <ds:schemaRefs>
    <ds:schemaRef ds:uri="http://schemas.microsoft.com/sharepoint/v3/contenttype/forms"/>
  </ds:schemaRefs>
</ds:datastoreItem>
</file>

<file path=customXml/itemProps2.xml><?xml version="1.0" encoding="utf-8"?>
<ds:datastoreItem xmlns:ds="http://schemas.openxmlformats.org/officeDocument/2006/customXml" ds:itemID="{35ABF550-74DB-4C83-9410-F8B8E5E36B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a1e3f-bff0-4a68-a0e1-8991d6694121"/>
    <ds:schemaRef ds:uri="1fe0551b-aea2-4114-b38d-c5f7409b7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39258F-1C21-4DD8-9213-AB97CD8302AB}">
  <ds:schemaRefs>
    <ds:schemaRef ds:uri="http://schemas.microsoft.com/DataMashup"/>
  </ds:schemaRefs>
</ds:datastoreItem>
</file>

<file path=customXml/itemProps4.xml><?xml version="1.0" encoding="utf-8"?>
<ds:datastoreItem xmlns:ds="http://schemas.openxmlformats.org/officeDocument/2006/customXml" ds:itemID="{F5F5AD19-D35C-4D0A-B8E2-C3C781D0CC4A}">
  <ds:schemaRefs>
    <ds:schemaRef ds:uri="http://schemas.microsoft.com/office/2006/documentManagement/types"/>
    <ds:schemaRef ds:uri="http://schemas.microsoft.com/office/infopath/2007/PartnerControls"/>
    <ds:schemaRef ds:uri="http://purl.org/dc/dcmitype/"/>
    <ds:schemaRef ds:uri="1fe0551b-aea2-4114-b38d-c5f7409b7e34"/>
    <ds:schemaRef ds:uri="http://purl.org/dc/terms/"/>
    <ds:schemaRef ds:uri="http://purl.org/dc/elements/1.1/"/>
    <ds:schemaRef ds:uri="http://schemas.openxmlformats.org/package/2006/metadata/core-properties"/>
    <ds:schemaRef ds:uri="12fa1e3f-bff0-4a68-a0e1-8991d669412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Cover</vt:lpstr>
      <vt:lpstr>Disclaimer</vt:lpstr>
      <vt:lpstr>Contents</vt:lpstr>
      <vt:lpstr>User Guide</vt:lpstr>
      <vt:lpstr>OP_Rates</vt:lpstr>
      <vt:lpstr>OP_CMAB</vt:lpstr>
      <vt:lpstr>CH_CostStack_RES</vt:lpstr>
      <vt:lpstr>CH_CostStack_SME</vt:lpstr>
      <vt:lpstr>CH_CostStack_SME 10k</vt:lpstr>
      <vt:lpstr>Inputs</vt:lpstr>
      <vt:lpstr>General Assumptions</vt:lpstr>
      <vt:lpstr>CPI</vt:lpstr>
      <vt:lpstr>Calc_Rates</vt:lpstr>
      <vt:lpstr>Calc_TU_values</vt:lpstr>
      <vt:lpstr>Calc_TU_rates</vt:lpstr>
      <vt:lpstr>Sources</vt:lpstr>
      <vt:lpstr>Lookup refs</vt:lpstr>
      <vt:lpstr>AUD</vt:lpstr>
      <vt:lpstr>CostStackCalcs_remove2\</vt:lpstr>
      <vt:lpstr>DecisionPeriodMultiplierLastFY</vt:lpstr>
      <vt:lpstr>DecisionPeriodMultiplierTU</vt:lpstr>
      <vt:lpstr>DiPY</vt:lpstr>
      <vt:lpstr>DiY</vt:lpstr>
      <vt:lpstr>FY</vt:lpstr>
      <vt:lpstr>GST</vt:lpstr>
      <vt:lpstr>hi</vt:lpstr>
      <vt:lpstr>Input_TUEnv_Actua</vt:lpstr>
      <vt:lpstr>MiQ</vt:lpstr>
      <vt:lpstr>MiY</vt:lpstr>
      <vt:lpstr>PY</vt:lpstr>
      <vt:lpstr>Standard_regulatory_period</vt:lpstr>
      <vt:lpstr>TUProp_CLLoad_1</vt:lpstr>
      <vt:lpstr>TUProp_CLLoad_2</vt:lpstr>
      <vt:lpstr>TUProp_Days_1</vt:lpstr>
      <vt:lpstr>TUProp_Days_2</vt:lpstr>
      <vt:lpstr>WACC_adj_1</vt:lpstr>
      <vt:lpstr>WACC_adj_2</vt:lpstr>
      <vt:lpstr>WiPY</vt:lpstr>
      <vt:lpstr>WiY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Murry Greasley (ESC)</dc:creator>
  <cp:keywords>[SEC=OFFICIAL]</cp:keywords>
  <dc:description/>
  <cp:lastModifiedBy>Zach Zhang (ESC)</cp:lastModifiedBy>
  <cp:revision/>
  <dcterms:created xsi:type="dcterms:W3CDTF">2020-01-15T04:05:27Z</dcterms:created>
  <dcterms:modified xsi:type="dcterms:W3CDTF">2024-05-22T06:56:16Z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0x0101008AF5B4F566EDE04E8FC82BBE258AC15C</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59DC5C59153349D2BB9190ABAB61C175</vt:lpwstr>
  </property>
  <property fmtid="{D5CDD505-2E9C-101B-9397-08002B2CF9AE}" pid="10" name="PM_ProtectiveMarkingValue_Footer">
    <vt:lpwstr>OFFICIAL</vt:lpwstr>
  </property>
  <property fmtid="{D5CDD505-2E9C-101B-9397-08002B2CF9AE}" pid="11" name="PM_Originator_Hash_SHA1">
    <vt:lpwstr>7FA0E445E1BA37C23ECC082A1C28664A60DB33AD</vt:lpwstr>
  </property>
  <property fmtid="{D5CDD505-2E9C-101B-9397-08002B2CF9AE}" pid="12" name="PM_OriginationTimeStamp">
    <vt:lpwstr>2023-02-21T22:05:29Z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C9E138BB65578E931662D00F52944D3C</vt:lpwstr>
  </property>
  <property fmtid="{D5CDD505-2E9C-101B-9397-08002B2CF9AE}" pid="22" name="PM_Hash_Salt">
    <vt:lpwstr>B94D8F0FDF4EF9A7A311A159D9FD85AB</vt:lpwstr>
  </property>
  <property fmtid="{D5CDD505-2E9C-101B-9397-08002B2CF9AE}" pid="23" name="PM_Hash_SHA1">
    <vt:lpwstr>C4BEDB2EEE9D5E5CB814329641A3624E203CAE33</vt:lpwstr>
  </property>
  <property fmtid="{D5CDD505-2E9C-101B-9397-08002B2CF9AE}" pid="24" name="PM_OriginatorUserAccountName_SHA256">
    <vt:lpwstr>E51A4B40B1F3478FD5159D462CDA5ED2CA26CCC8934C32D3F846F6C168A712B6</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y fmtid="{D5CDD505-2E9C-101B-9397-08002B2CF9AE}" pid="31" name="MediaServiceImageTags">
    <vt:lpwstr/>
  </property>
</Properties>
</file>